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202300"/>
  <mc:AlternateContent xmlns:mc="http://schemas.openxmlformats.org/markup-compatibility/2006">
    <mc:Choice Requires="x15">
      <x15ac:absPath xmlns:x15ac="http://schemas.microsoft.com/office/spreadsheetml/2010/11/ac" url="/Users/santiagoflorin/"/>
    </mc:Choice>
  </mc:AlternateContent>
  <xr:revisionPtr revIDLastSave="0" documentId="8_{3CA4F3B8-26D8-1C46-8963-7DEAEBD25E52}" xr6:coauthVersionLast="47" xr6:coauthVersionMax="47" xr10:uidLastSave="{00000000-0000-0000-0000-000000000000}"/>
  <bookViews>
    <workbookView xWindow="0" yWindow="760" windowWidth="30240" windowHeight="18880" activeTab="2" xr2:uid="{2D81D8DD-0A99-C04C-B949-3C08A9756937}"/>
  </bookViews>
  <sheets>
    <sheet name="Dataset" sheetId="4" r:id="rId1"/>
    <sheet name="TB_Music_Data" sheetId="1" r:id="rId2"/>
    <sheet name="Dashboard" sheetId="6" r:id="rId3"/>
    <sheet name="TB_Caracteristicas" sheetId="12" r:id="rId4"/>
    <sheet name="TB_Distribucion" sheetId="9" r:id="rId5"/>
    <sheet name="Respuestas Descriptivas" sheetId="13" r:id="rId6"/>
    <sheet name="Anexas" sheetId="3" r:id="rId7"/>
    <sheet name="TB_Playlist_Name" sheetId="5" state="hidden" r:id="rId8"/>
  </sheets>
  <definedNames>
    <definedName name="Acustica">TB_Caracteristicas!$P$45</definedName>
    <definedName name="Danceability">TB_Caracteristicas!$P$46</definedName>
    <definedName name="Energia">TB_Caracteristicas!$P$47</definedName>
    <definedName name="high_popularity_spotify_data" localSheetId="0">Dataset!$A$1:$AC$1687</definedName>
    <definedName name="Modern">TB_Distribucion!$D$78</definedName>
    <definedName name="SegmentaciónDeDatos_Playlist_genre21">#N/A</definedName>
    <definedName name="SegmentaciónDeDatos_playlist_name">#N/A</definedName>
    <definedName name="SegmentaciónDeDatos_Playlist_subgenre2">#N/A</definedName>
    <definedName name="SegmentaciónDeDatos_Popularidad">#N/A</definedName>
    <definedName name="Throwback">TB_Distribucion!$G$92:$H$92</definedName>
    <definedName name="Throwbackp">TB_Distribucion!$G$92</definedName>
    <definedName name="Total_Pop">TB_Distribucion!$A$56</definedName>
    <definedName name="Valence">TB_Caracteristicas!$P$48</definedName>
  </definedNames>
  <calcPr calcId="191029"/>
  <pivotCaches>
    <pivotCache cacheId="0" r:id="rId9"/>
    <pivotCache cacheId="1" r:id="rId10"/>
    <pivotCache cacheId="2" r:id="rId11"/>
    <pivotCache cacheId="3" r:id="rId12"/>
    <pivotCache cacheId="4"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7"/>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 i="3" l="1"/>
  <c r="K3" i="3"/>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P8" i="3"/>
  <c r="P9" i="3"/>
  <c r="P10" i="3"/>
  <c r="P11" i="3"/>
  <c r="P12" i="3"/>
  <c r="P13" i="3"/>
  <c r="P14" i="3"/>
  <c r="P15" i="3"/>
  <c r="P16" i="3"/>
  <c r="P17" i="3"/>
  <c r="P18" i="3"/>
  <c r="P19" i="3"/>
  <c r="P20" i="3"/>
  <c r="P21" i="3"/>
  <c r="P22" i="3"/>
  <c r="P23" i="3"/>
  <c r="P24" i="3"/>
  <c r="P25" i="3"/>
  <c r="P26" i="3"/>
  <c r="P27" i="3"/>
  <c r="P28" i="3"/>
  <c r="P29" i="3"/>
  <c r="P30" i="3"/>
  <c r="P31" i="3"/>
  <c r="P32" i="3"/>
  <c r="P33" i="3"/>
  <c r="P34" i="3"/>
  <c r="C4" i="9"/>
  <c r="I4" i="9"/>
  <c r="F4" i="9"/>
  <c r="M4" i="12"/>
  <c r="M5" i="12"/>
  <c r="M6" i="12"/>
  <c r="M7" i="12"/>
  <c r="J4" i="12"/>
  <c r="J5" i="12"/>
  <c r="J6" i="12"/>
  <c r="J7" i="12"/>
  <c r="J8" i="12"/>
  <c r="J9" i="12"/>
  <c r="J10" i="12"/>
  <c r="J11" i="12"/>
  <c r="J12" i="12"/>
  <c r="J13" i="12"/>
  <c r="J14" i="12"/>
  <c r="J15" i="12"/>
  <c r="J16" i="12"/>
  <c r="J17" i="12"/>
  <c r="J18" i="12"/>
  <c r="J19" i="12"/>
  <c r="J20" i="12"/>
  <c r="J21" i="12"/>
  <c r="J22" i="12"/>
  <c r="J23" i="12"/>
  <c r="J24" i="12"/>
  <c r="J25" i="12"/>
  <c r="J26" i="12"/>
  <c r="J27" i="12"/>
  <c r="J28" i="12"/>
  <c r="J29" i="12"/>
  <c r="J30" i="12"/>
  <c r="J31" i="12"/>
  <c r="J32" i="12"/>
  <c r="J33" i="12"/>
  <c r="J34" i="12"/>
  <c r="J35" i="12"/>
  <c r="J36" i="12"/>
  <c r="J37" i="12"/>
  <c r="J38" i="12"/>
  <c r="J39" i="12"/>
  <c r="J40" i="12"/>
  <c r="J41" i="12"/>
  <c r="J42" i="12"/>
  <c r="J43" i="12"/>
  <c r="J44" i="12"/>
  <c r="J45" i="12"/>
  <c r="J46" i="12"/>
  <c r="J47" i="12"/>
  <c r="J48" i="12"/>
  <c r="J49" i="12"/>
  <c r="J50" i="12"/>
  <c r="J51" i="12"/>
  <c r="J52" i="12"/>
  <c r="J53" i="12"/>
  <c r="J54" i="12"/>
  <c r="J55" i="12"/>
  <c r="J56" i="12"/>
  <c r="J57" i="12"/>
  <c r="J58" i="12"/>
  <c r="J59" i="12"/>
  <c r="J60" i="12"/>
  <c r="J61" i="12"/>
  <c r="J62" i="12"/>
  <c r="J63" i="12"/>
  <c r="J64" i="12"/>
  <c r="J65" i="12"/>
  <c r="J66" i="12"/>
  <c r="J67" i="12"/>
  <c r="J68" i="12"/>
  <c r="J69" i="12"/>
  <c r="J70" i="12"/>
  <c r="J71" i="12"/>
  <c r="J72" i="12"/>
  <c r="J73" i="12"/>
  <c r="J74" i="12"/>
  <c r="J75" i="12"/>
  <c r="J76" i="12"/>
  <c r="J77" i="12"/>
  <c r="J78" i="12"/>
  <c r="J79" i="12"/>
  <c r="J80" i="12"/>
  <c r="J81" i="12"/>
  <c r="J82" i="12"/>
  <c r="J83" i="12"/>
  <c r="J84" i="12"/>
  <c r="J85" i="12"/>
  <c r="J86" i="12"/>
  <c r="J87" i="12"/>
  <c r="J88" i="12"/>
  <c r="J89" i="12"/>
  <c r="J90" i="12"/>
  <c r="J91" i="12"/>
  <c r="J92" i="12"/>
  <c r="J93" i="12"/>
  <c r="J94" i="12"/>
  <c r="J95" i="12"/>
  <c r="J96" i="12"/>
  <c r="J97" i="12"/>
  <c r="J98" i="12"/>
  <c r="J99" i="12"/>
  <c r="J100" i="12"/>
  <c r="J101" i="12"/>
  <c r="J102" i="12"/>
  <c r="J103" i="12"/>
  <c r="J104" i="12"/>
  <c r="J105" i="12"/>
  <c r="J106" i="12"/>
  <c r="J107" i="12"/>
  <c r="J108" i="12"/>
  <c r="J109" i="12"/>
  <c r="J110" i="12"/>
  <c r="J111" i="12"/>
  <c r="J112" i="12"/>
  <c r="J113" i="12"/>
  <c r="J114" i="12"/>
  <c r="J115" i="12"/>
  <c r="J116" i="12"/>
  <c r="J117" i="12"/>
  <c r="J118" i="12"/>
  <c r="J119" i="12"/>
  <c r="J120" i="12"/>
  <c r="J121" i="12"/>
  <c r="J122" i="12"/>
  <c r="J123" i="12"/>
  <c r="J124" i="12"/>
  <c r="J125" i="12"/>
  <c r="J126" i="12"/>
  <c r="J127" i="12"/>
  <c r="J128" i="12"/>
  <c r="J129" i="12"/>
  <c r="J130" i="12"/>
  <c r="J131" i="12"/>
  <c r="J132" i="12"/>
  <c r="J133" i="12"/>
  <c r="J134" i="12"/>
  <c r="J135" i="12"/>
  <c r="J136" i="12"/>
  <c r="J137" i="12"/>
  <c r="J138" i="12"/>
  <c r="J139" i="12"/>
  <c r="J140" i="12"/>
  <c r="J141" i="12"/>
  <c r="J142" i="12"/>
  <c r="J143" i="12"/>
  <c r="J144" i="12"/>
  <c r="J145" i="12"/>
  <c r="J146" i="12"/>
  <c r="J147" i="12"/>
  <c r="J148" i="12"/>
  <c r="J149" i="12"/>
  <c r="J150" i="12"/>
  <c r="J151" i="12"/>
  <c r="J152" i="12"/>
  <c r="J153" i="12"/>
  <c r="J154" i="12"/>
  <c r="J155" i="12"/>
  <c r="J156" i="12"/>
  <c r="J157" i="12"/>
  <c r="J158" i="12"/>
  <c r="J159" i="12"/>
  <c r="J160" i="12"/>
  <c r="J161" i="12"/>
  <c r="J162" i="12"/>
  <c r="J163" i="12"/>
  <c r="J164" i="12"/>
  <c r="J165" i="12"/>
  <c r="J166" i="12"/>
  <c r="J167" i="12"/>
  <c r="J168" i="12"/>
  <c r="J169" i="12"/>
  <c r="J170" i="12"/>
  <c r="J171" i="12"/>
  <c r="J172" i="12"/>
  <c r="J173" i="12"/>
  <c r="J174" i="12"/>
  <c r="J175" i="12"/>
  <c r="J176" i="12"/>
  <c r="J177" i="12"/>
  <c r="J178" i="12"/>
  <c r="J179" i="12"/>
  <c r="J180" i="12"/>
  <c r="J181" i="12"/>
  <c r="J182" i="12"/>
  <c r="J183" i="12"/>
  <c r="J184" i="12"/>
  <c r="J185" i="12"/>
  <c r="J186" i="12"/>
  <c r="J187" i="12"/>
  <c r="J188" i="12"/>
  <c r="J189" i="12"/>
  <c r="J190" i="12"/>
  <c r="J191" i="12"/>
  <c r="J192" i="12"/>
  <c r="J193" i="12"/>
  <c r="J194" i="12"/>
  <c r="J195" i="12"/>
  <c r="J196" i="12"/>
  <c r="J197" i="12"/>
  <c r="J198" i="12"/>
  <c r="J199" i="12"/>
  <c r="J200" i="12"/>
  <c r="J201" i="12"/>
  <c r="J202" i="12"/>
  <c r="J203" i="12"/>
  <c r="J204" i="12"/>
  <c r="J205" i="12"/>
  <c r="J206" i="12"/>
  <c r="J207" i="12"/>
  <c r="J208" i="12"/>
  <c r="J209" i="12"/>
  <c r="J210" i="12"/>
  <c r="J211" i="12"/>
  <c r="J212" i="12"/>
  <c r="J213" i="12"/>
  <c r="J214" i="12"/>
  <c r="J215" i="12"/>
  <c r="J216" i="12"/>
  <c r="J217" i="12"/>
  <c r="J218" i="12"/>
  <c r="J219" i="12"/>
  <c r="J220" i="12"/>
  <c r="J221" i="12"/>
  <c r="J222" i="12"/>
  <c r="J223" i="12"/>
  <c r="J224" i="12"/>
  <c r="J225" i="12"/>
  <c r="J226" i="12"/>
  <c r="J227" i="12"/>
  <c r="J228" i="12"/>
  <c r="J229" i="12"/>
  <c r="J230" i="12"/>
  <c r="J231" i="12"/>
  <c r="J232" i="12"/>
  <c r="J233" i="12"/>
  <c r="J234" i="12"/>
  <c r="J235" i="12"/>
  <c r="J236" i="12"/>
  <c r="J237" i="12"/>
  <c r="J238" i="12"/>
  <c r="J239" i="12"/>
  <c r="J240" i="12"/>
  <c r="J241" i="12"/>
  <c r="J242" i="12"/>
  <c r="J243" i="12"/>
  <c r="J244" i="12"/>
  <c r="J245" i="12"/>
  <c r="J246" i="12"/>
  <c r="J247" i="12"/>
  <c r="J248" i="12"/>
  <c r="J249" i="12"/>
  <c r="J250" i="12"/>
  <c r="J251" i="12"/>
  <c r="J252" i="12"/>
  <c r="J253" i="12"/>
  <c r="J254" i="12"/>
  <c r="J255" i="12"/>
  <c r="J256" i="12"/>
  <c r="J257" i="12"/>
  <c r="J258" i="12"/>
  <c r="J259" i="12"/>
  <c r="J260" i="12"/>
  <c r="J261" i="12"/>
  <c r="J262" i="12"/>
  <c r="J263" i="12"/>
  <c r="J264" i="12"/>
  <c r="J265" i="12"/>
  <c r="J266" i="12"/>
  <c r="J267" i="12"/>
  <c r="J268" i="12"/>
  <c r="J269" i="12"/>
  <c r="J270" i="12"/>
  <c r="J271" i="12"/>
  <c r="J272" i="12"/>
  <c r="J273" i="12"/>
  <c r="J274" i="12"/>
  <c r="J275" i="12"/>
  <c r="J276" i="12"/>
  <c r="J277" i="12"/>
  <c r="J278" i="12"/>
  <c r="J279" i="12"/>
  <c r="J280" i="12"/>
  <c r="J281" i="12"/>
  <c r="J282" i="12"/>
  <c r="J283" i="12"/>
  <c r="J284" i="12"/>
  <c r="J285" i="12"/>
  <c r="J286" i="12"/>
  <c r="J287" i="12"/>
  <c r="J288" i="12"/>
  <c r="J289" i="12"/>
  <c r="J290" i="12"/>
  <c r="J291" i="12"/>
  <c r="J292" i="12"/>
  <c r="J293" i="12"/>
  <c r="J294" i="12"/>
  <c r="J295" i="12"/>
  <c r="J296" i="12"/>
  <c r="J297" i="12"/>
  <c r="J298" i="12"/>
  <c r="J299" i="12"/>
  <c r="J300" i="12"/>
  <c r="J301" i="12"/>
  <c r="J302" i="12"/>
  <c r="J303" i="12"/>
  <c r="J304" i="12"/>
  <c r="J305" i="12"/>
  <c r="J306" i="12"/>
  <c r="J307" i="12"/>
  <c r="J308" i="12"/>
  <c r="J309" i="12"/>
  <c r="J310" i="12"/>
  <c r="J311" i="12"/>
  <c r="J312" i="12"/>
  <c r="J313" i="12"/>
  <c r="J314" i="12"/>
  <c r="J315" i="12"/>
  <c r="J316" i="12"/>
  <c r="J317" i="12"/>
  <c r="J318" i="12"/>
  <c r="J319" i="12"/>
  <c r="J320" i="12"/>
  <c r="J321" i="12"/>
  <c r="J322" i="12"/>
  <c r="J323" i="12"/>
  <c r="J324" i="12"/>
  <c r="J325" i="12"/>
  <c r="J326" i="12"/>
  <c r="J327" i="12"/>
  <c r="J328" i="12"/>
  <c r="J329" i="12"/>
  <c r="J330" i="12"/>
  <c r="J331" i="12"/>
  <c r="J332" i="12"/>
  <c r="J333" i="12"/>
  <c r="J334" i="12"/>
  <c r="J335" i="12"/>
  <c r="J336" i="12"/>
  <c r="J337" i="12"/>
  <c r="J338" i="12"/>
  <c r="J339" i="12"/>
  <c r="J340" i="12"/>
  <c r="J341" i="12"/>
  <c r="J342" i="12"/>
  <c r="J343" i="12"/>
  <c r="J344" i="12"/>
  <c r="J345" i="12"/>
  <c r="J346" i="12"/>
  <c r="J347" i="12"/>
  <c r="J348" i="12"/>
  <c r="J349" i="12"/>
  <c r="J350" i="12"/>
  <c r="J351" i="12"/>
  <c r="J352" i="12"/>
  <c r="J353" i="12"/>
  <c r="J354" i="12"/>
  <c r="J355" i="12"/>
  <c r="J356" i="12"/>
  <c r="J357" i="12"/>
  <c r="J358" i="12"/>
  <c r="J359" i="12"/>
  <c r="J360" i="12"/>
  <c r="J361" i="12"/>
  <c r="J362" i="12"/>
  <c r="J363" i="12"/>
  <c r="J364" i="12"/>
  <c r="J365" i="12"/>
  <c r="J366" i="12"/>
  <c r="J367" i="12"/>
  <c r="J368" i="12"/>
  <c r="J369" i="12"/>
  <c r="J370" i="12"/>
  <c r="J371" i="12"/>
  <c r="J372" i="12"/>
  <c r="J373" i="12"/>
  <c r="J374" i="12"/>
  <c r="J375" i="12"/>
  <c r="J376" i="12"/>
  <c r="J377" i="12"/>
  <c r="J378" i="12"/>
  <c r="J379" i="12"/>
  <c r="J380" i="12"/>
  <c r="J381" i="12"/>
  <c r="J382" i="12"/>
  <c r="J383" i="12"/>
  <c r="J384" i="12"/>
  <c r="J385" i="12"/>
  <c r="J386" i="12"/>
  <c r="J387" i="12"/>
  <c r="J388" i="12"/>
  <c r="J389" i="12"/>
  <c r="J390" i="12"/>
  <c r="J391" i="12"/>
  <c r="J392" i="12"/>
  <c r="J393" i="12"/>
  <c r="J394" i="12"/>
  <c r="J395" i="12"/>
  <c r="J396" i="12"/>
  <c r="J397" i="12"/>
  <c r="J398" i="12"/>
  <c r="J399" i="12"/>
  <c r="J400" i="12"/>
  <c r="J401" i="12"/>
  <c r="J402" i="12"/>
  <c r="J403" i="12"/>
  <c r="J404" i="12"/>
  <c r="J405" i="12"/>
  <c r="J406" i="12"/>
  <c r="J407" i="12"/>
  <c r="J408" i="12"/>
  <c r="J409" i="12"/>
  <c r="J410" i="12"/>
  <c r="J411" i="12"/>
  <c r="J412" i="12"/>
  <c r="J413" i="12"/>
  <c r="J414" i="12"/>
  <c r="J415" i="12"/>
  <c r="J416" i="12"/>
  <c r="J417" i="12"/>
  <c r="J418" i="12"/>
  <c r="J419" i="12"/>
  <c r="J420" i="12"/>
  <c r="J421" i="12"/>
  <c r="J422" i="12"/>
  <c r="J423" i="12"/>
  <c r="J424" i="12"/>
  <c r="J425" i="12"/>
  <c r="J426" i="12"/>
  <c r="J427" i="12"/>
  <c r="J428" i="12"/>
  <c r="J429" i="12"/>
  <c r="J430" i="12"/>
  <c r="J431" i="12"/>
  <c r="J432" i="12"/>
  <c r="J433" i="12"/>
  <c r="J434" i="12"/>
  <c r="J435" i="12"/>
  <c r="J436" i="12"/>
  <c r="J437" i="12"/>
  <c r="J438" i="12"/>
  <c r="J439" i="12"/>
  <c r="J440" i="12"/>
  <c r="J441" i="12"/>
  <c r="J442" i="12"/>
  <c r="J443" i="12"/>
  <c r="J444" i="12"/>
  <c r="J445" i="12"/>
  <c r="J446" i="12"/>
  <c r="J447" i="12"/>
  <c r="J448" i="12"/>
  <c r="J449" i="12"/>
  <c r="J450" i="12"/>
  <c r="J451" i="12"/>
  <c r="J452" i="12"/>
  <c r="J453" i="12"/>
  <c r="J454" i="12"/>
  <c r="J455" i="12"/>
  <c r="J456" i="12"/>
  <c r="J457" i="12"/>
  <c r="J458" i="12"/>
  <c r="J459" i="12"/>
  <c r="J460" i="12"/>
  <c r="J461" i="12"/>
  <c r="J462" i="12"/>
  <c r="J463" i="12"/>
  <c r="J464" i="12"/>
  <c r="J465" i="12"/>
  <c r="J466" i="12"/>
  <c r="J467" i="12"/>
  <c r="J468" i="12"/>
  <c r="J469" i="12"/>
  <c r="J470" i="12"/>
  <c r="J471" i="12"/>
  <c r="J472" i="12"/>
  <c r="J473" i="12"/>
  <c r="J474" i="12"/>
  <c r="J475" i="12"/>
  <c r="J476" i="12"/>
  <c r="J477" i="12"/>
  <c r="J478" i="12"/>
  <c r="J479" i="12"/>
  <c r="J480" i="12"/>
  <c r="J481" i="12"/>
  <c r="J482" i="12"/>
  <c r="J483" i="12"/>
  <c r="J484" i="12"/>
  <c r="J485" i="12"/>
  <c r="J486" i="12"/>
  <c r="J487" i="12"/>
  <c r="J488" i="12"/>
  <c r="J489" i="12"/>
  <c r="J490" i="12"/>
  <c r="J491" i="12"/>
  <c r="J492" i="12"/>
  <c r="J493" i="12"/>
  <c r="J494" i="12"/>
  <c r="J495" i="12"/>
  <c r="J496" i="12"/>
  <c r="J497" i="12"/>
  <c r="J498" i="12"/>
  <c r="J499" i="12"/>
  <c r="J500" i="12"/>
  <c r="J501" i="12"/>
  <c r="J502" i="12"/>
  <c r="J503" i="12"/>
  <c r="J504" i="12"/>
  <c r="J505" i="12"/>
  <c r="J506" i="12"/>
  <c r="J507" i="12"/>
  <c r="J508" i="12"/>
  <c r="J509" i="12"/>
  <c r="J510" i="12"/>
  <c r="J511" i="12"/>
  <c r="J512" i="12"/>
  <c r="J513" i="12"/>
  <c r="J514" i="12"/>
  <c r="J515" i="12"/>
  <c r="J516" i="12"/>
  <c r="J517" i="12"/>
  <c r="J518" i="12"/>
  <c r="J519" i="12"/>
  <c r="J520" i="12"/>
  <c r="J521" i="12"/>
  <c r="J522" i="12"/>
  <c r="J523" i="12"/>
  <c r="J524" i="12"/>
  <c r="J525" i="12"/>
  <c r="J526" i="12"/>
  <c r="J527" i="12"/>
  <c r="J528" i="12"/>
  <c r="J529" i="12"/>
  <c r="J530" i="12"/>
  <c r="J531" i="12"/>
  <c r="J532" i="12"/>
  <c r="J533" i="12"/>
  <c r="J534" i="12"/>
  <c r="J535" i="12"/>
  <c r="J536" i="12"/>
  <c r="J537" i="12"/>
  <c r="J538" i="12"/>
  <c r="J539" i="12"/>
  <c r="J540" i="12"/>
  <c r="J541" i="12"/>
  <c r="J542" i="12"/>
  <c r="J543" i="12"/>
  <c r="J544" i="12"/>
  <c r="J545" i="12"/>
  <c r="J546" i="12"/>
  <c r="J547" i="12"/>
  <c r="J548" i="12"/>
  <c r="J549" i="12"/>
  <c r="J550" i="12"/>
  <c r="J551" i="12"/>
  <c r="J552" i="12"/>
  <c r="J553" i="12"/>
  <c r="J554" i="12"/>
  <c r="J555" i="12"/>
  <c r="J556" i="12"/>
  <c r="J557" i="12"/>
  <c r="J558" i="12"/>
  <c r="J559" i="12"/>
  <c r="J560" i="12"/>
  <c r="J561" i="12"/>
  <c r="J562" i="12"/>
  <c r="J563" i="12"/>
  <c r="J564" i="12"/>
  <c r="J565" i="12"/>
  <c r="J566" i="12"/>
  <c r="J567" i="12"/>
  <c r="J568" i="12"/>
  <c r="J569" i="12"/>
  <c r="J570" i="12"/>
  <c r="J571" i="12"/>
  <c r="J572" i="12"/>
  <c r="J573" i="12"/>
  <c r="J574" i="12"/>
  <c r="J575" i="12"/>
  <c r="J576" i="12"/>
  <c r="J577" i="12"/>
  <c r="J578" i="12"/>
  <c r="J579" i="12"/>
  <c r="J580" i="12"/>
  <c r="J581" i="12"/>
  <c r="J582" i="12"/>
  <c r="J583" i="12"/>
  <c r="J584" i="12"/>
  <c r="J585" i="12"/>
  <c r="J586" i="12"/>
  <c r="J587" i="12"/>
  <c r="J588" i="12"/>
  <c r="J589" i="12"/>
  <c r="J590" i="12"/>
  <c r="J591" i="12"/>
  <c r="J592" i="12"/>
  <c r="J593" i="12"/>
  <c r="J594" i="12"/>
  <c r="J595" i="12"/>
  <c r="J596" i="12"/>
  <c r="J597" i="12"/>
  <c r="J598" i="12"/>
  <c r="J599" i="12"/>
  <c r="J600" i="12"/>
  <c r="J601" i="12"/>
  <c r="J602" i="12"/>
  <c r="J603" i="12"/>
  <c r="J604" i="12"/>
  <c r="J605" i="12"/>
  <c r="J606" i="12"/>
  <c r="J607" i="12"/>
  <c r="J608" i="12"/>
  <c r="J609" i="12"/>
  <c r="J610" i="12"/>
  <c r="J611" i="12"/>
  <c r="J612" i="12"/>
  <c r="J613" i="12"/>
  <c r="J614" i="12"/>
  <c r="J615" i="12"/>
  <c r="J616" i="12"/>
  <c r="J617" i="12"/>
  <c r="J618" i="12"/>
  <c r="J619" i="12"/>
  <c r="J620" i="12"/>
  <c r="J621" i="12"/>
  <c r="J622" i="12"/>
  <c r="J623" i="12"/>
  <c r="J624" i="12"/>
  <c r="J625" i="12"/>
  <c r="J626" i="12"/>
  <c r="J627" i="12"/>
  <c r="J628" i="12"/>
  <c r="J629" i="12"/>
  <c r="J630" i="12"/>
  <c r="J631" i="12"/>
  <c r="J632" i="12"/>
  <c r="J633" i="12"/>
  <c r="J634" i="12"/>
  <c r="J635" i="12"/>
  <c r="J636" i="12"/>
  <c r="J637" i="12"/>
  <c r="J638" i="12"/>
  <c r="J639" i="12"/>
  <c r="J640" i="12"/>
  <c r="J641" i="12"/>
  <c r="J642" i="12"/>
  <c r="J643" i="12"/>
  <c r="J644" i="12"/>
  <c r="J645" i="12"/>
  <c r="J646" i="12"/>
  <c r="J647" i="12"/>
  <c r="J648" i="12"/>
  <c r="J649" i="12"/>
  <c r="J650" i="12"/>
  <c r="J651" i="12"/>
  <c r="J652" i="12"/>
  <c r="J653" i="12"/>
  <c r="J654" i="12"/>
  <c r="J655" i="12"/>
  <c r="J656" i="12"/>
  <c r="J657" i="12"/>
  <c r="J658" i="12"/>
  <c r="J659" i="12"/>
  <c r="J660" i="12"/>
  <c r="J661" i="12"/>
  <c r="J662" i="12"/>
  <c r="J663" i="12"/>
  <c r="J664" i="12"/>
  <c r="J665" i="12"/>
  <c r="J666" i="12"/>
  <c r="J667" i="12"/>
  <c r="J668" i="12"/>
  <c r="J669" i="12"/>
  <c r="J670" i="12"/>
  <c r="J671" i="12"/>
  <c r="J672" i="12"/>
  <c r="J673" i="12"/>
  <c r="J674" i="12"/>
  <c r="J675" i="12"/>
  <c r="J676" i="12"/>
  <c r="J677" i="12"/>
  <c r="J678" i="12"/>
  <c r="J679" i="12"/>
  <c r="J680" i="12"/>
  <c r="J681" i="12"/>
  <c r="J682" i="12"/>
  <c r="J683" i="12"/>
  <c r="J684" i="12"/>
  <c r="J685" i="12"/>
  <c r="J686" i="12"/>
  <c r="J687" i="12"/>
  <c r="J688" i="12"/>
  <c r="J689" i="12"/>
  <c r="J690" i="12"/>
  <c r="J691" i="12"/>
  <c r="J692" i="12"/>
  <c r="J693" i="12"/>
  <c r="J694" i="12"/>
  <c r="J695" i="12"/>
  <c r="J696" i="12"/>
  <c r="J697" i="12"/>
  <c r="J698" i="12"/>
  <c r="J699" i="12"/>
  <c r="J700" i="12"/>
  <c r="J701" i="12"/>
  <c r="J702" i="12"/>
  <c r="J703" i="12"/>
  <c r="J704" i="12"/>
  <c r="J705" i="12"/>
  <c r="J706" i="12"/>
  <c r="J707" i="12"/>
  <c r="J708" i="12"/>
  <c r="J709" i="12"/>
  <c r="J710" i="12"/>
  <c r="J711" i="12"/>
  <c r="J712" i="12"/>
  <c r="J713" i="12"/>
  <c r="J714" i="12"/>
  <c r="J715" i="12"/>
  <c r="J716" i="12"/>
  <c r="J717" i="12"/>
  <c r="J718" i="12"/>
  <c r="J719" i="12"/>
  <c r="J720" i="12"/>
  <c r="J721" i="12"/>
  <c r="J722" i="12"/>
  <c r="J723" i="12"/>
  <c r="J724" i="12"/>
  <c r="J725" i="12"/>
  <c r="J726" i="12"/>
  <c r="J727" i="12"/>
  <c r="J728" i="12"/>
  <c r="J729" i="12"/>
  <c r="J730" i="12"/>
  <c r="J731" i="12"/>
  <c r="J732" i="12"/>
  <c r="J733" i="12"/>
  <c r="J734" i="12"/>
  <c r="J735" i="12"/>
  <c r="J736" i="12"/>
  <c r="J737" i="12"/>
  <c r="J738" i="12"/>
  <c r="J739" i="12"/>
  <c r="J740" i="12"/>
  <c r="J741" i="12"/>
  <c r="J742" i="12"/>
  <c r="J743" i="12"/>
  <c r="J744" i="12"/>
  <c r="J745" i="12"/>
  <c r="J746" i="12"/>
  <c r="J747" i="12"/>
  <c r="J748" i="12"/>
  <c r="J749" i="12"/>
  <c r="J750" i="12"/>
  <c r="J751" i="12"/>
  <c r="J752" i="12"/>
  <c r="J753" i="12"/>
  <c r="J754" i="12"/>
  <c r="J755" i="12"/>
  <c r="J756" i="12"/>
  <c r="J757" i="12"/>
  <c r="J758" i="12"/>
  <c r="J759" i="12"/>
  <c r="J760" i="12"/>
  <c r="J761" i="12"/>
  <c r="J762" i="12"/>
  <c r="J763" i="12"/>
  <c r="J764" i="12"/>
  <c r="J765" i="12"/>
  <c r="J766" i="12"/>
  <c r="J767" i="12"/>
  <c r="J768" i="12"/>
  <c r="J769" i="12"/>
  <c r="J770" i="12"/>
  <c r="J771" i="12"/>
  <c r="J772" i="12"/>
  <c r="J773" i="12"/>
  <c r="J774" i="12"/>
  <c r="J775" i="12"/>
  <c r="J776" i="12"/>
  <c r="J777" i="12"/>
  <c r="J778" i="12"/>
  <c r="J779" i="12"/>
  <c r="J780" i="12"/>
  <c r="J781" i="12"/>
  <c r="J782" i="12"/>
  <c r="J783" i="12"/>
  <c r="J784" i="12"/>
  <c r="J785" i="12"/>
  <c r="J786" i="12"/>
  <c r="J787" i="12"/>
  <c r="J788" i="12"/>
  <c r="J789" i="12"/>
  <c r="J790" i="12"/>
  <c r="J791" i="12"/>
  <c r="J792" i="12"/>
  <c r="J793" i="12"/>
  <c r="J794" i="12"/>
  <c r="J795" i="12"/>
  <c r="J796" i="12"/>
  <c r="J797" i="12"/>
  <c r="J798" i="12"/>
  <c r="J799" i="12"/>
  <c r="J800" i="12"/>
  <c r="J801" i="12"/>
  <c r="J802" i="12"/>
  <c r="J803" i="12"/>
  <c r="J804" i="12"/>
  <c r="J805" i="12"/>
  <c r="J806" i="12"/>
  <c r="J807" i="12"/>
  <c r="J808" i="12"/>
  <c r="J809" i="12"/>
  <c r="J810" i="12"/>
  <c r="J811" i="12"/>
  <c r="J812" i="12"/>
  <c r="J813" i="12"/>
  <c r="J814" i="12"/>
  <c r="J815" i="12"/>
  <c r="J816" i="12"/>
  <c r="J817" i="12"/>
  <c r="J818" i="12"/>
  <c r="J819" i="12"/>
  <c r="J820" i="12"/>
  <c r="J821" i="12"/>
  <c r="J822" i="12"/>
  <c r="J823" i="12"/>
  <c r="J824" i="12"/>
  <c r="J825" i="12"/>
  <c r="J826" i="12"/>
  <c r="J827" i="12"/>
  <c r="J828" i="12"/>
  <c r="J829" i="12"/>
  <c r="J830" i="12"/>
  <c r="J831" i="12"/>
  <c r="J832" i="12"/>
  <c r="J833" i="12"/>
  <c r="J834" i="12"/>
  <c r="J835" i="12"/>
  <c r="J836" i="12"/>
  <c r="J837" i="12"/>
  <c r="J838" i="12"/>
  <c r="J839" i="12"/>
  <c r="J840" i="12"/>
  <c r="J841" i="12"/>
  <c r="J842" i="12"/>
  <c r="J843" i="12"/>
  <c r="J844" i="12"/>
  <c r="J845" i="12"/>
  <c r="J846" i="12"/>
  <c r="J847" i="12"/>
  <c r="J848" i="12"/>
  <c r="J849" i="12"/>
  <c r="J850" i="12"/>
  <c r="J851" i="12"/>
  <c r="J852" i="12"/>
  <c r="J853" i="12"/>
  <c r="J854" i="12"/>
  <c r="J855" i="12"/>
  <c r="J856" i="12"/>
  <c r="J857" i="12"/>
  <c r="J858" i="12"/>
  <c r="J859" i="12"/>
  <c r="J860" i="12"/>
  <c r="J861" i="12"/>
  <c r="J862" i="12"/>
  <c r="J863" i="12"/>
  <c r="J864" i="12"/>
  <c r="J865" i="12"/>
  <c r="J866" i="12"/>
  <c r="J867" i="12"/>
  <c r="J868" i="12"/>
  <c r="J869" i="12"/>
  <c r="J870" i="12"/>
  <c r="J871" i="12"/>
  <c r="J872" i="12"/>
  <c r="J873" i="12"/>
  <c r="J874" i="12"/>
  <c r="J875" i="12"/>
  <c r="J876" i="12"/>
  <c r="J877" i="12"/>
  <c r="J878" i="12"/>
  <c r="J879" i="12"/>
  <c r="J880" i="12"/>
  <c r="J881" i="12"/>
  <c r="J882" i="12"/>
  <c r="J883" i="12"/>
  <c r="J884" i="12"/>
  <c r="J885" i="12"/>
  <c r="J886" i="12"/>
  <c r="J887" i="12"/>
  <c r="J888" i="12"/>
  <c r="J889" i="12"/>
  <c r="J890" i="12"/>
  <c r="J891" i="12"/>
  <c r="J892" i="12"/>
  <c r="J893" i="12"/>
  <c r="J894" i="12"/>
  <c r="J895" i="12"/>
  <c r="J896" i="12"/>
  <c r="J897" i="12"/>
  <c r="J898" i="12"/>
  <c r="J899" i="12"/>
  <c r="J900" i="12"/>
  <c r="J901" i="12"/>
  <c r="J902" i="12"/>
  <c r="J903" i="12"/>
  <c r="J904" i="12"/>
  <c r="J905" i="12"/>
  <c r="J906" i="12"/>
  <c r="J907" i="12"/>
  <c r="J908" i="12"/>
  <c r="J909" i="12"/>
  <c r="J910" i="12"/>
  <c r="J911" i="12"/>
  <c r="J912" i="12"/>
  <c r="J913" i="12"/>
  <c r="J914" i="12"/>
  <c r="J915" i="12"/>
  <c r="J916" i="12"/>
  <c r="J917" i="12"/>
  <c r="J918" i="12"/>
  <c r="J919" i="12"/>
  <c r="J920" i="12"/>
  <c r="J921" i="12"/>
  <c r="J922" i="12"/>
  <c r="J923" i="12"/>
  <c r="J924" i="12"/>
  <c r="J925" i="12"/>
  <c r="J926" i="12"/>
  <c r="J927" i="12"/>
  <c r="J928" i="12"/>
  <c r="J929" i="12"/>
  <c r="J930" i="12"/>
  <c r="J931" i="12"/>
  <c r="J932" i="12"/>
  <c r="J933" i="12"/>
  <c r="J934" i="12"/>
  <c r="J935" i="12"/>
  <c r="J936" i="12"/>
  <c r="J937" i="12"/>
  <c r="J938" i="12"/>
  <c r="J939" i="12"/>
  <c r="J940" i="12"/>
  <c r="J941" i="12"/>
  <c r="J942" i="12"/>
  <c r="J943" i="12"/>
  <c r="J944" i="12"/>
  <c r="J945" i="12"/>
  <c r="J946" i="12"/>
  <c r="J947" i="12"/>
  <c r="J948" i="12"/>
  <c r="J949" i="12"/>
  <c r="J950" i="12"/>
  <c r="J951" i="12"/>
  <c r="J952" i="12"/>
  <c r="J953" i="12"/>
  <c r="J954" i="12"/>
  <c r="J955" i="12"/>
  <c r="J956" i="12"/>
  <c r="J957" i="12"/>
  <c r="J958" i="12"/>
  <c r="J959" i="12"/>
  <c r="J960" i="12"/>
  <c r="J961" i="12"/>
  <c r="J962" i="12"/>
  <c r="J963" i="12"/>
  <c r="J964" i="12"/>
  <c r="J965" i="12"/>
  <c r="J966" i="12"/>
  <c r="J967" i="12"/>
  <c r="J968" i="12"/>
  <c r="J969" i="12"/>
  <c r="J970" i="12"/>
  <c r="J971" i="12"/>
  <c r="J972" i="12"/>
  <c r="J973" i="12"/>
  <c r="J974" i="12"/>
  <c r="J975" i="12"/>
  <c r="J976" i="12"/>
  <c r="J977" i="12"/>
  <c r="J978" i="12"/>
  <c r="J979" i="12"/>
  <c r="J980" i="12"/>
  <c r="J981" i="12"/>
  <c r="J982" i="12"/>
  <c r="J983" i="12"/>
  <c r="J984" i="12"/>
  <c r="J985" i="12"/>
  <c r="J986" i="12"/>
  <c r="J987" i="12"/>
  <c r="J988" i="12"/>
  <c r="J989" i="12"/>
  <c r="J990" i="12"/>
  <c r="J991" i="12"/>
  <c r="J992" i="12"/>
  <c r="J993" i="12"/>
  <c r="J994" i="12"/>
  <c r="J995" i="12"/>
  <c r="J996" i="12"/>
  <c r="J997" i="12"/>
  <c r="J998" i="12"/>
  <c r="J999" i="12"/>
  <c r="J1000" i="12"/>
  <c r="J1001" i="12"/>
  <c r="J1002" i="12"/>
  <c r="J1003" i="12"/>
  <c r="J1004" i="12"/>
  <c r="J1005" i="12"/>
  <c r="J1006" i="12"/>
  <c r="J1007" i="12"/>
  <c r="J1008" i="12"/>
  <c r="J1009" i="12"/>
  <c r="J1010" i="12"/>
  <c r="J1011" i="12"/>
  <c r="J1012" i="12"/>
  <c r="J1013" i="12"/>
  <c r="J1014" i="12"/>
  <c r="J1015" i="12"/>
  <c r="J1016" i="12"/>
  <c r="J1017" i="12"/>
  <c r="J1018" i="12"/>
  <c r="J1019" i="12"/>
  <c r="J1020" i="12"/>
  <c r="J1021" i="12"/>
  <c r="J1022" i="12"/>
  <c r="J1023" i="12"/>
  <c r="J1024" i="12"/>
  <c r="J1025" i="12"/>
  <c r="J1026" i="12"/>
  <c r="J1027" i="12"/>
  <c r="J1028" i="12"/>
  <c r="J1029" i="12"/>
  <c r="J1030" i="12"/>
  <c r="J1031" i="12"/>
  <c r="J1032" i="12"/>
  <c r="J1033" i="12"/>
  <c r="J1034" i="12"/>
  <c r="J1035" i="12"/>
  <c r="J1036" i="12"/>
  <c r="J1037" i="12"/>
  <c r="J1038" i="12"/>
  <c r="J1039" i="12"/>
  <c r="J1040" i="12"/>
  <c r="J1041" i="12"/>
  <c r="J1042" i="12"/>
  <c r="J1043" i="12"/>
  <c r="J1044" i="12"/>
  <c r="J1045" i="12"/>
  <c r="J1046" i="12"/>
  <c r="J1047" i="12"/>
  <c r="J1048" i="12"/>
  <c r="J1049" i="12"/>
  <c r="J1050" i="12"/>
  <c r="J1051" i="12"/>
  <c r="J1052" i="12"/>
  <c r="J1053" i="12"/>
  <c r="J1054" i="12"/>
  <c r="J1055" i="12"/>
  <c r="J1056" i="12"/>
  <c r="J1057" i="12"/>
  <c r="J1058" i="12"/>
  <c r="J1059" i="12"/>
  <c r="J1060" i="12"/>
  <c r="J1061" i="12"/>
  <c r="J1062" i="12"/>
  <c r="J1063" i="12"/>
  <c r="J1064" i="12"/>
  <c r="J1065" i="12"/>
  <c r="J1066" i="12"/>
  <c r="J1067" i="12"/>
  <c r="J1068" i="12"/>
  <c r="J1069" i="12"/>
  <c r="J1070" i="12"/>
  <c r="J1071" i="12"/>
  <c r="J1072" i="12"/>
  <c r="J1073" i="12"/>
  <c r="J1074" i="12"/>
  <c r="J1075" i="12"/>
  <c r="J1076" i="12"/>
  <c r="J1077" i="12"/>
  <c r="J1078" i="12"/>
  <c r="J1079" i="12"/>
  <c r="J1080" i="12"/>
  <c r="J1081" i="12"/>
  <c r="J1082" i="12"/>
  <c r="J1083" i="12"/>
  <c r="J1084" i="12"/>
  <c r="J1085" i="12"/>
  <c r="J1086" i="12"/>
  <c r="J1087" i="12"/>
  <c r="J1088" i="12"/>
  <c r="J1089" i="12"/>
  <c r="J1090" i="12"/>
  <c r="J1091" i="12"/>
  <c r="J1092" i="12"/>
  <c r="J1093" i="12"/>
  <c r="J1094" i="12"/>
  <c r="J1095" i="12"/>
  <c r="J1096" i="12"/>
  <c r="J1097" i="12"/>
  <c r="J1098" i="12"/>
  <c r="J1099" i="12"/>
  <c r="J1100" i="12"/>
  <c r="J1101" i="12"/>
  <c r="J1102" i="12"/>
  <c r="J1103" i="12"/>
  <c r="J1104" i="12"/>
  <c r="J1105" i="12"/>
  <c r="J1106" i="12"/>
  <c r="J1107" i="12"/>
  <c r="J1108" i="12"/>
  <c r="J1109" i="12"/>
  <c r="J1110" i="12"/>
  <c r="J1111" i="12"/>
  <c r="J1112" i="12"/>
  <c r="J1113" i="12"/>
  <c r="J1114" i="12"/>
  <c r="J1115" i="12"/>
  <c r="J1116" i="12"/>
  <c r="J1117" i="12"/>
  <c r="J1118" i="12"/>
  <c r="J1119" i="12"/>
  <c r="J1120" i="12"/>
  <c r="J1121" i="12"/>
  <c r="J1122" i="12"/>
  <c r="J1123" i="12"/>
  <c r="J1124" i="12"/>
  <c r="J1125" i="12"/>
  <c r="J1126" i="12"/>
  <c r="J1127" i="12"/>
  <c r="J1128" i="12"/>
  <c r="J1129" i="12"/>
  <c r="J1130" i="12"/>
  <c r="J1131" i="12"/>
  <c r="J1132" i="12"/>
  <c r="J1133" i="12"/>
  <c r="J1134" i="12"/>
  <c r="J1135" i="12"/>
  <c r="J1136" i="12"/>
  <c r="J1137" i="12"/>
  <c r="J1138" i="12"/>
  <c r="J1139" i="12"/>
  <c r="J1140" i="12"/>
  <c r="J1141" i="12"/>
  <c r="J1142" i="12"/>
  <c r="J1143" i="12"/>
  <c r="J1144" i="12"/>
  <c r="J1145" i="12"/>
  <c r="J1146" i="12"/>
  <c r="J1147" i="12"/>
  <c r="J1148" i="12"/>
  <c r="J1149" i="12"/>
  <c r="J1150" i="12"/>
  <c r="J1151" i="12"/>
  <c r="J1152" i="12"/>
  <c r="J1153" i="12"/>
  <c r="J1154" i="12"/>
  <c r="J1155" i="12"/>
  <c r="J1156" i="12"/>
  <c r="J1157" i="12"/>
  <c r="J1158" i="12"/>
  <c r="J1159" i="12"/>
  <c r="J1160" i="12"/>
  <c r="J1161" i="12"/>
  <c r="J1162" i="12"/>
  <c r="J1163" i="12"/>
  <c r="J1164" i="12"/>
  <c r="J1165" i="12"/>
  <c r="J1166" i="12"/>
  <c r="J1167" i="12"/>
  <c r="J1168" i="12"/>
  <c r="J1169" i="12"/>
  <c r="J1170" i="12"/>
  <c r="J1171" i="12"/>
  <c r="J1172" i="12"/>
  <c r="J1173" i="12"/>
  <c r="J1174" i="12"/>
  <c r="J1175" i="12"/>
  <c r="J1176" i="12"/>
  <c r="J1177" i="12"/>
  <c r="J1178" i="12"/>
  <c r="J1179" i="12"/>
  <c r="J1180" i="12"/>
  <c r="J1181" i="12"/>
  <c r="J1182" i="12"/>
  <c r="J1183" i="12"/>
  <c r="J1184" i="12"/>
  <c r="J1185" i="12"/>
  <c r="J1186" i="12"/>
  <c r="J1187" i="12"/>
  <c r="J1188" i="12"/>
  <c r="J1189" i="12"/>
  <c r="J1190" i="12"/>
  <c r="J1191" i="12"/>
  <c r="J1192" i="12"/>
  <c r="J1193" i="12"/>
  <c r="J1194" i="12"/>
  <c r="J1195" i="12"/>
  <c r="J1196" i="12"/>
  <c r="J1197" i="12"/>
  <c r="J1198" i="12"/>
  <c r="J1199" i="12"/>
  <c r="J1200" i="12"/>
  <c r="J1201" i="12"/>
  <c r="J1202" i="12"/>
  <c r="J1203" i="12"/>
  <c r="J1204" i="12"/>
  <c r="J1205" i="12"/>
  <c r="J1206" i="12"/>
  <c r="J1207" i="12"/>
  <c r="J1208" i="12"/>
  <c r="J1209" i="12"/>
  <c r="J1210" i="12"/>
  <c r="J1211" i="12"/>
  <c r="J1212" i="12"/>
  <c r="J1213" i="12"/>
  <c r="J1214" i="12"/>
  <c r="J1215" i="12"/>
  <c r="J1216" i="12"/>
  <c r="J1217" i="12"/>
  <c r="J1218" i="12"/>
  <c r="J1219" i="12"/>
  <c r="J1220" i="12"/>
  <c r="J1221" i="12"/>
  <c r="J1222" i="12"/>
  <c r="J1223" i="12"/>
  <c r="J1224" i="12"/>
  <c r="J1225" i="12"/>
  <c r="J1226" i="12"/>
  <c r="J1227" i="12"/>
  <c r="J1228" i="12"/>
  <c r="J1229" i="12"/>
  <c r="J1230" i="12"/>
  <c r="J1231" i="12"/>
  <c r="J1232" i="12"/>
  <c r="J1233" i="12"/>
  <c r="J1234" i="12"/>
  <c r="J1235" i="12"/>
  <c r="J1236" i="12"/>
  <c r="J1237" i="12"/>
  <c r="J1238" i="12"/>
  <c r="J1239" i="12"/>
  <c r="J1240" i="12"/>
  <c r="J1241" i="12"/>
  <c r="J1242" i="12"/>
  <c r="J1243" i="12"/>
  <c r="J1244" i="12"/>
  <c r="J1245" i="12"/>
  <c r="J1246" i="12"/>
  <c r="J1247" i="12"/>
  <c r="J1248" i="12"/>
  <c r="J1249" i="12"/>
  <c r="J1250" i="12"/>
  <c r="J1251" i="12"/>
  <c r="J1252" i="12"/>
  <c r="J1253" i="12"/>
  <c r="J1254" i="12"/>
  <c r="J1255" i="12"/>
  <c r="J1256" i="12"/>
  <c r="J1257" i="12"/>
  <c r="J1258" i="12"/>
  <c r="J1259" i="12"/>
  <c r="J1260" i="12"/>
  <c r="J1261" i="12"/>
  <c r="J1262" i="12"/>
  <c r="J1263" i="12"/>
  <c r="J1264" i="12"/>
  <c r="J1265" i="12"/>
  <c r="J1266" i="12"/>
  <c r="J1267" i="12"/>
  <c r="J1268" i="12"/>
  <c r="J1269" i="12"/>
  <c r="J1270" i="12"/>
  <c r="J1271" i="12"/>
  <c r="J1272" i="12"/>
  <c r="J1273" i="12"/>
  <c r="J1274" i="12"/>
  <c r="J1275" i="12"/>
  <c r="J1276" i="12"/>
  <c r="J1277" i="12"/>
  <c r="J1278" i="12"/>
  <c r="J1279" i="12"/>
  <c r="J1280" i="12"/>
  <c r="J1281" i="12"/>
  <c r="J1282" i="12"/>
  <c r="J1283" i="12"/>
  <c r="J1284" i="12"/>
  <c r="J1285" i="12"/>
  <c r="J1286" i="12"/>
  <c r="J1287" i="12"/>
  <c r="J1288" i="12"/>
  <c r="J1289" i="12"/>
  <c r="J1290" i="12"/>
  <c r="J1291" i="12"/>
  <c r="J1292" i="12"/>
  <c r="J1293" i="12"/>
  <c r="J1294" i="12"/>
  <c r="J1295" i="12"/>
  <c r="J1296" i="12"/>
  <c r="J1297" i="12"/>
  <c r="J1298" i="12"/>
  <c r="J1299" i="12"/>
  <c r="J1300" i="12"/>
  <c r="J1301" i="12"/>
  <c r="J1302" i="12"/>
  <c r="J1303" i="12"/>
  <c r="J1304" i="12"/>
  <c r="J1305" i="12"/>
  <c r="J1306" i="12"/>
  <c r="J1307" i="12"/>
  <c r="J1308" i="12"/>
  <c r="J1309" i="12"/>
  <c r="J1310" i="12"/>
  <c r="J1311" i="12"/>
  <c r="J1312" i="12"/>
  <c r="J1313" i="12"/>
  <c r="J1314" i="12"/>
  <c r="J1315" i="12"/>
  <c r="J1316" i="12"/>
  <c r="J1317" i="12"/>
  <c r="J1318" i="12"/>
  <c r="J1319" i="12"/>
  <c r="J1320" i="12"/>
  <c r="J1321" i="12"/>
  <c r="J1322" i="12"/>
  <c r="J1323" i="12"/>
  <c r="J1324" i="12"/>
  <c r="J1325" i="12"/>
  <c r="J1326" i="12"/>
  <c r="J1327" i="12"/>
  <c r="J1328" i="12"/>
  <c r="J1329" i="12"/>
  <c r="J1330" i="12"/>
  <c r="J1331" i="12"/>
  <c r="J1332" i="12"/>
  <c r="J1333" i="12"/>
  <c r="J1334" i="12"/>
  <c r="J1335" i="12"/>
  <c r="J1336" i="12"/>
  <c r="J1337" i="12"/>
  <c r="J1338" i="12"/>
  <c r="J1339" i="12"/>
  <c r="J1340" i="12"/>
  <c r="J1341" i="12"/>
  <c r="J1342" i="12"/>
  <c r="J1343" i="12"/>
  <c r="J1344" i="12"/>
  <c r="J1345" i="12"/>
  <c r="J1346" i="12"/>
  <c r="J1347" i="12"/>
  <c r="J1348" i="12"/>
  <c r="J1349" i="12"/>
  <c r="J1350" i="12"/>
  <c r="J1351" i="12"/>
  <c r="J1352" i="12"/>
  <c r="J1353" i="12"/>
  <c r="J1354" i="12"/>
  <c r="J1355" i="12"/>
  <c r="J1356" i="12"/>
  <c r="J1357" i="12"/>
  <c r="J1358" i="12"/>
  <c r="J1359" i="12"/>
  <c r="J1360" i="12"/>
  <c r="J1361" i="12"/>
  <c r="J1362" i="12"/>
  <c r="J1363" i="12"/>
  <c r="J1364" i="12"/>
  <c r="J1365" i="12"/>
  <c r="J1366" i="12"/>
  <c r="J1367" i="12"/>
  <c r="J1368" i="12"/>
  <c r="J1369" i="12"/>
  <c r="J1370" i="12"/>
  <c r="J1371" i="12"/>
  <c r="J1372" i="12"/>
  <c r="J1373" i="12"/>
  <c r="J1374" i="12"/>
  <c r="J1375" i="12"/>
  <c r="J1376" i="12"/>
  <c r="J1377" i="12"/>
  <c r="J1378" i="12"/>
  <c r="J1379" i="12"/>
  <c r="J1380" i="12"/>
  <c r="J1381" i="12"/>
  <c r="J1382" i="12"/>
  <c r="J1383" i="12"/>
  <c r="J1384" i="12"/>
  <c r="J1385" i="12"/>
  <c r="J1386" i="12"/>
  <c r="J1387" i="12"/>
  <c r="J1388" i="12"/>
  <c r="J1389" i="12"/>
  <c r="J1390" i="12"/>
  <c r="J1391" i="12"/>
  <c r="J1392" i="12"/>
  <c r="J1393" i="12"/>
  <c r="J1394" i="12"/>
  <c r="J1395" i="12"/>
  <c r="J1396" i="12"/>
  <c r="J1397" i="12"/>
  <c r="J1398" i="12"/>
  <c r="J1399" i="12"/>
  <c r="J1400" i="12"/>
  <c r="J1401" i="12"/>
  <c r="J1402" i="12"/>
  <c r="J1403" i="12"/>
  <c r="J1404" i="12"/>
  <c r="J1405" i="12"/>
  <c r="J1406" i="12"/>
  <c r="J1407" i="12"/>
  <c r="J1408" i="12"/>
  <c r="J1409" i="12"/>
  <c r="J1410" i="12"/>
  <c r="J1411" i="12"/>
  <c r="J1412" i="12"/>
  <c r="J1413" i="12"/>
  <c r="J1414" i="12"/>
  <c r="J1415" i="12"/>
  <c r="J1416" i="12"/>
  <c r="J1417" i="12"/>
  <c r="J1418" i="12"/>
  <c r="J1419" i="12"/>
  <c r="J1420" i="12"/>
  <c r="J1421" i="12"/>
  <c r="J1422" i="12"/>
  <c r="J1423" i="12"/>
  <c r="J1424" i="12"/>
  <c r="J1425" i="12"/>
  <c r="J1426" i="12"/>
  <c r="J1427" i="12"/>
  <c r="J1428" i="12"/>
  <c r="J1429" i="12"/>
  <c r="J1430" i="12"/>
  <c r="J1431" i="12"/>
  <c r="J1432" i="12"/>
  <c r="J1433" i="12"/>
  <c r="J1434" i="12"/>
  <c r="J1435" i="12"/>
  <c r="J1436" i="12"/>
  <c r="J1437" i="12"/>
  <c r="J1438" i="12"/>
  <c r="J1439" i="12"/>
  <c r="J1440" i="12"/>
  <c r="J1441" i="12"/>
  <c r="J1442" i="12"/>
  <c r="J1443" i="12"/>
  <c r="J1444" i="12"/>
  <c r="J1445" i="12"/>
  <c r="J1446" i="12"/>
  <c r="J1447" i="12"/>
  <c r="J1448" i="12"/>
  <c r="J1449" i="12"/>
  <c r="J1450" i="12"/>
  <c r="J1451" i="12"/>
  <c r="J1452" i="12"/>
  <c r="J1453" i="12"/>
  <c r="J1454" i="12"/>
  <c r="J1455" i="12"/>
  <c r="J1456" i="12"/>
  <c r="J1457" i="12"/>
  <c r="J1458" i="12"/>
  <c r="J1459" i="12"/>
  <c r="J1460" i="12"/>
  <c r="J1461" i="12"/>
  <c r="J1462" i="12"/>
  <c r="J1463" i="12"/>
  <c r="J1464" i="12"/>
  <c r="J1465" i="12"/>
  <c r="J1466" i="12"/>
  <c r="J1467" i="12"/>
  <c r="J1468" i="12"/>
  <c r="J1469" i="12"/>
  <c r="J1470" i="12"/>
  <c r="J1471" i="12"/>
  <c r="J1472" i="12"/>
  <c r="J1473" i="12"/>
  <c r="J1474" i="12"/>
  <c r="J1475" i="12"/>
  <c r="J1476" i="12"/>
  <c r="J1477" i="12"/>
  <c r="J1478" i="12"/>
  <c r="J1479" i="12"/>
  <c r="J1480" i="12"/>
  <c r="J1481" i="12"/>
  <c r="J1482" i="12"/>
  <c r="J1483" i="12"/>
  <c r="J1484" i="12"/>
  <c r="J1485" i="12"/>
  <c r="J1486" i="12"/>
  <c r="J1487" i="12"/>
  <c r="J1488" i="12"/>
  <c r="J1489" i="12"/>
  <c r="J1490" i="12"/>
  <c r="J1491" i="12"/>
  <c r="J1492" i="12"/>
  <c r="J1493" i="12"/>
  <c r="J1494" i="12"/>
  <c r="J1495" i="12"/>
  <c r="J1496" i="12"/>
  <c r="J1497" i="12"/>
  <c r="J1498" i="12"/>
  <c r="J1499" i="12"/>
  <c r="J1500" i="12"/>
  <c r="J1501" i="12"/>
  <c r="J1502" i="12"/>
  <c r="J1503" i="12"/>
  <c r="J1504" i="12"/>
  <c r="J1505" i="12"/>
  <c r="J1506" i="12"/>
  <c r="J1507" i="12"/>
  <c r="J1508" i="12"/>
  <c r="J1509" i="12"/>
  <c r="J1510" i="12"/>
  <c r="J1511" i="12"/>
  <c r="J1512" i="12"/>
  <c r="J1513" i="12"/>
  <c r="J1514" i="12"/>
  <c r="J1515" i="12"/>
  <c r="J1516" i="12"/>
  <c r="J1517" i="12"/>
  <c r="J1518" i="12"/>
  <c r="J1519" i="12"/>
  <c r="J1520" i="12"/>
  <c r="J1521" i="12"/>
  <c r="J1522" i="12"/>
  <c r="J1523" i="12"/>
  <c r="J1524" i="12"/>
  <c r="J1525" i="12"/>
  <c r="J1526" i="12"/>
  <c r="J1527" i="12"/>
  <c r="J1528" i="12"/>
  <c r="J1529" i="12"/>
  <c r="J1530" i="12"/>
  <c r="J1531" i="12"/>
  <c r="J1532" i="12"/>
  <c r="J1533" i="12"/>
  <c r="J1534" i="12"/>
  <c r="J1535" i="12"/>
  <c r="J1536" i="12"/>
  <c r="J1537" i="12"/>
  <c r="J1538" i="12"/>
  <c r="J1539" i="12"/>
  <c r="J1540" i="12"/>
  <c r="J1541" i="12"/>
  <c r="J1542" i="12"/>
  <c r="J1543" i="12"/>
  <c r="J1544" i="12"/>
  <c r="J1545" i="12"/>
  <c r="J1546" i="12"/>
  <c r="J1547" i="12"/>
  <c r="J1548" i="12"/>
  <c r="J1549" i="12"/>
  <c r="J1550" i="12"/>
  <c r="J1551" i="12"/>
  <c r="J1552" i="12"/>
  <c r="J1553" i="12"/>
  <c r="J1554" i="12"/>
  <c r="J1555" i="12"/>
  <c r="J1556" i="12"/>
  <c r="J1557" i="12"/>
  <c r="J1558" i="12"/>
  <c r="J1559" i="12"/>
  <c r="J1560" i="12"/>
  <c r="J1561" i="12"/>
  <c r="J1562" i="12"/>
  <c r="J1563" i="12"/>
  <c r="J1564" i="12"/>
  <c r="J1565" i="12"/>
  <c r="J1566" i="12"/>
  <c r="J1567" i="12"/>
  <c r="J1568" i="12"/>
  <c r="J1569" i="12"/>
  <c r="J1570" i="12"/>
  <c r="J1571" i="12"/>
  <c r="J1572" i="12"/>
  <c r="J1573" i="12"/>
  <c r="J1574" i="12"/>
  <c r="J1575" i="12"/>
  <c r="J1576" i="12"/>
  <c r="J1577" i="12"/>
  <c r="J1578" i="12"/>
  <c r="J1579" i="12"/>
  <c r="J1580" i="12"/>
  <c r="J1581" i="12"/>
  <c r="J1582" i="12"/>
  <c r="J1583" i="12"/>
  <c r="J1584" i="12"/>
  <c r="J1585" i="12"/>
  <c r="J1586" i="12"/>
  <c r="J1587" i="12"/>
  <c r="J1588" i="12"/>
  <c r="J1589" i="12"/>
  <c r="J1590" i="12"/>
  <c r="J1591" i="12"/>
  <c r="J1592" i="12"/>
  <c r="J1593" i="12"/>
  <c r="J1594" i="12"/>
  <c r="J1595" i="12"/>
  <c r="J1596" i="12"/>
  <c r="J1597" i="12"/>
  <c r="J1598" i="12"/>
  <c r="J1599" i="12"/>
  <c r="J1600" i="12"/>
  <c r="J1601" i="12"/>
  <c r="J1602" i="12"/>
  <c r="J1603" i="12"/>
  <c r="J1604" i="12"/>
  <c r="J1605" i="12"/>
  <c r="J1606" i="12"/>
  <c r="J1607" i="12"/>
  <c r="J1608" i="12"/>
  <c r="J1609" i="12"/>
  <c r="J1610" i="12"/>
  <c r="J1611" i="12"/>
  <c r="J1612" i="12"/>
  <c r="J1613" i="12"/>
  <c r="J1614" i="12"/>
  <c r="J1615" i="12"/>
  <c r="J1616" i="12"/>
  <c r="J1617" i="12"/>
  <c r="J1618" i="12"/>
  <c r="J1619" i="12"/>
  <c r="J1620" i="12"/>
  <c r="J1621" i="12"/>
  <c r="J1622" i="12"/>
  <c r="J1623" i="12"/>
  <c r="J1624" i="12"/>
  <c r="J1625" i="12"/>
  <c r="J1626" i="12"/>
  <c r="J1627" i="12"/>
  <c r="J1628" i="12"/>
  <c r="J1629" i="12"/>
  <c r="J1630" i="12"/>
  <c r="J1631" i="12"/>
  <c r="J1632" i="12"/>
  <c r="J1633" i="12"/>
  <c r="J1634" i="12"/>
  <c r="J1635" i="12"/>
  <c r="J1636" i="12"/>
  <c r="J1637" i="12"/>
  <c r="J1638" i="12"/>
  <c r="J1639" i="12"/>
  <c r="J1640" i="12"/>
  <c r="J1641" i="12"/>
  <c r="J1642" i="12"/>
  <c r="J1643" i="12"/>
  <c r="J1644" i="12"/>
  <c r="J1645" i="12"/>
  <c r="J1646" i="12"/>
  <c r="J1647" i="12"/>
  <c r="J1648" i="12"/>
  <c r="J1649" i="12"/>
  <c r="J1650" i="12"/>
  <c r="J1651" i="12"/>
  <c r="J1652" i="12"/>
  <c r="J1653" i="12"/>
  <c r="J1654" i="12"/>
  <c r="J1655" i="12"/>
  <c r="J1656" i="12"/>
  <c r="J1657" i="12"/>
  <c r="J1658" i="12"/>
  <c r="J1659" i="12"/>
  <c r="J1660" i="12"/>
  <c r="J1661" i="12"/>
  <c r="J1662" i="12"/>
  <c r="J1663" i="12"/>
  <c r="J1664" i="12"/>
  <c r="J1665" i="12"/>
  <c r="J1666" i="12"/>
  <c r="J1667" i="12"/>
  <c r="J1668" i="12"/>
  <c r="J1669" i="12"/>
  <c r="J1670" i="12"/>
  <c r="J1671" i="12"/>
  <c r="J1672" i="12"/>
  <c r="J1673" i="12"/>
  <c r="J1674" i="12"/>
  <c r="J1675" i="12"/>
  <c r="C54" i="3"/>
  <c r="C53" i="3"/>
  <c r="C52" i="3"/>
  <c r="C51" i="3"/>
  <c r="C50" i="3"/>
  <c r="C49" i="3"/>
  <c r="C48" i="3"/>
  <c r="C47" i="3"/>
  <c r="C46" i="3"/>
  <c r="C45" i="3"/>
  <c r="C44" i="3"/>
  <c r="C43" i="3"/>
  <c r="C42" i="3"/>
  <c r="C41" i="3"/>
  <c r="C40" i="3"/>
  <c r="C39" i="3"/>
  <c r="C38" i="3"/>
  <c r="C37" i="3"/>
  <c r="C36" i="3"/>
  <c r="C35" i="3"/>
  <c r="C34" i="3"/>
  <c r="C13" i="3"/>
  <c r="C33" i="3"/>
  <c r="C32" i="3"/>
  <c r="C31" i="3"/>
  <c r="C30" i="3"/>
  <c r="C29" i="3"/>
  <c r="C27" i="3"/>
  <c r="C28" i="3"/>
  <c r="C25" i="3"/>
  <c r="C24" i="3"/>
  <c r="C23" i="3"/>
  <c r="C22" i="3"/>
  <c r="C19" i="3"/>
  <c r="C17" i="3"/>
  <c r="C16" i="3"/>
  <c r="C15" i="3"/>
  <c r="C26" i="3"/>
  <c r="C21" i="3"/>
  <c r="C20" i="3"/>
  <c r="C18" i="3"/>
  <c r="C14" i="3"/>
  <c r="C12" i="3"/>
  <c r="C11" i="3"/>
  <c r="C10" i="3"/>
  <c r="C9" i="3"/>
  <c r="C8" i="3"/>
  <c r="C7" i="3"/>
  <c r="C2" i="3"/>
  <c r="C6" i="3"/>
  <c r="C5" i="3"/>
  <c r="C4" i="3"/>
  <c r="C3" i="3"/>
  <c r="P48" i="12"/>
  <c r="D78" i="9"/>
  <c r="A56" i="9"/>
  <c r="P47" i="12"/>
  <c r="P46" i="12"/>
  <c r="P45" i="12"/>
  <c r="G92" i="9"/>
  <c r="F6" i="9" l="1"/>
  <c r="I5" i="9"/>
  <c r="I6" i="9"/>
  <c r="D988" i="1"/>
  <c r="O697" i="1"/>
  <c r="O530" i="1"/>
  <c r="D683" i="1"/>
  <c r="O563" i="1"/>
  <c r="O1051" i="1"/>
  <c r="D1439" i="1"/>
  <c r="O291" i="1"/>
  <c r="D256" i="1"/>
  <c r="D1404" i="1"/>
  <c r="O433" i="1"/>
  <c r="D451" i="1"/>
  <c r="O790" i="1"/>
  <c r="O33" i="1"/>
  <c r="O577" i="1"/>
  <c r="O1229" i="1"/>
  <c r="D332" i="1"/>
  <c r="O886" i="1"/>
  <c r="D524" i="1"/>
  <c r="O1559" i="1"/>
  <c r="O1174" i="1"/>
  <c r="O154" i="1"/>
  <c r="O946" i="1"/>
  <c r="D487" i="1"/>
  <c r="O1468" i="1"/>
  <c r="O1504" i="1"/>
  <c r="O1542" i="1"/>
  <c r="D700" i="1"/>
  <c r="D177" i="1"/>
  <c r="O1624" i="1"/>
  <c r="D1044" i="1"/>
  <c r="O495" i="1"/>
  <c r="D1532" i="1"/>
  <c r="D963" i="1"/>
  <c r="D1002" i="1"/>
  <c r="D145" i="1"/>
  <c r="O1476" i="1"/>
  <c r="D768" i="1"/>
  <c r="M674" i="1"/>
  <c r="H674" i="12"/>
  <c r="D619" i="1"/>
  <c r="M1465" i="1"/>
  <c r="H1465" i="12"/>
  <c r="H61" i="12"/>
  <c r="M61" i="1"/>
  <c r="O960" i="1"/>
  <c r="D1364" i="1"/>
  <c r="D1214" i="1"/>
  <c r="D1398" i="1"/>
  <c r="D446" i="1"/>
  <c r="D882" i="1"/>
  <c r="O226" i="1"/>
  <c r="D1256" i="1"/>
  <c r="H429" i="12"/>
  <c r="M429" i="1"/>
  <c r="O1641" i="1"/>
  <c r="O1135" i="1"/>
  <c r="O1187" i="1"/>
  <c r="H135" i="12"/>
  <c r="M135" i="1"/>
  <c r="O854" i="1"/>
  <c r="M524" i="1"/>
  <c r="H524" i="12"/>
  <c r="O369" i="1"/>
  <c r="O1566" i="1"/>
  <c r="M680" i="1"/>
  <c r="H680" i="12"/>
  <c r="M853" i="1"/>
  <c r="H853" i="12"/>
  <c r="M607" i="1"/>
  <c r="H607" i="12"/>
  <c r="M1436" i="1"/>
  <c r="H1436" i="12"/>
  <c r="D1099" i="1"/>
  <c r="D405" i="1"/>
  <c r="O1118" i="1"/>
  <c r="D701" i="1"/>
  <c r="D411" i="1"/>
  <c r="D118" i="1"/>
  <c r="O823" i="1"/>
  <c r="O1091" i="1"/>
  <c r="O1612" i="1"/>
  <c r="M837" i="1"/>
  <c r="H837" i="12"/>
  <c r="O648" i="1"/>
  <c r="H912" i="12"/>
  <c r="M912" i="1"/>
  <c r="O686" i="1"/>
  <c r="O330" i="1"/>
  <c r="O357" i="1"/>
  <c r="H1664" i="12"/>
  <c r="M1664" i="1"/>
  <c r="O338" i="1"/>
  <c r="D679" i="1"/>
  <c r="D1549" i="1"/>
  <c r="O575" i="1"/>
  <c r="O1323" i="1"/>
  <c r="D392" i="1"/>
  <c r="O1483" i="1"/>
  <c r="O992" i="1"/>
  <c r="M162" i="1"/>
  <c r="H162" i="12"/>
  <c r="O1003" i="1"/>
  <c r="O1178" i="1"/>
  <c r="O1279" i="1"/>
  <c r="D453" i="1"/>
  <c r="D865" i="1"/>
  <c r="D313" i="1"/>
  <c r="D442" i="1"/>
  <c r="D1034" i="1"/>
  <c r="O209" i="1"/>
  <c r="D203" i="1"/>
  <c r="O727" i="1"/>
  <c r="D1337" i="1"/>
  <c r="M1184" i="1"/>
  <c r="H1184" i="12"/>
  <c r="H1114" i="12"/>
  <c r="M1114" i="1"/>
  <c r="M846" i="1"/>
  <c r="H846" i="12"/>
  <c r="O780" i="1"/>
  <c r="D885" i="1"/>
  <c r="D192" i="1"/>
  <c r="M381" i="1"/>
  <c r="H381" i="12"/>
  <c r="D1275" i="1"/>
  <c r="O1182" i="1"/>
  <c r="H1342" i="12"/>
  <c r="M1342" i="1"/>
  <c r="O564" i="1"/>
  <c r="D941" i="1"/>
  <c r="H312" i="12"/>
  <c r="M312" i="1"/>
  <c r="D1313" i="1"/>
  <c r="O903" i="1"/>
  <c r="D712" i="1"/>
  <c r="D5" i="1"/>
  <c r="D278" i="1"/>
  <c r="D267" i="1"/>
  <c r="D1287" i="1"/>
  <c r="O1362" i="1"/>
  <c r="O657" i="1"/>
  <c r="O76" i="1"/>
  <c r="D1109" i="1"/>
  <c r="O81" i="1"/>
  <c r="D1465" i="1"/>
  <c r="O327" i="1"/>
  <c r="D552" i="1"/>
  <c r="D735" i="1"/>
  <c r="O1401" i="1"/>
  <c r="D1409" i="1"/>
  <c r="M529" i="1"/>
  <c r="H529" i="12"/>
  <c r="O442" i="1"/>
  <c r="D1453" i="1"/>
  <c r="O1288" i="1"/>
  <c r="D1239" i="1"/>
  <c r="O876" i="1"/>
  <c r="D1365" i="1"/>
  <c r="H703" i="12"/>
  <c r="M703" i="1"/>
  <c r="O1409" i="1"/>
  <c r="H521" i="12"/>
  <c r="M521" i="1"/>
  <c r="H648" i="12"/>
  <c r="M648" i="1"/>
  <c r="D1327" i="1"/>
  <c r="D927" i="1"/>
  <c r="D1668" i="1"/>
  <c r="D110" i="1"/>
  <c r="D626" i="1"/>
  <c r="D280" i="1"/>
  <c r="M489" i="1"/>
  <c r="H489" i="12"/>
  <c r="O1306" i="1"/>
  <c r="O462" i="1"/>
  <c r="D1654" i="1"/>
  <c r="O365" i="1"/>
  <c r="H1104" i="12"/>
  <c r="M1104" i="1"/>
  <c r="B34" i="3"/>
  <c r="D114" i="1"/>
  <c r="D38" i="1"/>
  <c r="O857" i="1"/>
  <c r="D721" i="1"/>
  <c r="D1602" i="1"/>
  <c r="D1424" i="1"/>
  <c r="O1389" i="1"/>
  <c r="O1545" i="1"/>
  <c r="D41" i="1"/>
  <c r="D1561" i="1"/>
  <c r="M716" i="1"/>
  <c r="H716" i="12"/>
  <c r="D1284" i="1"/>
  <c r="H654" i="12"/>
  <c r="M654" i="1"/>
  <c r="D1552" i="1"/>
  <c r="O1278" i="1"/>
  <c r="H1412" i="12"/>
  <c r="M1412" i="1"/>
  <c r="O130" i="1"/>
  <c r="O1158" i="1"/>
  <c r="O811" i="1"/>
  <c r="O309" i="1"/>
  <c r="D1375" i="1"/>
  <c r="D967" i="1"/>
  <c r="O1439" i="1"/>
  <c r="D824" i="1"/>
  <c r="O926" i="1"/>
  <c r="D1427" i="1"/>
  <c r="D831" i="1"/>
  <c r="O838" i="1"/>
  <c r="O678" i="1"/>
  <c r="O1497" i="1"/>
  <c r="D1194" i="1"/>
  <c r="D763" i="1"/>
  <c r="H1487" i="12"/>
  <c r="M1487" i="1"/>
  <c r="D1357" i="1"/>
  <c r="O1646" i="1"/>
  <c r="D257" i="1"/>
  <c r="O118" i="1"/>
  <c r="D57" i="1"/>
  <c r="D485" i="1"/>
  <c r="D1618" i="1"/>
  <c r="D230" i="1"/>
  <c r="O1554" i="1"/>
  <c r="D1553" i="1"/>
  <c r="O1031" i="1"/>
  <c r="D75" i="1"/>
  <c r="D430" i="1"/>
  <c r="M982" i="1"/>
  <c r="H982" i="12"/>
  <c r="O523" i="1"/>
  <c r="D1138" i="1"/>
  <c r="M1162" i="1"/>
  <c r="H1162" i="12"/>
  <c r="D109" i="1"/>
  <c r="H850" i="12"/>
  <c r="M850" i="1"/>
  <c r="M1639" i="1"/>
  <c r="H1639" i="12"/>
  <c r="O865" i="1"/>
  <c r="D681" i="1"/>
  <c r="O986" i="1"/>
  <c r="D689" i="1"/>
  <c r="D781" i="1"/>
  <c r="M40" i="1"/>
  <c r="H40" i="12"/>
  <c r="D1509" i="1"/>
  <c r="O1290" i="1"/>
  <c r="O132" i="1"/>
  <c r="O202" i="1"/>
  <c r="B36" i="3"/>
  <c r="M1360" i="1"/>
  <c r="H1360" i="12"/>
  <c r="M885" i="1"/>
  <c r="H885" i="12"/>
  <c r="O1517" i="1"/>
  <c r="M52" i="1"/>
  <c r="H52" i="12"/>
  <c r="D1571" i="1"/>
  <c r="O1391" i="1"/>
  <c r="H653" i="12"/>
  <c r="M653" i="1"/>
  <c r="H87" i="12"/>
  <c r="M87" i="1"/>
  <c r="D656" i="1"/>
  <c r="M1464" i="1"/>
  <c r="H1464" i="12"/>
  <c r="O150" i="1"/>
  <c r="D1083" i="1"/>
  <c r="M1471" i="1"/>
  <c r="H1471" i="12"/>
  <c r="M1175" i="1"/>
  <c r="H1175" i="12"/>
  <c r="D1394" i="1"/>
  <c r="D136" i="1"/>
  <c r="M553" i="1"/>
  <c r="H553" i="12"/>
  <c r="O65" i="1"/>
  <c r="O1223" i="1"/>
  <c r="O598" i="1"/>
  <c r="O481" i="1"/>
  <c r="O826" i="1"/>
  <c r="D1565" i="1"/>
  <c r="M253" i="1"/>
  <c r="H253" i="12"/>
  <c r="H767" i="12"/>
  <c r="M767" i="1"/>
  <c r="H1168" i="12"/>
  <c r="M1168" i="1"/>
  <c r="O962" i="1"/>
  <c r="D726" i="1"/>
  <c r="M1446" i="1"/>
  <c r="H1446" i="12"/>
  <c r="D249" i="1"/>
  <c r="O1005" i="1"/>
  <c r="D307" i="1"/>
  <c r="D1236" i="1"/>
  <c r="D1575" i="1"/>
  <c r="D902" i="1"/>
  <c r="D512" i="1"/>
  <c r="M549" i="1"/>
  <c r="H549" i="12"/>
  <c r="M984" i="1"/>
  <c r="H984" i="12"/>
  <c r="O540" i="1"/>
  <c r="B28" i="3"/>
  <c r="D436" i="1"/>
  <c r="O548" i="1"/>
  <c r="H268" i="12"/>
  <c r="M268" i="1"/>
  <c r="M1026" i="1"/>
  <c r="H1026" i="12"/>
  <c r="M1339" i="1"/>
  <c r="H1339" i="12"/>
  <c r="M58" i="1"/>
  <c r="H58" i="12"/>
  <c r="D124" i="1"/>
  <c r="O31" i="1"/>
  <c r="O1232" i="1"/>
  <c r="D1244" i="1"/>
  <c r="O464" i="1"/>
  <c r="O1207" i="1"/>
  <c r="O95" i="1"/>
  <c r="O832" i="1"/>
  <c r="D137" i="1"/>
  <c r="D1633" i="1"/>
  <c r="O24" i="1"/>
  <c r="H646" i="12"/>
  <c r="M646" i="1"/>
  <c r="D654" i="1"/>
  <c r="D1646" i="1"/>
  <c r="O1004" i="1"/>
  <c r="M1314" i="1"/>
  <c r="H1314" i="12"/>
  <c r="O296" i="1"/>
  <c r="O59" i="1"/>
  <c r="D133" i="1"/>
  <c r="O480" i="1"/>
  <c r="D1060" i="1"/>
  <c r="D790" i="1"/>
  <c r="O1595" i="1"/>
  <c r="H967" i="12"/>
  <c r="M967" i="1"/>
  <c r="H1373" i="12"/>
  <c r="M1373" i="1"/>
  <c r="M1033" i="1"/>
  <c r="H1033" i="12"/>
  <c r="M1555" i="1"/>
  <c r="H1555" i="12"/>
  <c r="O1012" i="1"/>
  <c r="D1533" i="1"/>
  <c r="D608" i="1"/>
  <c r="H1226" i="12"/>
  <c r="M1226" i="1"/>
  <c r="D627" i="1"/>
  <c r="M462" i="1"/>
  <c r="H462" i="12"/>
  <c r="D284" i="1"/>
  <c r="O685" i="1"/>
  <c r="H195" i="12"/>
  <c r="M195" i="1"/>
  <c r="D641" i="1"/>
  <c r="O25" i="1"/>
  <c r="O1426" i="1"/>
  <c r="O664" i="1"/>
  <c r="H1268" i="12"/>
  <c r="M1268" i="1"/>
  <c r="M1126" i="1"/>
  <c r="H1126" i="12"/>
  <c r="D645" i="1"/>
  <c r="O57" i="1"/>
  <c r="O1647" i="1"/>
  <c r="O1643" i="1"/>
  <c r="M378" i="1"/>
  <c r="H378" i="12"/>
  <c r="D780" i="1"/>
  <c r="H1107" i="12"/>
  <c r="M1107" i="1"/>
  <c r="D1578" i="1"/>
  <c r="H860" i="12"/>
  <c r="M860" i="1"/>
  <c r="O1250" i="1"/>
  <c r="D1267" i="1"/>
  <c r="O1360" i="1"/>
  <c r="H477" i="12"/>
  <c r="M477" i="1"/>
  <c r="B8" i="3"/>
  <c r="D876" i="1"/>
  <c r="D1597" i="1"/>
  <c r="O715" i="1"/>
  <c r="O60" i="1"/>
  <c r="O527" i="1"/>
  <c r="O1296" i="1"/>
  <c r="M775" i="1"/>
  <c r="H775" i="12"/>
  <c r="O1244" i="1"/>
  <c r="D501" i="1"/>
  <c r="D357" i="1"/>
  <c r="D547" i="1"/>
  <c r="D1068" i="1"/>
  <c r="D366" i="1"/>
  <c r="D1294" i="1"/>
  <c r="D1033" i="1"/>
  <c r="D1335" i="1"/>
  <c r="M810" i="1"/>
  <c r="H810" i="12"/>
  <c r="D398" i="1"/>
  <c r="O1208" i="1"/>
  <c r="D1486" i="1"/>
  <c r="H44" i="12"/>
  <c r="M44" i="1"/>
  <c r="O1014" i="1"/>
  <c r="D1449" i="1"/>
  <c r="M67" i="1"/>
  <c r="H67" i="12"/>
  <c r="H1334" i="12"/>
  <c r="M1334" i="1"/>
  <c r="H1493" i="12"/>
  <c r="M1493" i="1"/>
  <c r="H1227" i="12"/>
  <c r="M1227" i="1"/>
  <c r="O78" i="1"/>
  <c r="M1505" i="1"/>
  <c r="H1505" i="12"/>
  <c r="H896" i="12"/>
  <c r="M896" i="1"/>
  <c r="O259" i="1"/>
  <c r="O1032" i="1"/>
  <c r="O13" i="1"/>
  <c r="H1279" i="12"/>
  <c r="M1279" i="1"/>
  <c r="O1524" i="1"/>
  <c r="O1386" i="1"/>
  <c r="H310" i="12"/>
  <c r="M310" i="1"/>
  <c r="M872" i="1"/>
  <c r="H872" i="12"/>
  <c r="O364" i="1"/>
  <c r="O165" i="1"/>
  <c r="O566" i="1"/>
  <c r="D265" i="1"/>
  <c r="D749" i="1"/>
  <c r="O1367" i="1"/>
  <c r="O350" i="1"/>
  <c r="D90" i="1"/>
  <c r="O516" i="1"/>
  <c r="D982" i="1"/>
  <c r="D1247" i="1"/>
  <c r="D1510" i="1"/>
  <c r="D1550" i="1"/>
  <c r="O625" i="1"/>
  <c r="M2" i="1"/>
  <c r="O588" i="1"/>
  <c r="O645" i="1"/>
  <c r="O534" i="1"/>
  <c r="D736" i="1"/>
  <c r="D1265" i="1"/>
  <c r="O402" i="1"/>
  <c r="B24" i="3"/>
  <c r="D900" i="1"/>
  <c r="D113" i="1"/>
  <c r="O533" i="1"/>
  <c r="D1151" i="1"/>
  <c r="O1369" i="1"/>
  <c r="D1145" i="1"/>
  <c r="O27" i="1"/>
  <c r="D535" i="1"/>
  <c r="D956" i="1"/>
  <c r="O1312" i="1"/>
  <c r="O638" i="1"/>
  <c r="D770" i="1"/>
  <c r="M711" i="1"/>
  <c r="H711" i="12"/>
  <c r="H1336" i="12"/>
  <c r="M1336" i="1"/>
  <c r="O1105" i="1"/>
  <c r="O26" i="1"/>
  <c r="O34" i="1"/>
  <c r="D214" i="1"/>
  <c r="O1212" i="1"/>
  <c r="M444" i="1"/>
  <c r="H444" i="12"/>
  <c r="D648" i="1"/>
  <c r="D435" i="1"/>
  <c r="H311" i="12"/>
  <c r="M311" i="1"/>
  <c r="H203" i="12"/>
  <c r="M203" i="1"/>
  <c r="M995" i="1"/>
  <c r="H995" i="12"/>
  <c r="H121" i="12"/>
  <c r="M121" i="1"/>
  <c r="O782" i="1"/>
  <c r="D1152" i="1"/>
  <c r="D132" i="1"/>
  <c r="D1500" i="1"/>
  <c r="O181" i="1"/>
  <c r="O520" i="1"/>
  <c r="D834" i="1"/>
  <c r="D1626" i="1"/>
  <c r="D402" i="1"/>
  <c r="D745" i="1"/>
  <c r="O985" i="1"/>
  <c r="O1211" i="1"/>
  <c r="M1458" i="1"/>
  <c r="H1458" i="12"/>
  <c r="O1328" i="1"/>
  <c r="M782" i="1"/>
  <c r="H782" i="12"/>
  <c r="M226" i="1"/>
  <c r="H226" i="12"/>
  <c r="D1489" i="1"/>
  <c r="D615" i="1"/>
  <c r="O778" i="1"/>
  <c r="M843" i="1"/>
  <c r="H843" i="12"/>
  <c r="M511" i="1"/>
  <c r="H511" i="12"/>
  <c r="M1587" i="1"/>
  <c r="H1587" i="12"/>
  <c r="D160" i="1"/>
  <c r="D839" i="1"/>
  <c r="O1287" i="1"/>
  <c r="H1554" i="12"/>
  <c r="M1554" i="1"/>
  <c r="D555" i="1"/>
  <c r="O1361" i="1"/>
  <c r="O1206" i="1"/>
  <c r="O1461" i="1"/>
  <c r="D288" i="1"/>
  <c r="D247" i="1"/>
  <c r="O633" i="1"/>
  <c r="D1421" i="1"/>
  <c r="D635" i="1"/>
  <c r="O829" i="1"/>
  <c r="O1552" i="1"/>
  <c r="O1128" i="1"/>
  <c r="O1499" i="1"/>
  <c r="H789" i="12"/>
  <c r="M789" i="1"/>
  <c r="M1080" i="1"/>
  <c r="H1080" i="12"/>
  <c r="O812" i="1"/>
  <c r="O1658" i="1"/>
  <c r="O1133" i="1"/>
  <c r="O757" i="1"/>
  <c r="O764" i="1"/>
  <c r="H1119" i="12"/>
  <c r="M1119" i="1"/>
  <c r="M1370" i="1"/>
  <c r="H1370" i="12"/>
  <c r="O1364" i="1"/>
  <c r="M158" i="1"/>
  <c r="H158" i="12"/>
  <c r="B13" i="3"/>
  <c r="O510" i="1"/>
  <c r="D896" i="1"/>
  <c r="D262" i="1"/>
  <c r="O1406" i="1"/>
  <c r="O499" i="1"/>
  <c r="D1246" i="1"/>
  <c r="O568" i="1"/>
  <c r="M1431" i="1"/>
  <c r="H1431" i="12"/>
  <c r="M318" i="1"/>
  <c r="H318" i="12"/>
  <c r="O945" i="1"/>
  <c r="D1250" i="1"/>
  <c r="O6" i="1"/>
  <c r="D1182" i="1"/>
  <c r="O589" i="1"/>
  <c r="D1276" i="1"/>
  <c r="D271" i="1"/>
  <c r="D1066" i="1"/>
  <c r="D554" i="1"/>
  <c r="B27" i="3"/>
  <c r="D1302" i="1"/>
  <c r="O1170" i="1"/>
  <c r="O201" i="1"/>
  <c r="D138" i="1"/>
  <c r="D532" i="1"/>
  <c r="D213" i="1"/>
  <c r="M1419" i="1"/>
  <c r="H1419" i="12"/>
  <c r="O1134" i="1"/>
  <c r="O1138" i="1"/>
  <c r="D604" i="1"/>
  <c r="O1484" i="1"/>
  <c r="O1077" i="1"/>
  <c r="O53" i="1"/>
  <c r="D613" i="1"/>
  <c r="D367" i="1"/>
  <c r="D1142" i="1"/>
  <c r="O736" i="1"/>
  <c r="D492" i="1"/>
  <c r="O1109" i="1"/>
  <c r="D413" i="1"/>
  <c r="O1340" i="1"/>
  <c r="O335" i="1"/>
  <c r="D1395" i="1"/>
  <c r="D135" i="1"/>
  <c r="D959" i="1"/>
  <c r="O449" i="1"/>
  <c r="O260" i="1"/>
  <c r="O1081" i="1"/>
  <c r="D1016" i="1"/>
  <c r="D226" i="1"/>
  <c r="O1277" i="1"/>
  <c r="D607" i="1"/>
  <c r="O1411" i="1"/>
  <c r="M402" i="1"/>
  <c r="H402" i="12"/>
  <c r="D1422" i="1"/>
  <c r="D1115" i="1"/>
  <c r="O972" i="1"/>
  <c r="O594" i="1"/>
  <c r="M1201" i="1"/>
  <c r="H1201" i="12"/>
  <c r="M498" i="1"/>
  <c r="H498" i="12"/>
  <c r="D64" i="1"/>
  <c r="O504" i="1"/>
  <c r="D551" i="1"/>
  <c r="O1093" i="1"/>
  <c r="M1115" i="1"/>
  <c r="H1115" i="12"/>
  <c r="O1150" i="1"/>
  <c r="B25" i="3"/>
  <c r="O1185" i="1"/>
  <c r="D945" i="1"/>
  <c r="D244" i="1"/>
  <c r="M1295" i="1"/>
  <c r="H1295" i="12"/>
  <c r="O210" i="1"/>
  <c r="O386" i="1"/>
  <c r="H1216" i="12"/>
  <c r="M1216" i="1"/>
  <c r="M747" i="1"/>
  <c r="H747" i="12"/>
  <c r="D1308" i="1"/>
  <c r="D1406" i="1"/>
  <c r="D1648" i="1"/>
  <c r="D425" i="1"/>
  <c r="O366" i="1"/>
  <c r="O131" i="1"/>
  <c r="D513" i="1"/>
  <c r="D561" i="1"/>
  <c r="D1310" i="1"/>
  <c r="D393" i="1"/>
  <c r="O1416" i="1"/>
  <c r="H150" i="12"/>
  <c r="M150" i="1"/>
  <c r="O359" i="1"/>
  <c r="D594" i="1"/>
  <c r="O1112" i="1"/>
  <c r="O511" i="1"/>
  <c r="D998" i="1"/>
  <c r="O297" i="1"/>
  <c r="D299" i="1"/>
  <c r="O813" i="1"/>
  <c r="O1125" i="1"/>
  <c r="D823" i="1"/>
  <c r="H1121" i="12"/>
  <c r="M1121" i="1"/>
  <c r="D180" i="1"/>
  <c r="D1663" i="1"/>
  <c r="H578" i="12"/>
  <c r="M578" i="1"/>
  <c r="O1186" i="1"/>
  <c r="H476" i="12"/>
  <c r="M476" i="1"/>
  <c r="H47" i="12"/>
  <c r="M47" i="1"/>
  <c r="O791" i="1"/>
  <c r="D1369" i="1"/>
  <c r="O808" i="1"/>
  <c r="H1218" i="12"/>
  <c r="M1218" i="1"/>
  <c r="O1587" i="1"/>
  <c r="O636" i="1"/>
  <c r="D964" i="1"/>
  <c r="D1451" i="1"/>
  <c r="O537" i="1"/>
  <c r="D1537" i="1"/>
  <c r="O466" i="1"/>
  <c r="D866" i="1"/>
  <c r="O406" i="1"/>
  <c r="D1655" i="1"/>
  <c r="D706" i="1"/>
  <c r="D833" i="1"/>
  <c r="O549" i="1"/>
  <c r="D503" i="1"/>
  <c r="D767" i="1"/>
  <c r="D940" i="1"/>
  <c r="D276" i="1"/>
  <c r="O528" i="1"/>
  <c r="D1614" i="1"/>
  <c r="O1067" i="1"/>
  <c r="O1060" i="1"/>
  <c r="O543" i="1"/>
  <c r="H691" i="12"/>
  <c r="M691" i="1"/>
  <c r="D1097" i="1"/>
  <c r="D1080" i="1"/>
  <c r="O1425" i="1"/>
  <c r="D640" i="1"/>
  <c r="O1189" i="1"/>
  <c r="D1610" i="1"/>
  <c r="O50" i="1"/>
  <c r="O399" i="1"/>
  <c r="O1586" i="1"/>
  <c r="O1609" i="1"/>
  <c r="D152" i="1"/>
  <c r="D207" i="1"/>
  <c r="D336" i="1"/>
  <c r="O1522" i="1"/>
  <c r="M1194" i="1"/>
  <c r="H1194" i="12"/>
  <c r="H1178" i="12"/>
  <c r="M1178" i="1"/>
  <c r="O547" i="1"/>
  <c r="O293" i="1"/>
  <c r="M493" i="1"/>
  <c r="H493" i="12"/>
  <c r="D1269" i="1"/>
  <c r="O1438" i="1"/>
  <c r="M989" i="1"/>
  <c r="H989" i="12"/>
  <c r="H1050" i="12"/>
  <c r="M1050" i="1"/>
  <c r="O230" i="1"/>
  <c r="O1377" i="1"/>
  <c r="O336" i="1"/>
  <c r="O1062" i="1"/>
  <c r="D1136" i="1"/>
  <c r="M296" i="1"/>
  <c r="H296" i="12"/>
  <c r="O1527" i="1"/>
  <c r="D23" i="1"/>
  <c r="O1057" i="1"/>
  <c r="O310" i="1"/>
  <c r="M1467" i="1"/>
  <c r="H1467" i="12"/>
  <c r="M1299" i="1"/>
  <c r="H1299" i="12"/>
  <c r="D1173" i="1"/>
  <c r="O1159" i="1"/>
  <c r="O1579" i="1"/>
  <c r="H352" i="12"/>
  <c r="M352" i="1"/>
  <c r="M475" i="1"/>
  <c r="H475" i="12"/>
  <c r="M1384" i="1"/>
  <c r="H1384" i="12"/>
  <c r="H1064" i="12"/>
  <c r="M1064" i="1"/>
  <c r="O943" i="1"/>
  <c r="O1203" i="1"/>
  <c r="D837" i="1"/>
  <c r="D361" i="1"/>
  <c r="H556" i="12"/>
  <c r="M556" i="1"/>
  <c r="O1200" i="1"/>
  <c r="H330" i="12"/>
  <c r="M330" i="1"/>
  <c r="D1135" i="1"/>
  <c r="O1153" i="1"/>
  <c r="O164" i="1"/>
  <c r="D1651" i="1"/>
  <c r="D1368" i="1"/>
  <c r="O1450" i="1"/>
  <c r="O887" i="1"/>
  <c r="O1291" i="1"/>
  <c r="O501" i="1"/>
  <c r="O643" i="1"/>
  <c r="O654" i="1"/>
  <c r="O1083" i="1"/>
  <c r="O937" i="1"/>
  <c r="D1149" i="1"/>
  <c r="H813" i="12"/>
  <c r="M813" i="1"/>
  <c r="H1181" i="12"/>
  <c r="M1181" i="1"/>
  <c r="H519" i="12"/>
  <c r="M519" i="1"/>
  <c r="D1232" i="1"/>
  <c r="O51" i="1"/>
  <c r="D572" i="1"/>
  <c r="D1512" i="1"/>
  <c r="O809" i="1"/>
  <c r="D1408" i="1"/>
  <c r="O768" i="1"/>
  <c r="O868" i="1"/>
  <c r="D1584" i="1"/>
  <c r="O425" i="1"/>
  <c r="O529" i="1"/>
  <c r="O450" i="1"/>
  <c r="D600" i="1"/>
  <c r="M29" i="1"/>
  <c r="H29" i="12"/>
  <c r="D1412" i="1"/>
  <c r="D1538" i="1"/>
  <c r="D611" i="1"/>
  <c r="D643" i="1"/>
  <c r="M715" i="1"/>
  <c r="H715" i="12"/>
  <c r="D469" i="1"/>
  <c r="D1351" i="1"/>
  <c r="O938" i="1"/>
  <c r="O1400" i="1"/>
  <c r="D117" i="1"/>
  <c r="D1388" i="1"/>
  <c r="D1566" i="1"/>
  <c r="O567" i="1"/>
  <c r="D1356" i="1"/>
  <c r="O1334" i="1"/>
  <c r="O178" i="1"/>
  <c r="D1270" i="1"/>
  <c r="D186" i="1"/>
  <c r="O705" i="1"/>
  <c r="H1543" i="12"/>
  <c r="M1543" i="1"/>
  <c r="D49" i="1"/>
  <c r="D196" i="1"/>
  <c r="D179" i="1"/>
  <c r="D1341" i="1"/>
  <c r="O990" i="1"/>
  <c r="H91" i="12"/>
  <c r="M91" i="1"/>
  <c r="O1298" i="1"/>
  <c r="O1610" i="1"/>
  <c r="D1186" i="1"/>
  <c r="D1277" i="1"/>
  <c r="D568" i="1"/>
  <c r="O914" i="1"/>
  <c r="D828" i="1"/>
  <c r="O688" i="1"/>
  <c r="D910" i="1"/>
  <c r="O12" i="1"/>
  <c r="O1379" i="1"/>
  <c r="O1137" i="1"/>
  <c r="O1282" i="1"/>
  <c r="D938" i="1"/>
  <c r="D1595" i="1"/>
  <c r="D731" i="1"/>
  <c r="D1632" i="1"/>
  <c r="O1632" i="1"/>
  <c r="D842" i="1"/>
  <c r="O1190" i="1"/>
  <c r="O716" i="1"/>
  <c r="O64" i="1"/>
  <c r="D1418" i="1"/>
  <c r="O1653" i="1"/>
  <c r="M598" i="1"/>
  <c r="H598" i="12"/>
  <c r="D803" i="1"/>
  <c r="D694" i="1"/>
  <c r="D1022" i="1"/>
  <c r="O1251" i="1"/>
  <c r="O324" i="1"/>
  <c r="O1654" i="1"/>
  <c r="D1385" i="1"/>
  <c r="M1386" i="1"/>
  <c r="H1386" i="12"/>
  <c r="O869" i="1"/>
  <c r="D1150" i="1"/>
  <c r="O849" i="1"/>
  <c r="M924" i="1"/>
  <c r="H924" i="12"/>
  <c r="O71" i="1"/>
  <c r="O1129" i="1"/>
  <c r="M1662" i="1"/>
  <c r="H1662" i="12"/>
  <c r="O380" i="1"/>
  <c r="M230" i="1"/>
  <c r="H230" i="12"/>
  <c r="H342" i="12"/>
  <c r="M342" i="1"/>
  <c r="D1110" i="1"/>
  <c r="O1565" i="1"/>
  <c r="O555" i="1"/>
  <c r="D825" i="1"/>
  <c r="O581" i="1"/>
  <c r="O618" i="1"/>
  <c r="O1271" i="1"/>
  <c r="O556" i="1"/>
  <c r="O609" i="1"/>
  <c r="D1107" i="1"/>
  <c r="D1579" i="1"/>
  <c r="O522" i="1"/>
  <c r="M27" i="1"/>
  <c r="H27" i="12"/>
  <c r="H217" i="12"/>
  <c r="M217" i="1"/>
  <c r="D691" i="1"/>
  <c r="D1238" i="1"/>
  <c r="D46" i="1"/>
  <c r="D343" i="1"/>
  <c r="D216" i="1"/>
  <c r="D1653" i="1"/>
  <c r="D893" i="1"/>
  <c r="D304" i="1"/>
  <c r="D1228" i="1"/>
  <c r="O1110" i="1"/>
  <c r="D1456" i="1"/>
  <c r="D377" i="1"/>
  <c r="D1643" i="1"/>
  <c r="O1013" i="1"/>
  <c r="O1359" i="1"/>
  <c r="D502" i="1"/>
  <c r="O407" i="1"/>
  <c r="H362" i="12"/>
  <c r="M362" i="1"/>
  <c r="M528" i="1"/>
  <c r="H528" i="12"/>
  <c r="M1344" i="1"/>
  <c r="H1344" i="12"/>
  <c r="M1056" i="1"/>
  <c r="H1056" i="12"/>
  <c r="H988" i="12"/>
  <c r="M988" i="1"/>
  <c r="M934" i="1"/>
  <c r="H934" i="12"/>
  <c r="H764" i="12"/>
  <c r="M764" i="1"/>
  <c r="O576" i="1"/>
  <c r="M808" i="1"/>
  <c r="H808" i="12"/>
  <c r="D505" i="1"/>
  <c r="D419" i="1"/>
  <c r="D1221" i="1"/>
  <c r="O816" i="1"/>
  <c r="D1321" i="1"/>
  <c r="H1082" i="12"/>
  <c r="M1082" i="1"/>
  <c r="D1139" i="1"/>
  <c r="O958" i="1"/>
  <c r="O1025" i="1"/>
  <c r="M616" i="1"/>
  <c r="H616" i="12"/>
  <c r="D399" i="1"/>
  <c r="H21" i="12"/>
  <c r="M21" i="1"/>
  <c r="D1012" i="1"/>
  <c r="O121" i="1"/>
  <c r="M617" i="1"/>
  <c r="H617" i="12"/>
  <c r="D1518" i="1"/>
  <c r="H1669" i="12"/>
  <c r="M1669" i="1"/>
  <c r="H957" i="12"/>
  <c r="M957" i="1"/>
  <c r="M115" i="1"/>
  <c r="H115" i="12"/>
  <c r="D821" i="1"/>
  <c r="M1670" i="1"/>
  <c r="H1670" i="12"/>
  <c r="D577" i="1"/>
  <c r="O843" i="1"/>
  <c r="O185" i="1"/>
  <c r="H768" i="12"/>
  <c r="M768" i="1"/>
  <c r="H75" i="12"/>
  <c r="M75" i="1"/>
  <c r="O10" i="1"/>
  <c r="H1063" i="12"/>
  <c r="M1063" i="1"/>
  <c r="D1527" i="1"/>
  <c r="O1241" i="1"/>
  <c r="D8" i="1"/>
  <c r="M1245" i="1"/>
  <c r="H1245" i="12"/>
  <c r="O134" i="1"/>
  <c r="O344" i="1"/>
  <c r="O1448" i="1"/>
  <c r="D918" i="1"/>
  <c r="D1629" i="1"/>
  <c r="D80" i="1"/>
  <c r="H753" i="12"/>
  <c r="M753" i="1"/>
  <c r="M1545" i="1"/>
  <c r="H1545" i="12"/>
  <c r="O400" i="1"/>
  <c r="O314" i="1"/>
  <c r="M1619" i="1"/>
  <c r="H1619" i="12"/>
  <c r="O193" i="1"/>
  <c r="O1086" i="1"/>
  <c r="D1193" i="1"/>
  <c r="H356" i="12"/>
  <c r="M356" i="1"/>
  <c r="H513" i="12"/>
  <c r="M513" i="1"/>
  <c r="D218" i="1"/>
  <c r="D1065" i="1"/>
  <c r="D1100" i="1"/>
  <c r="D1484" i="1"/>
  <c r="H1180" i="12"/>
  <c r="M1180" i="1"/>
  <c r="O507" i="1"/>
  <c r="D463" i="1"/>
  <c r="D875" i="1"/>
  <c r="O98" i="1"/>
  <c r="H1520" i="12"/>
  <c r="M1520" i="1"/>
  <c r="O1584" i="1"/>
  <c r="D695" i="1"/>
  <c r="O264" i="1"/>
  <c r="D590" i="1"/>
  <c r="B48" i="3"/>
  <c r="M68" i="1"/>
  <c r="H68" i="12"/>
  <c r="H1513" i="12"/>
  <c r="M1513" i="1"/>
  <c r="O932" i="1"/>
  <c r="O1029" i="1"/>
  <c r="O1145" i="1"/>
  <c r="D631" i="1"/>
  <c r="O981" i="1"/>
  <c r="O1258" i="1"/>
  <c r="D614" i="1"/>
  <c r="O901" i="1"/>
  <c r="D1209" i="1"/>
  <c r="H624" i="12"/>
  <c r="M624" i="1"/>
  <c r="D295" i="1"/>
  <c r="O904" i="1"/>
  <c r="O471" i="1"/>
  <c r="D1612" i="1"/>
  <c r="O1103" i="1"/>
  <c r="D879" i="1"/>
  <c r="D707" i="1"/>
  <c r="D1480" i="1"/>
  <c r="O159" i="1"/>
  <c r="O429" i="1"/>
  <c r="O635" i="1"/>
  <c r="D1470" i="1"/>
  <c r="O1120" i="1"/>
  <c r="H411" i="12"/>
  <c r="M411" i="1"/>
  <c r="M1517" i="1"/>
  <c r="H1517" i="12"/>
  <c r="O841" i="1"/>
  <c r="D684" i="1"/>
  <c r="D1624" i="1"/>
  <c r="M336" i="1"/>
  <c r="H336" i="12"/>
  <c r="D1210" i="1"/>
  <c r="D1314" i="1"/>
  <c r="D184" i="1"/>
  <c r="M1282" i="1"/>
  <c r="H1282" i="12"/>
  <c r="H531" i="12"/>
  <c r="M531" i="1"/>
  <c r="H1129" i="12"/>
  <c r="M1129" i="1"/>
  <c r="O195" i="1"/>
  <c r="H452" i="12"/>
  <c r="M452" i="1"/>
  <c r="H1427" i="12"/>
  <c r="M1427" i="1"/>
  <c r="O910" i="1"/>
  <c r="H787" i="12"/>
  <c r="M787" i="1"/>
  <c r="H803" i="12"/>
  <c r="M803" i="1"/>
  <c r="M838" i="1"/>
  <c r="H838" i="12"/>
  <c r="D1493" i="1"/>
  <c r="D173" i="1"/>
  <c r="D970" i="1"/>
  <c r="D1183" i="1"/>
  <c r="M638" i="1"/>
  <c r="H638" i="12"/>
  <c r="D630" i="1"/>
  <c r="D1623" i="1"/>
  <c r="D170" i="1"/>
  <c r="H1283" i="12"/>
  <c r="M1283" i="1"/>
  <c r="D39" i="1"/>
  <c r="H337" i="12"/>
  <c r="M337" i="1"/>
  <c r="O1119" i="1"/>
  <c r="M541" i="1"/>
  <c r="H541" i="12"/>
  <c r="O1597" i="1"/>
  <c r="D1378" i="1"/>
  <c r="H1059" i="12"/>
  <c r="M1059" i="1"/>
  <c r="O1309" i="1"/>
  <c r="H63" i="12"/>
  <c r="M63" i="1"/>
  <c r="D1043" i="1"/>
  <c r="O1500" i="1"/>
  <c r="D31" i="1"/>
  <c r="D869" i="1"/>
  <c r="O1618" i="1"/>
  <c r="D494" i="1"/>
  <c r="O275" i="1"/>
  <c r="O490" i="1"/>
  <c r="D151" i="1"/>
  <c r="O220" i="1"/>
  <c r="O642" i="1"/>
  <c r="O1033" i="1"/>
  <c r="D472" i="1"/>
  <c r="D1050" i="1"/>
  <c r="D682" i="1"/>
  <c r="D354" i="1"/>
  <c r="D1581" i="1"/>
  <c r="O1575" i="1"/>
  <c r="O629" i="1"/>
  <c r="D1373" i="1"/>
  <c r="O570" i="1"/>
  <c r="D1567" i="1"/>
  <c r="O704" i="1"/>
  <c r="O334" i="1"/>
  <c r="D510" i="1"/>
  <c r="D788" i="1"/>
  <c r="D894" i="1"/>
  <c r="D851" i="1"/>
  <c r="D961" i="1"/>
  <c r="O273" i="1"/>
  <c r="D1350" i="1"/>
  <c r="D1208" i="1"/>
  <c r="D1641" i="1"/>
  <c r="D1036" i="1"/>
  <c r="D121" i="1"/>
  <c r="O670" i="1"/>
  <c r="D1528" i="1"/>
  <c r="O1175" i="1"/>
  <c r="D678" i="1"/>
  <c r="O1550" i="1"/>
  <c r="D846" i="1"/>
  <c r="O1490" i="1"/>
  <c r="O541" i="1"/>
  <c r="O649" i="1"/>
  <c r="D1448" i="1"/>
  <c r="O1570" i="1"/>
  <c r="O1455" i="1"/>
  <c r="O569" i="1"/>
  <c r="O104" i="1"/>
  <c r="O585" i="1"/>
  <c r="D1106" i="1"/>
  <c r="H147" i="12"/>
  <c r="M147" i="1"/>
  <c r="M621" i="1"/>
  <c r="H621" i="12"/>
  <c r="H1294" i="12"/>
  <c r="M1294" i="1"/>
  <c r="H373" i="12"/>
  <c r="M373" i="1"/>
  <c r="D1311" i="1"/>
  <c r="O1166" i="1"/>
  <c r="M325" i="1"/>
  <c r="H325" i="12"/>
  <c r="D1094" i="1"/>
  <c r="D1627" i="1"/>
  <c r="H1524" i="12"/>
  <c r="M1524" i="1"/>
  <c r="M1655" i="1"/>
  <c r="H1655" i="12"/>
  <c r="H736" i="12"/>
  <c r="M736" i="1"/>
  <c r="D185" i="1"/>
  <c r="O1553" i="1"/>
  <c r="H690" i="12"/>
  <c r="M690" i="1"/>
  <c r="M911" i="1"/>
  <c r="H911" i="12"/>
  <c r="D1328" i="1"/>
  <c r="M166" i="1"/>
  <c r="H166" i="12"/>
  <c r="O161" i="1"/>
  <c r="D709" i="1"/>
  <c r="D92" i="1"/>
  <c r="H382" i="12"/>
  <c r="M382" i="1"/>
  <c r="H1575" i="12"/>
  <c r="M1575" i="1"/>
  <c r="D235" i="1"/>
  <c r="M572" i="1"/>
  <c r="H572" i="12"/>
  <c r="D1502" i="1"/>
  <c r="D699" i="1"/>
  <c r="D189" i="1"/>
  <c r="M287" i="1"/>
  <c r="H287" i="12"/>
  <c r="O362" i="1"/>
  <c r="H1125" i="12"/>
  <c r="M1125" i="1"/>
  <c r="O797" i="1"/>
  <c r="M302" i="1"/>
  <c r="H302" i="12"/>
  <c r="H130" i="12"/>
  <c r="M130" i="1"/>
  <c r="H973" i="12"/>
  <c r="M973" i="1"/>
  <c r="H1614" i="12"/>
  <c r="M1614" i="1"/>
  <c r="H522" i="12"/>
  <c r="M522" i="1"/>
  <c r="H1405" i="12"/>
  <c r="M1405" i="1"/>
  <c r="H100" i="12"/>
  <c r="M100" i="1"/>
  <c r="O747" i="1"/>
  <c r="M1120" i="1"/>
  <c r="H1120" i="12"/>
  <c r="O1263" i="1"/>
  <c r="M371" i="1"/>
  <c r="H371" i="12"/>
  <c r="H17" i="12"/>
  <c r="M17" i="1"/>
  <c r="H448" i="12"/>
  <c r="M448" i="1"/>
  <c r="H385" i="12"/>
  <c r="M385" i="1"/>
  <c r="O587" i="1"/>
  <c r="D666" i="1"/>
  <c r="D130" i="1"/>
  <c r="O129" i="1"/>
  <c r="M146" i="1"/>
  <c r="H146" i="12"/>
  <c r="D670" i="1"/>
  <c r="M1641" i="1"/>
  <c r="H1641" i="12"/>
  <c r="H1123" i="12"/>
  <c r="M1123" i="1"/>
  <c r="M1321" i="1"/>
  <c r="H1321" i="12"/>
  <c r="D470" i="1"/>
  <c r="O44" i="1"/>
  <c r="O731" i="1"/>
  <c r="O1661" i="1"/>
  <c r="H1380" i="12"/>
  <c r="M1380" i="1"/>
  <c r="M735" i="1"/>
  <c r="H735" i="12"/>
  <c r="M856" i="1"/>
  <c r="H856" i="12"/>
  <c r="H722" i="12"/>
  <c r="M722" i="1"/>
  <c r="D1027" i="1"/>
  <c r="H1562" i="12"/>
  <c r="M1562" i="1"/>
  <c r="O473" i="1"/>
  <c r="O383" i="1"/>
  <c r="H1372" i="12"/>
  <c r="M1372" i="1"/>
  <c r="O434" i="1"/>
  <c r="O980" i="1"/>
  <c r="O139" i="1"/>
  <c r="D1349" i="1"/>
  <c r="H1300" i="12"/>
  <c r="M1300" i="1"/>
  <c r="O1534" i="1"/>
  <c r="D1508" i="1"/>
  <c r="H1620" i="12"/>
  <c r="M1620" i="1"/>
  <c r="M190" i="1"/>
  <c r="H190" i="12"/>
  <c r="D1476" i="1"/>
  <c r="M862" i="1"/>
  <c r="H862" i="12"/>
  <c r="M1368" i="1"/>
  <c r="H1368" i="12"/>
  <c r="H851" i="12"/>
  <c r="M851" i="1"/>
  <c r="O1214" i="1"/>
  <c r="D373" i="1"/>
  <c r="O689" i="1"/>
  <c r="O1039" i="1"/>
  <c r="D335" i="1"/>
  <c r="D892" i="1"/>
  <c r="D438" i="1"/>
  <c r="M446" i="1"/>
  <c r="H446" i="12"/>
  <c r="O667" i="1"/>
  <c r="M963" i="1"/>
  <c r="H963" i="12"/>
  <c r="D1272" i="1"/>
  <c r="D849" i="1"/>
  <c r="D1587" i="1"/>
  <c r="D664" i="1"/>
  <c r="D353" i="1"/>
  <c r="D509" i="1"/>
  <c r="H506" i="12"/>
  <c r="M506" i="1"/>
  <c r="M1085" i="1"/>
  <c r="H1085" i="12"/>
  <c r="D973" i="1"/>
  <c r="D349" i="1"/>
  <c r="D549" i="1"/>
  <c r="D305" i="1"/>
  <c r="H773" i="12"/>
  <c r="M773" i="1"/>
  <c r="D886" i="1"/>
  <c r="M741" i="1"/>
  <c r="H741" i="12"/>
  <c r="M388" i="1"/>
  <c r="H388" i="12"/>
  <c r="O925" i="1"/>
  <c r="D1074" i="1"/>
  <c r="D1160" i="1"/>
  <c r="O1146" i="1"/>
  <c r="M619" i="1"/>
  <c r="H619" i="12"/>
  <c r="M821" i="1"/>
  <c r="H821" i="12"/>
  <c r="D1297" i="1"/>
  <c r="O1202" i="1"/>
  <c r="M941" i="1"/>
  <c r="H941" i="12"/>
  <c r="O647" i="1"/>
  <c r="O939" i="1"/>
  <c r="O606" i="1"/>
  <c r="H1193" i="12"/>
  <c r="M1193" i="1"/>
  <c r="O1048" i="1"/>
  <c r="M717" i="1"/>
  <c r="H717" i="12"/>
  <c r="D1590" i="1"/>
  <c r="M1516" i="1"/>
  <c r="H1516" i="12"/>
  <c r="D1019" i="1"/>
  <c r="O385" i="1"/>
  <c r="O524" i="1"/>
  <c r="M101" i="1"/>
  <c r="H101" i="12"/>
  <c r="D1122" i="1"/>
  <c r="O1523" i="1"/>
  <c r="D901" i="1"/>
  <c r="O1131" i="1"/>
  <c r="M1185" i="1"/>
  <c r="H1185" i="12"/>
  <c r="H1416" i="12"/>
  <c r="M1416" i="1"/>
  <c r="D468" i="1"/>
  <c r="D454" i="1"/>
  <c r="M339" i="1"/>
  <c r="H339" i="12"/>
  <c r="H1637" i="12"/>
  <c r="M1637" i="1"/>
  <c r="M1015" i="1"/>
  <c r="H1015" i="12"/>
  <c r="D337" i="1"/>
  <c r="M1023" i="1"/>
  <c r="H1023" i="12"/>
  <c r="O1021" i="1"/>
  <c r="H539" i="12"/>
  <c r="M539" i="1"/>
  <c r="B39" i="3"/>
  <c r="D1242" i="1"/>
  <c r="D992" i="1"/>
  <c r="D301" i="1"/>
  <c r="O1405" i="1"/>
  <c r="O1332" i="1"/>
  <c r="O1636" i="1"/>
  <c r="M1532" i="1"/>
  <c r="H1532" i="12"/>
  <c r="O874" i="1"/>
  <c r="D1674" i="1"/>
  <c r="D1417" i="1"/>
  <c r="D895" i="1"/>
  <c r="O1267" i="1"/>
  <c r="M1187" i="1"/>
  <c r="H1187" i="12"/>
  <c r="D1241" i="1"/>
  <c r="D1447" i="1"/>
  <c r="O69" i="1"/>
  <c r="D1495" i="1"/>
  <c r="D1057" i="1"/>
  <c r="M1510" i="1"/>
  <c r="H1510" i="12"/>
  <c r="O601" i="1"/>
  <c r="O1284" i="1"/>
  <c r="D1187" i="1"/>
  <c r="O1308" i="1"/>
  <c r="M1233" i="1"/>
  <c r="H1233" i="12"/>
  <c r="O988" i="1"/>
  <c r="D478" i="1"/>
  <c r="O781" i="1"/>
  <c r="D1188" i="1"/>
  <c r="D251" i="1"/>
  <c r="O484" i="1"/>
  <c r="O936" i="1"/>
  <c r="O963" i="1"/>
  <c r="O532" i="1"/>
  <c r="O1084" i="1"/>
  <c r="D387" i="1"/>
  <c r="D766" i="1"/>
  <c r="M345" i="1"/>
  <c r="H345" i="12"/>
  <c r="M1089" i="1"/>
  <c r="H1089" i="12"/>
  <c r="M254" i="1"/>
  <c r="H254" i="12"/>
  <c r="M595" i="1"/>
  <c r="H595" i="12"/>
  <c r="D1609" i="1"/>
  <c r="H515" i="12"/>
  <c r="M515" i="1"/>
  <c r="H1302" i="12"/>
  <c r="M1302" i="1"/>
  <c r="H433" i="12"/>
  <c r="M433" i="1"/>
  <c r="M30" i="1"/>
  <c r="H30" i="12"/>
  <c r="B49" i="3"/>
  <c r="O923" i="1"/>
  <c r="H1258" i="12"/>
  <c r="M1258" i="1"/>
  <c r="H1371" i="12"/>
  <c r="M1371" i="1"/>
  <c r="H1582" i="12"/>
  <c r="M1582" i="1"/>
  <c r="O1275" i="1"/>
  <c r="O844" i="1"/>
  <c r="D1028" i="1"/>
  <c r="D13" i="1"/>
  <c r="O1574" i="1"/>
  <c r="O1535" i="1"/>
  <c r="O231" i="1"/>
  <c r="O1082" i="1"/>
  <c r="O1498" i="1"/>
  <c r="O599" i="1"/>
  <c r="M1638" i="1"/>
  <c r="H1638" i="12"/>
  <c r="O1322" i="1"/>
  <c r="O467" i="1"/>
  <c r="H275" i="12"/>
  <c r="M275" i="1"/>
  <c r="H1024" i="12"/>
  <c r="M1024" i="1"/>
  <c r="H1030" i="12"/>
  <c r="M1030" i="1"/>
  <c r="D166" i="1"/>
  <c r="H997" i="12"/>
  <c r="M997" i="1"/>
  <c r="O513" i="1"/>
  <c r="M1452" i="1"/>
  <c r="H1452" i="12"/>
  <c r="O665" i="1"/>
  <c r="D1637" i="1"/>
  <c r="D578" i="1"/>
  <c r="D449" i="1"/>
  <c r="D677" i="1"/>
  <c r="H1244" i="12"/>
  <c r="M1244" i="1"/>
  <c r="O506" i="1"/>
  <c r="D925" i="1"/>
  <c r="D1168" i="1"/>
  <c r="O460" i="1"/>
  <c r="O1238" i="1"/>
  <c r="O1063" i="1"/>
  <c r="O984" i="1"/>
  <c r="H951" i="12"/>
  <c r="M951" i="1"/>
  <c r="H879" i="12"/>
  <c r="M879" i="1"/>
  <c r="M18" i="1"/>
  <c r="H18" i="12"/>
  <c r="M1048" i="1"/>
  <c r="H1048" i="12"/>
  <c r="H445" i="12"/>
  <c r="M445" i="1"/>
  <c r="O1253" i="1"/>
  <c r="O426" i="1"/>
  <c r="M980" i="1"/>
  <c r="H980" i="12"/>
  <c r="H794" i="12"/>
  <c r="M794" i="1"/>
  <c r="D541" i="1"/>
  <c r="H14" i="12"/>
  <c r="M14" i="1"/>
  <c r="O574" i="1"/>
  <c r="D599" i="1"/>
  <c r="H788" i="12"/>
  <c r="M788" i="1"/>
  <c r="O1563" i="1"/>
  <c r="D737" i="1"/>
  <c r="H849" i="12"/>
  <c r="M849" i="1"/>
  <c r="H1183" i="12"/>
  <c r="M1183" i="1"/>
  <c r="H1335" i="12"/>
  <c r="M1335" i="1"/>
  <c r="D1615" i="1"/>
  <c r="O1096" i="1"/>
  <c r="D632" i="1"/>
  <c r="H343" i="12"/>
  <c r="M343" i="1"/>
  <c r="H185" i="12"/>
  <c r="M185" i="1"/>
  <c r="H12" i="12"/>
  <c r="M12" i="1"/>
  <c r="H781" i="12"/>
  <c r="M781" i="1"/>
  <c r="D1463" i="1"/>
  <c r="O1644" i="1"/>
  <c r="H122" i="12"/>
  <c r="M122" i="1"/>
  <c r="O119" i="1"/>
  <c r="O562" i="1"/>
  <c r="O604" i="1"/>
  <c r="D1280" i="1"/>
  <c r="D486" i="1"/>
  <c r="O699" i="1"/>
  <c r="O160" i="1"/>
  <c r="M903" i="1"/>
  <c r="H903" i="12"/>
  <c r="D881" i="1"/>
  <c r="O1487" i="1"/>
  <c r="H449" i="12"/>
  <c r="M449" i="1"/>
  <c r="O1627" i="1"/>
  <c r="M774" i="1"/>
  <c r="H774" i="12"/>
  <c r="D1184" i="1"/>
  <c r="O996" i="1"/>
  <c r="O738" i="1"/>
  <c r="M1578" i="1"/>
  <c r="H1578" i="12"/>
  <c r="O1304" i="1"/>
  <c r="D1563" i="1"/>
  <c r="O674" i="1"/>
  <c r="H719" i="12"/>
  <c r="M719" i="1"/>
  <c r="O1028" i="1"/>
  <c r="O613" i="1"/>
  <c r="D566" i="1"/>
  <c r="H1602" i="12"/>
  <c r="M1602" i="1"/>
  <c r="O1447" i="1"/>
  <c r="O905" i="1"/>
  <c r="D1617" i="1"/>
  <c r="M1269" i="1"/>
  <c r="H1269" i="12"/>
  <c r="O1072" i="1"/>
  <c r="D1069" i="1"/>
  <c r="H1254" i="12"/>
  <c r="M1254" i="1"/>
  <c r="M1411" i="1"/>
  <c r="H1411" i="12"/>
  <c r="O1620" i="1"/>
  <c r="H271" i="12"/>
  <c r="M271" i="1"/>
  <c r="O1035" i="1"/>
  <c r="H919" i="12"/>
  <c r="M919" i="1"/>
  <c r="H240" i="12"/>
  <c r="M240" i="1"/>
  <c r="H959" i="12"/>
  <c r="M959" i="1"/>
  <c r="D1588" i="1"/>
  <c r="O1209" i="1"/>
  <c r="D1095" i="1"/>
  <c r="O1010" i="1"/>
  <c r="D457" i="1"/>
  <c r="M1265" i="1"/>
  <c r="H1265" i="12"/>
  <c r="D464" i="1"/>
  <c r="H1166" i="12"/>
  <c r="M1166" i="1"/>
  <c r="H1383" i="12"/>
  <c r="M1383" i="1"/>
  <c r="D1293" i="1"/>
  <c r="O1180" i="1"/>
  <c r="O1480" i="1"/>
  <c r="O147" i="1"/>
  <c r="D1410" i="1"/>
  <c r="O146" i="1"/>
  <c r="O1404" i="1"/>
  <c r="M34" i="1"/>
  <c r="H34" i="12"/>
  <c r="O207" i="1"/>
  <c r="M630" i="1"/>
  <c r="H630" i="12"/>
  <c r="O14" i="1"/>
  <c r="D29" i="1"/>
  <c r="O621" i="1"/>
  <c r="D474" i="1"/>
  <c r="D1413" i="1"/>
  <c r="O1037" i="1"/>
  <c r="O56" i="1"/>
  <c r="O953" i="1"/>
  <c r="D1556" i="1"/>
  <c r="O237" i="1"/>
  <c r="H224" i="12"/>
  <c r="M224" i="1"/>
  <c r="O1605" i="1"/>
  <c r="D292" i="1"/>
  <c r="D1298" i="1"/>
  <c r="D1316" i="1"/>
  <c r="O498" i="1"/>
  <c r="M1366" i="1"/>
  <c r="H1366" i="12"/>
  <c r="O445" i="1"/>
  <c r="O1335" i="1"/>
  <c r="O349" i="1"/>
  <c r="D302" i="1"/>
  <c r="D722" i="1"/>
  <c r="O218" i="1"/>
  <c r="D401" i="1"/>
  <c r="D612" i="1"/>
  <c r="D725" i="1"/>
  <c r="O994" i="1"/>
  <c r="H1564" i="12"/>
  <c r="M1564" i="1"/>
  <c r="D28" i="1"/>
  <c r="M313" i="1"/>
  <c r="H313" i="12"/>
  <c r="H1001" i="12"/>
  <c r="M1001" i="1"/>
  <c r="O1407" i="1"/>
  <c r="D878" i="1"/>
  <c r="M22" i="1"/>
  <c r="H22" i="12"/>
  <c r="D1642" i="1"/>
  <c r="M930" i="1"/>
  <c r="H930" i="12"/>
  <c r="M1288" i="1"/>
  <c r="H1288" i="12"/>
  <c r="O323" i="1"/>
  <c r="O340" i="1"/>
  <c r="H261" i="12"/>
  <c r="M261" i="1"/>
  <c r="O166" i="1"/>
  <c r="D1455" i="1"/>
  <c r="D414" i="1"/>
  <c r="O80" i="1"/>
  <c r="H656" i="12"/>
  <c r="M656" i="1"/>
  <c r="H593" i="12"/>
  <c r="M593" i="1"/>
  <c r="M423" i="1"/>
  <c r="H423" i="12"/>
  <c r="D62" i="1"/>
  <c r="O1604" i="1"/>
  <c r="D1487" i="1"/>
  <c r="O877" i="1"/>
  <c r="D395" i="1"/>
  <c r="M1390" i="1"/>
  <c r="H1390" i="12"/>
  <c r="D798" i="1"/>
  <c r="O692" i="1"/>
  <c r="O1216" i="1"/>
  <c r="M689" i="1"/>
  <c r="H689" i="12"/>
  <c r="O624" i="1"/>
  <c r="D597" i="1"/>
  <c r="O1481" i="1"/>
  <c r="O895" i="1"/>
  <c r="O39" i="1"/>
  <c r="O1402" i="1"/>
  <c r="H683" i="12"/>
  <c r="M683" i="1"/>
  <c r="D818" i="1"/>
  <c r="M319" i="1"/>
  <c r="H319" i="12"/>
  <c r="H440" i="12"/>
  <c r="M440" i="1"/>
  <c r="M1007" i="1"/>
  <c r="H1007" i="12"/>
  <c r="H904" i="12"/>
  <c r="M904" i="1"/>
  <c r="O155" i="1"/>
  <c r="D778" i="1"/>
  <c r="M1263" i="1"/>
  <c r="H1263" i="12"/>
  <c r="H1029" i="12"/>
  <c r="M1029" i="1"/>
  <c r="O476" i="1"/>
  <c r="D1438" i="1"/>
  <c r="D1162" i="1"/>
  <c r="D623" i="1"/>
  <c r="D412" i="1"/>
  <c r="O1502" i="1"/>
  <c r="H795" i="12"/>
  <c r="M795" i="1"/>
  <c r="H1489" i="12"/>
  <c r="M1489" i="1"/>
  <c r="M200" i="1"/>
  <c r="H200" i="12"/>
  <c r="O1493" i="1"/>
  <c r="O770" i="1"/>
  <c r="M180" i="1"/>
  <c r="H180" i="12"/>
  <c r="O1303" i="1"/>
  <c r="D1488" i="1"/>
  <c r="D859" i="1"/>
  <c r="O325" i="1"/>
  <c r="D383" i="1"/>
  <c r="O79" i="1"/>
  <c r="H80" i="12"/>
  <c r="M80" i="1"/>
  <c r="M457" i="1"/>
  <c r="H457" i="12"/>
  <c r="O999" i="1"/>
  <c r="D103" i="1"/>
  <c r="O1657" i="1"/>
  <c r="O1596" i="1"/>
  <c r="O1240" i="1"/>
  <c r="O759" i="1"/>
  <c r="O913" i="1"/>
  <c r="O1515" i="1"/>
  <c r="O701" i="1"/>
  <c r="O1247" i="1"/>
  <c r="D979" i="1"/>
  <c r="O1525" i="1"/>
  <c r="M1280" i="1"/>
  <c r="H1280" i="12"/>
  <c r="M563" i="1"/>
  <c r="H563" i="12"/>
  <c r="H442" i="12"/>
  <c r="M442" i="1"/>
  <c r="H583" i="12"/>
  <c r="M583" i="1"/>
  <c r="M46" i="1"/>
  <c r="H46" i="12"/>
  <c r="H1629" i="12"/>
  <c r="M1629" i="1"/>
  <c r="O681" i="1"/>
  <c r="D792" i="1"/>
  <c r="O348" i="1"/>
  <c r="H925" i="12"/>
  <c r="M925" i="1"/>
  <c r="M1470" i="1"/>
  <c r="H1470" i="12"/>
  <c r="D715" i="1"/>
  <c r="D456" i="1"/>
  <c r="D1189" i="1"/>
  <c r="M331" i="1"/>
  <c r="H331" i="12"/>
  <c r="D984" i="1"/>
  <c r="D1048" i="1"/>
  <c r="O1358" i="1"/>
  <c r="O521" i="1"/>
  <c r="M93" i="1"/>
  <c r="H93" i="12"/>
  <c r="H1572" i="12"/>
  <c r="M1572" i="1"/>
  <c r="O1529" i="1"/>
  <c r="H351" i="12"/>
  <c r="M351" i="1"/>
  <c r="D1006" i="1"/>
  <c r="D1459" i="1"/>
  <c r="M1574" i="1"/>
  <c r="H1574" i="12"/>
  <c r="H1316" i="12"/>
  <c r="M1316" i="1"/>
  <c r="O952" i="1"/>
  <c r="D162" i="1"/>
  <c r="D1338" i="1"/>
  <c r="D1573" i="1"/>
  <c r="H969" i="12"/>
  <c r="M969" i="1"/>
  <c r="H317" i="12"/>
  <c r="M317" i="1"/>
  <c r="H1311" i="12"/>
  <c r="M1311" i="1"/>
  <c r="O274" i="1"/>
  <c r="D1407" i="1"/>
  <c r="H538" i="12"/>
  <c r="M538" i="1"/>
  <c r="M876" i="1"/>
  <c r="H876" i="12"/>
  <c r="O679" i="1"/>
  <c r="O1598" i="1"/>
  <c r="D591" i="1"/>
  <c r="M835" i="1"/>
  <c r="H835" i="12"/>
  <c r="O825" i="1"/>
  <c r="D1017" i="1"/>
  <c r="D225" i="1"/>
  <c r="O1414" i="1"/>
  <c r="D1644" i="1"/>
  <c r="D1283" i="1"/>
  <c r="D328" i="1"/>
  <c r="D883" i="1"/>
  <c r="H1261" i="12"/>
  <c r="M1261" i="1"/>
  <c r="M952" i="1"/>
  <c r="H952" i="12"/>
  <c r="O733" i="1"/>
  <c r="H1462" i="12"/>
  <c r="M1462" i="1"/>
  <c r="D1234" i="1"/>
  <c r="D358" i="1"/>
  <c r="O1090" i="1"/>
  <c r="O909" i="1"/>
  <c r="H948" i="12"/>
  <c r="M948" i="1"/>
  <c r="H142" i="12"/>
  <c r="M142" i="1"/>
  <c r="M589" i="1"/>
  <c r="H589" i="12"/>
  <c r="B46" i="3"/>
  <c r="M777" i="1"/>
  <c r="H777" i="12"/>
  <c r="O243" i="1"/>
  <c r="O1393" i="1"/>
  <c r="O266" i="1"/>
  <c r="D990" i="1"/>
  <c r="O345" i="1"/>
  <c r="D711" i="1"/>
  <c r="O170" i="1"/>
  <c r="D762" i="1"/>
  <c r="D310" i="1"/>
  <c r="B23" i="3"/>
  <c r="D716" i="1"/>
  <c r="O32" i="1"/>
  <c r="H1135" i="12"/>
  <c r="M1135" i="1"/>
  <c r="H586" i="12"/>
  <c r="M586" i="1"/>
  <c r="O1316" i="1"/>
  <c r="M409" i="1"/>
  <c r="H409" i="12"/>
  <c r="H1219" i="12"/>
  <c r="M1219" i="1"/>
  <c r="H173" i="12"/>
  <c r="M173" i="1"/>
  <c r="O883" i="1"/>
  <c r="H614" i="12"/>
  <c r="M614" i="1"/>
  <c r="M1483" i="1"/>
  <c r="H1483" i="12"/>
  <c r="M1438" i="1"/>
  <c r="H1438" i="12"/>
  <c r="H390" i="12"/>
  <c r="M390" i="1"/>
  <c r="D858" i="1"/>
  <c r="O1139" i="1"/>
  <c r="M25" i="1"/>
  <c r="H25" i="12"/>
  <c r="D609" i="1"/>
  <c r="D406" i="1"/>
  <c r="D1380" i="1"/>
  <c r="D1031" i="1"/>
  <c r="O803" i="1"/>
  <c r="D805" i="1"/>
  <c r="M1512" i="1"/>
  <c r="H1512" i="12"/>
  <c r="H992" i="12"/>
  <c r="M992" i="1"/>
  <c r="M1095" i="1"/>
  <c r="H1095" i="12"/>
  <c r="M103" i="1"/>
  <c r="H103" i="12"/>
  <c r="D569" i="1"/>
  <c r="O898" i="1"/>
  <c r="H1142" i="12"/>
  <c r="M1142" i="1"/>
  <c r="M1214" i="1"/>
  <c r="H1214" i="12"/>
  <c r="H1243" i="12"/>
  <c r="M1243" i="1"/>
  <c r="H1454" i="12"/>
  <c r="M1454" i="1"/>
  <c r="D538" i="1"/>
  <c r="H1207" i="12"/>
  <c r="M1207" i="1"/>
  <c r="D43" i="1"/>
  <c r="O835" i="1"/>
  <c r="H1553" i="12"/>
  <c r="M1553" i="1"/>
  <c r="O758" i="1"/>
  <c r="M1079" i="1"/>
  <c r="H1079" i="12"/>
  <c r="D493" i="1"/>
  <c r="O1026" i="1"/>
  <c r="D243" i="1"/>
  <c r="H1591" i="12"/>
  <c r="M1591" i="1"/>
  <c r="H798" i="12"/>
  <c r="M798" i="1"/>
  <c r="H1031" i="12"/>
  <c r="M1031" i="1"/>
  <c r="H116" i="12"/>
  <c r="M116" i="1"/>
  <c r="M282" i="1"/>
  <c r="H282" i="12"/>
  <c r="D1072" i="1"/>
  <c r="H132" i="12"/>
  <c r="M132" i="1"/>
  <c r="D1479" i="1"/>
  <c r="M1479" i="1"/>
  <c r="H1479" i="12"/>
  <c r="M338" i="1"/>
  <c r="H338" i="12"/>
  <c r="O671" i="1"/>
  <c r="D448" i="1"/>
  <c r="D1507" i="1"/>
  <c r="H712" i="12"/>
  <c r="M712" i="1"/>
  <c r="O1672" i="1"/>
  <c r="H1496" i="12"/>
  <c r="M1496" i="1"/>
  <c r="H1145" i="12"/>
  <c r="M1145" i="1"/>
  <c r="M413" i="1"/>
  <c r="H413" i="12"/>
  <c r="D400" i="1"/>
  <c r="M164" i="1"/>
  <c r="H164" i="12"/>
  <c r="O1395" i="1"/>
  <c r="H119" i="12"/>
  <c r="M119" i="1"/>
  <c r="O1473" i="1"/>
  <c r="D991" i="1"/>
  <c r="O306" i="1"/>
  <c r="H389" i="12"/>
  <c r="M389" i="1"/>
  <c r="D540" i="1"/>
  <c r="D102" i="1"/>
  <c r="O593" i="1"/>
  <c r="H931" i="12"/>
  <c r="M931" i="1"/>
  <c r="D1020" i="1"/>
  <c r="D1218" i="1"/>
  <c r="O748" i="1"/>
  <c r="D1667" i="1"/>
  <c r="H386" i="12"/>
  <c r="M386" i="1"/>
  <c r="O880" i="1"/>
  <c r="D1376" i="1"/>
  <c r="H1012" i="12"/>
  <c r="M1012" i="1"/>
  <c r="H996" i="12"/>
  <c r="M996" i="1"/>
  <c r="D939" i="1"/>
  <c r="D245" i="1"/>
  <c r="M914" i="1"/>
  <c r="H914" i="12"/>
  <c r="D807" i="1"/>
  <c r="D1105" i="1"/>
  <c r="O316" i="1"/>
  <c r="D424" i="1"/>
  <c r="D338" i="1"/>
  <c r="M1428" i="1"/>
  <c r="H1428" i="12"/>
  <c r="H1526" i="12"/>
  <c r="M1526" i="1"/>
  <c r="O951" i="1"/>
  <c r="D521" i="1"/>
  <c r="O84" i="1"/>
  <c r="M663" i="1"/>
  <c r="H663" i="12"/>
  <c r="O1098" i="1"/>
  <c r="D309" i="1"/>
  <c r="O1249" i="1"/>
  <c r="D997" i="1"/>
  <c r="H706" i="12"/>
  <c r="M706" i="1"/>
  <c r="O1024" i="1"/>
  <c r="D1517" i="1"/>
  <c r="H1442" i="12"/>
  <c r="M1442" i="1"/>
  <c r="O137" i="1"/>
  <c r="O802" i="1"/>
  <c r="H108" i="12"/>
  <c r="M108" i="1"/>
  <c r="D655" i="1"/>
  <c r="M274" i="1"/>
  <c r="H274" i="12"/>
  <c r="H1331" i="12"/>
  <c r="M1331" i="1"/>
  <c r="D1005" i="1"/>
  <c r="D506" i="1"/>
  <c r="D224" i="1"/>
  <c r="D237" i="1"/>
  <c r="M176" i="1"/>
  <c r="H176" i="12"/>
  <c r="O1045" i="1"/>
  <c r="D407" i="1"/>
  <c r="D359" i="1"/>
  <c r="D1558" i="1"/>
  <c r="H102" i="12"/>
  <c r="M102" i="1"/>
  <c r="D48" i="1"/>
  <c r="D1525" i="1"/>
  <c r="H685" i="12"/>
  <c r="M685" i="1"/>
  <c r="H1074" i="12"/>
  <c r="M1074" i="1"/>
  <c r="H947" i="12"/>
  <c r="M947" i="1"/>
  <c r="D326" i="1"/>
  <c r="H1387" i="12"/>
  <c r="M1387" i="1"/>
  <c r="D529" i="1"/>
  <c r="O1259" i="1"/>
  <c r="M658" i="1"/>
  <c r="H658" i="12"/>
  <c r="H1262" i="12"/>
  <c r="M1262" i="1"/>
  <c r="H760" i="12"/>
  <c r="M760" i="1"/>
  <c r="D71" i="1"/>
  <c r="D693" i="1"/>
  <c r="O54" i="1"/>
  <c r="H910" i="12"/>
  <c r="M910" i="1"/>
  <c r="O765" i="1"/>
  <c r="D753" i="1"/>
  <c r="D697" i="1"/>
  <c r="M1293" i="1"/>
  <c r="H1293" i="12"/>
  <c r="O493" i="1"/>
  <c r="O415" i="1"/>
  <c r="D1291" i="1"/>
  <c r="D1273" i="1"/>
  <c r="O424" i="1"/>
  <c r="O1601" i="1"/>
  <c r="M1441" i="1"/>
  <c r="H1441" i="12"/>
  <c r="O199" i="1"/>
  <c r="H1609" i="12"/>
  <c r="M1609" i="1"/>
  <c r="M676" i="1"/>
  <c r="H676" i="12"/>
  <c r="H713" i="12"/>
  <c r="M713" i="1"/>
  <c r="O1537" i="1"/>
  <c r="O875" i="1"/>
  <c r="H590" i="12"/>
  <c r="M590" i="1"/>
  <c r="O378" i="1"/>
  <c r="M1402" i="1"/>
  <c r="H1402" i="12"/>
  <c r="D1331" i="1"/>
  <c r="H265" i="12"/>
  <c r="M265" i="1"/>
  <c r="M83" i="1"/>
  <c r="H83" i="12"/>
  <c r="D1562" i="1"/>
  <c r="O605" i="1"/>
  <c r="D1289" i="1"/>
  <c r="D1568" i="1"/>
  <c r="D1281" i="1"/>
  <c r="H266" i="12"/>
  <c r="M266" i="1"/>
  <c r="D1636" i="1"/>
  <c r="O248" i="1"/>
  <c r="O135" i="1"/>
  <c r="M1148" i="1"/>
  <c r="H1148" i="12"/>
  <c r="O1418" i="1"/>
  <c r="D1672" i="1"/>
  <c r="D333" i="1"/>
  <c r="M592" i="1"/>
  <c r="H592" i="12"/>
  <c r="D965" i="1"/>
  <c r="O729" i="1"/>
  <c r="O123" i="1"/>
  <c r="D1675" i="1"/>
  <c r="M424" i="1"/>
  <c r="H424" i="12"/>
  <c r="O143" i="1"/>
  <c r="D1146" i="1"/>
  <c r="O206" i="1"/>
  <c r="D253" i="1"/>
  <c r="O491" i="1"/>
  <c r="D1649" i="1"/>
  <c r="D1037" i="1"/>
  <c r="M23" i="1"/>
  <c r="H23" i="12"/>
  <c r="O1283" i="1"/>
  <c r="D808" i="1"/>
  <c r="M1346" i="1"/>
  <c r="H1346" i="12"/>
  <c r="M560" i="1"/>
  <c r="H560" i="12"/>
  <c r="H1410" i="12"/>
  <c r="M1410" i="1"/>
  <c r="M1472" i="1"/>
  <c r="H1472" i="12"/>
  <c r="O806" i="1"/>
  <c r="O1673" i="1"/>
  <c r="O1019" i="1"/>
  <c r="O746" i="1"/>
  <c r="O786" i="1"/>
  <c r="D497" i="1"/>
  <c r="H198" i="12"/>
  <c r="M198" i="1"/>
  <c r="M225" i="1"/>
  <c r="H225" i="12"/>
  <c r="M456" i="1"/>
  <c r="H456" i="12"/>
  <c r="H605" i="12"/>
  <c r="M605" i="1"/>
  <c r="M1485" i="1"/>
  <c r="H1485" i="12"/>
  <c r="M1495" i="1"/>
  <c r="H1495" i="12"/>
  <c r="D63" i="1"/>
  <c r="O676" i="1"/>
  <c r="M1433" i="1"/>
  <c r="H1433" i="12"/>
  <c r="H1570" i="12"/>
  <c r="M1570" i="1"/>
  <c r="H833" i="12"/>
  <c r="M833" i="1"/>
  <c r="B53" i="3"/>
  <c r="O882" i="1"/>
  <c r="D829" i="1"/>
  <c r="M447" i="1"/>
  <c r="H447" i="12"/>
  <c r="D360" i="1"/>
  <c r="D903" i="1"/>
  <c r="M902" i="1"/>
  <c r="H902" i="12"/>
  <c r="H535" i="12"/>
  <c r="M535" i="1"/>
  <c r="H1169" i="12"/>
  <c r="M1169" i="1"/>
  <c r="O479" i="1"/>
  <c r="H1312" i="12"/>
  <c r="M1312" i="1"/>
  <c r="M1642" i="1"/>
  <c r="H1642" i="12"/>
  <c r="M223" i="1"/>
  <c r="H223" i="12"/>
  <c r="O612" i="1"/>
  <c r="D1445" i="1"/>
  <c r="D1570" i="1"/>
  <c r="O1274" i="1"/>
  <c r="O655" i="1"/>
  <c r="O213" i="1"/>
  <c r="D986" i="1"/>
  <c r="M426" i="1"/>
  <c r="H426" i="12"/>
  <c r="D123" i="1"/>
  <c r="D606" i="1"/>
  <c r="D1359" i="1"/>
  <c r="H1221" i="12"/>
  <c r="M1221" i="1"/>
  <c r="H1481" i="12"/>
  <c r="M1481" i="1"/>
  <c r="M1363" i="1"/>
  <c r="H1363" i="12"/>
  <c r="D198" i="1"/>
  <c r="O321" i="1"/>
  <c r="O1430" i="1"/>
  <c r="M239" i="1"/>
  <c r="H239" i="12"/>
  <c r="D1514" i="1"/>
  <c r="D18" i="1"/>
  <c r="H1636" i="12"/>
  <c r="M1636" i="1"/>
  <c r="O19" i="1"/>
  <c r="O284" i="1"/>
  <c r="M543" i="1"/>
  <c r="H543" i="12"/>
  <c r="M125" i="1"/>
  <c r="H125" i="12"/>
  <c r="O634" i="1"/>
  <c r="D467" i="1"/>
  <c r="M490" i="1"/>
  <c r="H490" i="12"/>
  <c r="O1269" i="1"/>
  <c r="O443" i="1"/>
  <c r="H316" i="12"/>
  <c r="M316" i="1"/>
  <c r="O1348" i="1"/>
  <c r="M1535" i="1"/>
  <c r="H1535" i="12"/>
  <c r="H1248" i="12"/>
  <c r="M1248" i="1"/>
  <c r="H321" i="12"/>
  <c r="M321" i="1"/>
  <c r="H1434" i="12"/>
  <c r="M1434" i="1"/>
  <c r="O666" i="1"/>
  <c r="M1355" i="1"/>
  <c r="H1355" i="12"/>
  <c r="H92" i="12"/>
  <c r="M92" i="1"/>
  <c r="D327" i="1"/>
  <c r="D1010" i="1"/>
  <c r="O120" i="1"/>
  <c r="O278" i="1"/>
  <c r="O18" i="1"/>
  <c r="M827" i="1"/>
  <c r="H827" i="12"/>
  <c r="D290" i="1"/>
  <c r="D350" i="1"/>
  <c r="O1246" i="1"/>
  <c r="D277" i="1"/>
  <c r="D855" i="1"/>
  <c r="D455" i="1"/>
  <c r="H660" i="12"/>
  <c r="M660" i="1"/>
  <c r="D223" i="1"/>
  <c r="D952" i="1"/>
  <c r="O83" i="1"/>
  <c r="D542" i="1"/>
  <c r="O1492" i="1"/>
  <c r="M1646" i="1"/>
  <c r="H1646" i="12"/>
  <c r="D1391" i="1"/>
  <c r="H625" i="12"/>
  <c r="M625" i="1"/>
  <c r="D783" i="1"/>
  <c r="D1430" i="1"/>
  <c r="H1308" i="12"/>
  <c r="M1308" i="1"/>
  <c r="D1362" i="1"/>
  <c r="D369" i="1"/>
  <c r="D867" i="1"/>
  <c r="O397" i="1"/>
  <c r="O850" i="1"/>
  <c r="H1137" i="12"/>
  <c r="M1137" i="1"/>
  <c r="M1297" i="1"/>
  <c r="H1297" i="12"/>
  <c r="O1191" i="1"/>
  <c r="M1139" i="1"/>
  <c r="H1139" i="12"/>
  <c r="D1457" i="1"/>
  <c r="D1505" i="1"/>
  <c r="O631" i="1"/>
  <c r="M526" i="1"/>
  <c r="H526" i="12"/>
  <c r="D1323" i="1"/>
  <c r="O858" i="1"/>
  <c r="H508" i="12"/>
  <c r="M508" i="1"/>
  <c r="M1028" i="1"/>
  <c r="H1028" i="12"/>
  <c r="O551" i="1"/>
  <c r="O792" i="1"/>
  <c r="H979" i="12"/>
  <c r="M979" i="1"/>
  <c r="D746" i="1"/>
  <c r="H1069" i="12"/>
  <c r="M1069" i="1"/>
  <c r="H888" i="12"/>
  <c r="M888" i="1"/>
  <c r="O763" i="1"/>
  <c r="H999" i="12"/>
  <c r="M999" i="1"/>
  <c r="O805" i="1"/>
  <c r="O1571" i="1"/>
  <c r="H953" i="12"/>
  <c r="M953" i="1"/>
  <c r="O1264" i="1"/>
  <c r="D1013" i="1"/>
  <c r="M873" i="1"/>
  <c r="H873" i="12"/>
  <c r="O1478" i="1"/>
  <c r="D563" i="1"/>
  <c r="M791" i="1"/>
  <c r="H791" i="12"/>
  <c r="H20" i="12"/>
  <c r="M20" i="1"/>
  <c r="D929" i="1"/>
  <c r="H1348" i="12"/>
  <c r="M1348" i="1"/>
  <c r="D728" i="1"/>
  <c r="M1203" i="1"/>
  <c r="H1203" i="12"/>
  <c r="H1643" i="12"/>
  <c r="M1643" i="1"/>
  <c r="H72" i="12"/>
  <c r="M72" i="1"/>
  <c r="M1111" i="1"/>
  <c r="H1111" i="12"/>
  <c r="H451" i="12"/>
  <c r="M451" i="1"/>
  <c r="H298" i="12"/>
  <c r="M298" i="1"/>
  <c r="O595" i="1"/>
  <c r="M807" i="1"/>
  <c r="H807" i="12"/>
  <c r="O497" i="1"/>
  <c r="D1469" i="1"/>
  <c r="O799" i="1"/>
  <c r="M1644" i="1"/>
  <c r="H1644" i="12"/>
  <c r="D1346" i="1"/>
  <c r="M702" i="1"/>
  <c r="H702" i="12"/>
  <c r="D1426" i="1"/>
  <c r="D508" i="1"/>
  <c r="D1596" i="1"/>
  <c r="H1607" i="12"/>
  <c r="M1607" i="1"/>
  <c r="O827" i="1"/>
  <c r="O1115" i="1"/>
  <c r="O1242" i="1"/>
  <c r="M679" i="1"/>
  <c r="H679" i="12"/>
  <c r="M858" i="1"/>
  <c r="H858" i="12"/>
  <c r="O1352" i="1"/>
  <c r="O924" i="1"/>
  <c r="O1066" i="1"/>
  <c r="O1629" i="1"/>
  <c r="H894" i="12"/>
  <c r="M894" i="1"/>
  <c r="M828" i="1"/>
  <c r="H828" i="12"/>
  <c r="M1463" i="1"/>
  <c r="H1463" i="12"/>
  <c r="H1211" i="12"/>
  <c r="M1211" i="1"/>
  <c r="H1323" i="12"/>
  <c r="M1323" i="1"/>
  <c r="O475" i="1"/>
  <c r="O438" i="1"/>
  <c r="M730" i="1"/>
  <c r="H730" i="12"/>
  <c r="O1349" i="1"/>
  <c r="O572" i="1"/>
  <c r="H569" i="12"/>
  <c r="M569" i="1"/>
  <c r="M1630" i="1"/>
  <c r="H1630" i="12"/>
  <c r="H28" i="12"/>
  <c r="M28" i="1"/>
  <c r="D1252" i="1"/>
  <c r="O1456" i="1"/>
  <c r="D936" i="1"/>
  <c r="D1379" i="1"/>
  <c r="D1522" i="1"/>
  <c r="D317" i="1"/>
  <c r="O1557" i="1"/>
  <c r="H1581" i="12"/>
  <c r="M1581" i="1"/>
  <c r="D1608" i="1"/>
  <c r="M629" i="1"/>
  <c r="H629" i="12"/>
  <c r="H305" i="12"/>
  <c r="M305" i="1"/>
  <c r="D796" i="1"/>
  <c r="D269" i="1"/>
  <c r="D1554" i="1"/>
  <c r="M499" i="1"/>
  <c r="H499" i="12"/>
  <c r="D315" i="1"/>
  <c r="O669" i="1"/>
  <c r="D675" i="1"/>
  <c r="M169" i="1"/>
  <c r="H169" i="12"/>
  <c r="M505" i="1"/>
  <c r="H505" i="12"/>
  <c r="O840" i="1"/>
  <c r="D347" i="1"/>
  <c r="O29" i="1"/>
  <c r="H733" i="12"/>
  <c r="M733" i="1"/>
  <c r="O1634" i="1"/>
  <c r="M863" i="1"/>
  <c r="H863" i="12"/>
  <c r="M1266" i="1"/>
  <c r="H1266" i="12"/>
  <c r="D1478" i="1"/>
  <c r="D1371" i="1"/>
  <c r="M1498" i="1"/>
  <c r="H1498" i="12"/>
  <c r="D475" i="1"/>
  <c r="M1356" i="1"/>
  <c r="H1356" i="12"/>
  <c r="H1328" i="12"/>
  <c r="M1328" i="1"/>
  <c r="M1509" i="1"/>
  <c r="H1509" i="12"/>
  <c r="D1046" i="1"/>
  <c r="O1333" i="1"/>
  <c r="H745" i="12"/>
  <c r="M745" i="1"/>
  <c r="D1237" i="1"/>
  <c r="O304" i="1"/>
  <c r="H1561" i="12"/>
  <c r="M1561" i="1"/>
  <c r="H329" i="12"/>
  <c r="M329" i="1"/>
  <c r="M252" i="1"/>
  <c r="H252" i="12"/>
  <c r="H805" i="12"/>
  <c r="M805" i="1"/>
  <c r="H546" i="12"/>
  <c r="M546" i="1"/>
  <c r="O1548" i="1"/>
  <c r="H420" i="12"/>
  <c r="M420" i="1"/>
  <c r="O1608" i="1"/>
  <c r="M258" i="1"/>
  <c r="H258" i="12"/>
  <c r="O1412" i="1"/>
  <c r="O326" i="1"/>
  <c r="D887" i="1"/>
  <c r="M43" i="1"/>
  <c r="H43" i="12"/>
  <c r="M333" i="1"/>
  <c r="H333" i="12"/>
  <c r="O787" i="1"/>
  <c r="O294" i="1"/>
  <c r="H1377" i="12"/>
  <c r="M1377" i="1"/>
  <c r="O742" i="1"/>
  <c r="O1106" i="1"/>
  <c r="D966" i="1"/>
  <c r="M314" i="1"/>
  <c r="H314" i="12"/>
  <c r="H1658" i="12"/>
  <c r="M1658" i="1"/>
  <c r="M327" i="1"/>
  <c r="H327" i="12"/>
  <c r="D811" i="1"/>
  <c r="D159" i="1"/>
  <c r="D1104" i="1"/>
  <c r="H975" i="12"/>
  <c r="M975" i="1"/>
  <c r="D1147" i="1"/>
  <c r="M1354" i="1"/>
  <c r="H1354" i="12"/>
  <c r="M41" i="1"/>
  <c r="H41" i="12"/>
  <c r="H1624" i="12"/>
  <c r="M1624" i="1"/>
  <c r="M157" i="1"/>
  <c r="H157" i="12"/>
  <c r="M494" i="1"/>
  <c r="H494" i="12"/>
  <c r="H1654" i="12"/>
  <c r="M1654" i="1"/>
  <c r="O718" i="1"/>
  <c r="M289" i="1"/>
  <c r="H289" i="12"/>
  <c r="M179" i="1"/>
  <c r="H179" i="12"/>
  <c r="H168" i="12"/>
  <c r="M168" i="1"/>
  <c r="M1573" i="1"/>
  <c r="H1573" i="12"/>
  <c r="D889" i="1"/>
  <c r="M1291" i="1"/>
  <c r="H1291" i="12"/>
  <c r="H206" i="12"/>
  <c r="M206" i="1"/>
  <c r="M1583" i="1"/>
  <c r="H1583" i="12"/>
  <c r="D638" i="1"/>
  <c r="M1536" i="1"/>
  <c r="H1536" i="12"/>
  <c r="M94" i="1"/>
  <c r="H94" i="12"/>
  <c r="O1101" i="1"/>
  <c r="D211" i="1"/>
  <c r="D545" i="1"/>
  <c r="D98" i="1"/>
  <c r="H825" i="12"/>
  <c r="M825" i="1"/>
  <c r="D933" i="1"/>
  <c r="H536" i="12"/>
  <c r="M536" i="1"/>
  <c r="M473" i="1"/>
  <c r="H473" i="12"/>
  <c r="O700" i="1"/>
  <c r="O957" i="1"/>
  <c r="O1325" i="1"/>
  <c r="D428" i="1"/>
  <c r="D935" i="1"/>
  <c r="O225" i="1"/>
  <c r="D388" i="1"/>
  <c r="D605" i="1"/>
  <c r="D1399" i="1"/>
  <c r="D1170" i="1"/>
  <c r="O36" i="1"/>
  <c r="O776" i="1"/>
  <c r="D1032" i="1"/>
  <c r="O1054" i="1"/>
  <c r="O347" i="1"/>
  <c r="D432" i="1"/>
  <c r="O749" i="1"/>
  <c r="O1124" i="1"/>
  <c r="O711" i="1"/>
  <c r="D1307" i="1"/>
  <c r="O732" i="1"/>
  <c r="O919" i="1"/>
  <c r="O257" i="1"/>
  <c r="D25" i="1"/>
  <c r="H1568" i="12"/>
  <c r="M1568" i="1"/>
  <c r="M890" i="1"/>
  <c r="H890" i="12"/>
  <c r="M1593" i="1"/>
  <c r="H1593" i="12"/>
  <c r="D1330" i="1"/>
  <c r="M917" i="1"/>
  <c r="H917" i="12"/>
  <c r="H571" i="12"/>
  <c r="M571" i="1"/>
  <c r="O1628" i="1"/>
  <c r="M484" i="1"/>
  <c r="H484" i="12"/>
  <c r="H1160" i="12"/>
  <c r="M1160" i="1"/>
  <c r="H232" i="12"/>
  <c r="M232" i="1"/>
  <c r="M557" i="1"/>
  <c r="H557" i="12"/>
  <c r="O1531" i="1"/>
  <c r="D1397" i="1"/>
  <c r="M867" i="1"/>
  <c r="H867" i="12"/>
  <c r="D651" i="1"/>
  <c r="M1415" i="1"/>
  <c r="H1415" i="12"/>
  <c r="M233" i="1"/>
  <c r="H233" i="12"/>
  <c r="H430" i="12"/>
  <c r="M430" i="1"/>
  <c r="D723" i="1"/>
  <c r="O1460" i="1"/>
  <c r="O502" i="1"/>
  <c r="H326" i="12"/>
  <c r="M326" i="1"/>
  <c r="H956" i="12"/>
  <c r="M956" i="1"/>
  <c r="O690" i="1"/>
  <c r="M1255" i="1"/>
  <c r="H1255" i="12"/>
  <c r="H1395" i="12"/>
  <c r="M1395" i="1"/>
  <c r="D1440" i="1"/>
  <c r="D1600" i="1"/>
  <c r="M933" i="1"/>
  <c r="H933" i="12"/>
  <c r="H1345" i="12"/>
  <c r="M1345" i="1"/>
  <c r="M884" i="1"/>
  <c r="H884" i="12"/>
  <c r="O1374" i="1"/>
  <c r="O1675" i="1"/>
  <c r="M1277" i="1"/>
  <c r="H1277" i="12"/>
  <c r="M1103" i="1"/>
  <c r="H1103" i="12"/>
  <c r="O978" i="1"/>
  <c r="D1300" i="1"/>
  <c r="O35" i="1"/>
  <c r="M1144" i="1"/>
  <c r="H1144" i="12"/>
  <c r="D934" i="1"/>
  <c r="H1548" i="12"/>
  <c r="M1548" i="1"/>
  <c r="O1136" i="1"/>
  <c r="O1276" i="1"/>
  <c r="O1544" i="1"/>
  <c r="M107" i="1"/>
  <c r="H107" i="12"/>
  <c r="D1604" i="1"/>
  <c r="D16" i="1"/>
  <c r="H262" i="12"/>
  <c r="M262" i="1"/>
  <c r="M1423" i="1"/>
  <c r="H1423" i="12"/>
  <c r="O1546" i="1"/>
  <c r="O96" i="1"/>
  <c r="O644" i="1"/>
  <c r="D782" i="1"/>
  <c r="O337" i="1"/>
  <c r="D191" i="1"/>
  <c r="O203" i="1"/>
  <c r="D1174" i="1"/>
  <c r="D1054" i="1"/>
  <c r="H299" i="12"/>
  <c r="M299" i="1"/>
  <c r="H1287" i="12"/>
  <c r="M1287" i="1"/>
  <c r="H1358" i="12"/>
  <c r="M1358" i="1"/>
  <c r="O1192" i="1"/>
  <c r="O142" i="1"/>
  <c r="O253" i="1"/>
  <c r="D408" i="1"/>
  <c r="O1638" i="1"/>
  <c r="M64" i="1"/>
  <c r="H64" i="12"/>
  <c r="M1424" i="1"/>
  <c r="H1424" i="12"/>
  <c r="M763" i="1"/>
  <c r="H763" i="12"/>
  <c r="H534" i="12"/>
  <c r="M534" i="1"/>
  <c r="H762" i="12"/>
  <c r="M762" i="1"/>
  <c r="H909" i="12"/>
  <c r="M909" i="1"/>
  <c r="H459" i="12"/>
  <c r="M459" i="1"/>
  <c r="H734" i="12"/>
  <c r="M734" i="1"/>
  <c r="M801" i="1"/>
  <c r="H801" i="12"/>
  <c r="M834" i="1"/>
  <c r="H834" i="12"/>
  <c r="O1168" i="1"/>
  <c r="M1000" i="1"/>
  <c r="H1000" i="12"/>
  <c r="O214" i="1"/>
  <c r="M1500" i="1"/>
  <c r="H1500" i="12"/>
  <c r="M273" i="1"/>
  <c r="H273" i="12"/>
  <c r="D1547" i="1"/>
  <c r="M1592" i="1"/>
  <c r="H1592" i="12"/>
  <c r="O186" i="1"/>
  <c r="D355" i="1"/>
  <c r="M1392" i="1"/>
  <c r="H1392" i="12"/>
  <c r="H247" i="12"/>
  <c r="M247" i="1"/>
  <c r="O767" i="1"/>
  <c r="H921" i="12"/>
  <c r="M921" i="1"/>
  <c r="M1617" i="1"/>
  <c r="H1617" i="12"/>
  <c r="H220" i="12"/>
  <c r="M220" i="1"/>
  <c r="D1342" i="1"/>
  <c r="O1495" i="1"/>
  <c r="O141" i="1"/>
  <c r="O614" i="1"/>
  <c r="D1025" i="1"/>
  <c r="M1044" i="1"/>
  <c r="H1044" i="12"/>
  <c r="M1067" i="1"/>
  <c r="H1067" i="12"/>
  <c r="H579" i="12"/>
  <c r="M579" i="1"/>
  <c r="M1430" i="1"/>
  <c r="H1430" i="12"/>
  <c r="M817" i="1"/>
  <c r="H817" i="12"/>
  <c r="D146" i="1"/>
  <c r="M724" i="1"/>
  <c r="H724" i="12"/>
  <c r="M1038" i="1"/>
  <c r="H1038" i="12"/>
  <c r="O148" i="1"/>
  <c r="O100" i="1"/>
  <c r="O931" i="1"/>
  <c r="O1195" i="1"/>
  <c r="M218" i="1"/>
  <c r="H218" i="12"/>
  <c r="H1653" i="12"/>
  <c r="M1653" i="1"/>
  <c r="M1298" i="1"/>
  <c r="H1298" i="12"/>
  <c r="H705" i="12"/>
  <c r="M705" i="1"/>
  <c r="H512" i="12"/>
  <c r="M512" i="1"/>
  <c r="M1238" i="1"/>
  <c r="H1238" i="12"/>
  <c r="O67" i="1"/>
  <c r="D1125" i="1"/>
  <c r="M454" i="1"/>
  <c r="H454" i="12"/>
  <c r="H932" i="12"/>
  <c r="M932" i="1"/>
  <c r="O1603" i="1"/>
  <c r="O821" i="1"/>
  <c r="D1460" i="1"/>
  <c r="O1613" i="1"/>
  <c r="D1164" i="1"/>
  <c r="H743" i="12"/>
  <c r="M743" i="1"/>
  <c r="O1381" i="1"/>
  <c r="H1544" i="12"/>
  <c r="M1544" i="1"/>
  <c r="D692" i="1"/>
  <c r="D1425" i="1"/>
  <c r="D340" i="1"/>
  <c r="O856" i="1"/>
  <c r="O508" i="1"/>
  <c r="H994" i="12"/>
  <c r="M994" i="1"/>
  <c r="H697" i="12"/>
  <c r="M697" i="1"/>
  <c r="M1224" i="1"/>
  <c r="H1224" i="12"/>
  <c r="O1429" i="1"/>
  <c r="O1507" i="1"/>
  <c r="D21" i="1"/>
  <c r="D598" i="1"/>
  <c r="D77" i="1"/>
  <c r="D232" i="1"/>
  <c r="D409" i="1"/>
  <c r="O918" i="1"/>
  <c r="O109" i="1"/>
  <c r="O416" i="1"/>
  <c r="D1464" i="1"/>
  <c r="O672" i="1"/>
  <c r="H881" i="12"/>
  <c r="M881" i="1"/>
  <c r="O391" i="1"/>
  <c r="O37" i="1"/>
  <c r="O1366" i="1"/>
  <c r="O954" i="1"/>
  <c r="M111" i="1"/>
  <c r="H111" i="12"/>
  <c r="H725" i="12"/>
  <c r="M725" i="1"/>
  <c r="H1097" i="12"/>
  <c r="M1097" i="1"/>
  <c r="H854" i="12"/>
  <c r="M854" i="1"/>
  <c r="H416" i="12"/>
  <c r="M416" i="1"/>
  <c r="O422" i="1"/>
  <c r="O610" i="1"/>
  <c r="D519" i="1"/>
  <c r="D1290" i="1"/>
  <c r="O489" i="1"/>
  <c r="D884" i="1"/>
  <c r="O228" i="1"/>
  <c r="B6" i="3"/>
  <c r="D1258" i="1"/>
  <c r="H960" i="12"/>
  <c r="M960" i="1"/>
  <c r="O584" i="1"/>
  <c r="O169" i="1"/>
  <c r="D250" i="1"/>
  <c r="D1264" i="1"/>
  <c r="M870" i="1"/>
  <c r="H870" i="12"/>
  <c r="O1123" i="1"/>
  <c r="O1196" i="1"/>
  <c r="D1263" i="1"/>
  <c r="D70" i="1"/>
  <c r="D1392" i="1"/>
  <c r="O545" i="1"/>
  <c r="O542" i="1"/>
  <c r="H1453" i="12"/>
  <c r="M1453" i="1"/>
  <c r="D1257" i="1"/>
  <c r="D1259" i="1"/>
  <c r="D1534" i="1"/>
  <c r="D1141" i="1"/>
  <c r="D1296" i="1"/>
  <c r="D1123" i="1"/>
  <c r="D888" i="1"/>
  <c r="O381" i="1"/>
  <c r="D1569" i="1"/>
  <c r="O646" i="1"/>
  <c r="D832" i="1"/>
  <c r="O1266" i="1"/>
  <c r="M1275" i="1"/>
  <c r="H1275" i="12"/>
  <c r="H635" i="12"/>
  <c r="M635" i="1"/>
  <c r="H350" i="12"/>
  <c r="M350" i="1"/>
  <c r="M1461" i="1"/>
  <c r="H1461" i="12"/>
  <c r="H1610" i="12"/>
  <c r="M1610" i="1"/>
  <c r="M783" i="1"/>
  <c r="H783" i="12"/>
  <c r="M739" i="1"/>
  <c r="H739" i="12"/>
  <c r="M1209" i="1"/>
  <c r="H1209" i="12"/>
  <c r="D188" i="1"/>
  <c r="O1396" i="1"/>
  <c r="H812" i="12"/>
  <c r="M812" i="1"/>
  <c r="O1337" i="1"/>
  <c r="D1659" i="1"/>
  <c r="M1621" i="1"/>
  <c r="H1621" i="12"/>
  <c r="O91" i="1"/>
  <c r="O717" i="1"/>
  <c r="M704" i="1"/>
  <c r="H704" i="12"/>
  <c r="D1355" i="1"/>
  <c r="D73" i="1"/>
  <c r="H291" i="12"/>
  <c r="M291" i="1"/>
  <c r="M1417" i="1"/>
  <c r="H1417" i="12"/>
  <c r="M1289" i="1"/>
  <c r="H1289" i="12"/>
  <c r="O319" i="1"/>
  <c r="O157" i="1"/>
  <c r="O1510" i="1"/>
  <c r="M66" i="1"/>
  <c r="H66" i="12"/>
  <c r="M686" i="1"/>
  <c r="H686" i="12"/>
  <c r="D285" i="1"/>
  <c r="D714" i="1"/>
  <c r="H1196" i="12"/>
  <c r="M1196" i="1"/>
  <c r="D587" i="1"/>
  <c r="H1426" i="12"/>
  <c r="M1426" i="1"/>
  <c r="M127" i="1"/>
  <c r="H127" i="12"/>
  <c r="B51" i="3"/>
  <c r="O492" i="1"/>
  <c r="M479" i="1"/>
  <c r="H479" i="12"/>
  <c r="O448" i="1"/>
  <c r="D423" i="1"/>
  <c r="D962" i="1"/>
  <c r="D1583" i="1"/>
  <c r="D1414" i="1"/>
  <c r="D1196" i="1"/>
  <c r="M610" i="1"/>
  <c r="H610" i="12"/>
  <c r="D258" i="1"/>
  <c r="D1383" i="1"/>
  <c r="D210" i="1"/>
  <c r="O158" i="1"/>
  <c r="M1199" i="1"/>
  <c r="H1199" i="12"/>
  <c r="M1413" i="1"/>
  <c r="H1413" i="12"/>
  <c r="H1647" i="12"/>
  <c r="M1647" i="1"/>
  <c r="H749" i="12"/>
  <c r="M749" i="1"/>
  <c r="D1621" i="1"/>
  <c r="D815" i="1"/>
  <c r="O1633" i="1"/>
  <c r="M1523" i="1"/>
  <c r="H1523" i="12"/>
  <c r="D813" i="1"/>
  <c r="H228" i="12"/>
  <c r="M228" i="1"/>
  <c r="M1444" i="1"/>
  <c r="H1444" i="12"/>
  <c r="O1649" i="1"/>
  <c r="O956" i="1"/>
  <c r="O45" i="1"/>
  <c r="D1127" i="1"/>
  <c r="D78" i="1"/>
  <c r="M1040" i="1"/>
  <c r="H1040" i="12"/>
  <c r="O1009" i="1"/>
  <c r="D1340" i="1"/>
  <c r="O1392" i="1"/>
  <c r="M1560" i="1"/>
  <c r="H1560" i="12"/>
  <c r="O870" i="1"/>
  <c r="D1669" i="1"/>
  <c r="D1166" i="1"/>
  <c r="O167" i="1"/>
  <c r="D141" i="1"/>
  <c r="H954" i="12"/>
  <c r="M954" i="1"/>
  <c r="O305" i="1"/>
  <c r="O586" i="1"/>
  <c r="D916" i="1"/>
  <c r="D104" i="1"/>
  <c r="O1355" i="1"/>
  <c r="M848" i="1"/>
  <c r="H848" i="12"/>
  <c r="D738" i="1"/>
  <c r="H517" i="12"/>
  <c r="M517" i="1"/>
  <c r="O851" i="1"/>
  <c r="O101" i="1"/>
  <c r="O902" i="1"/>
  <c r="H596" i="12"/>
  <c r="M596" i="1"/>
  <c r="D1227" i="1"/>
  <c r="O817" i="1"/>
  <c r="O571" i="1"/>
  <c r="O1286" i="1"/>
  <c r="O469" i="1"/>
  <c r="D843" i="1"/>
  <c r="O168" i="1"/>
  <c r="D999" i="1"/>
  <c r="D1497" i="1"/>
  <c r="D221" i="1"/>
  <c r="O579" i="1"/>
  <c r="D873" i="1"/>
  <c r="O1321" i="1"/>
  <c r="D1082" i="1"/>
  <c r="O1043" i="1"/>
  <c r="O947" i="1"/>
  <c r="O1302" i="1"/>
  <c r="O517" i="1"/>
  <c r="O1583" i="1"/>
  <c r="O611" i="1"/>
  <c r="O1155" i="1"/>
  <c r="D143" i="1"/>
  <c r="O190" i="1"/>
  <c r="D294" i="1"/>
  <c r="D907" i="1"/>
  <c r="D1513" i="1"/>
  <c r="D1647" i="1"/>
  <c r="O695" i="1"/>
  <c r="D537" i="1"/>
  <c r="M661" i="1"/>
  <c r="H661" i="12"/>
  <c r="D1133" i="1"/>
  <c r="D610" i="1"/>
  <c r="D172" i="1"/>
  <c r="O117" i="1"/>
  <c r="M1534" i="1"/>
  <c r="H1534" i="12"/>
  <c r="O906" i="1"/>
  <c r="H1349" i="12"/>
  <c r="M1349" i="1"/>
  <c r="D580" i="1"/>
  <c r="O287" i="1"/>
  <c r="D1317" i="1"/>
  <c r="O21" i="1"/>
  <c r="D217" i="1"/>
  <c r="O801" i="1"/>
  <c r="M1365" i="1"/>
  <c r="H1365" i="12"/>
  <c r="D1271" i="1"/>
  <c r="M869" i="1"/>
  <c r="H869" i="12"/>
  <c r="H887" i="12"/>
  <c r="M887" i="1"/>
  <c r="D126" i="1"/>
  <c r="M1531" i="1"/>
  <c r="H1531" i="12"/>
  <c r="O1326" i="1"/>
  <c r="D404" i="1"/>
  <c r="D1185" i="1"/>
  <c r="M1665" i="1"/>
  <c r="H1665" i="12"/>
  <c r="H1138" i="12"/>
  <c r="M1138" i="1"/>
  <c r="D1063" i="1"/>
  <c r="M71" i="1"/>
  <c r="H71" i="12"/>
  <c r="H309" i="12"/>
  <c r="M309" i="1"/>
  <c r="H662" i="12"/>
  <c r="M662" i="1"/>
  <c r="H675" i="12"/>
  <c r="M675" i="1"/>
  <c r="M1176" i="1"/>
  <c r="H1176" i="12"/>
  <c r="O561" i="1"/>
  <c r="O745" i="1"/>
  <c r="H944" i="12"/>
  <c r="M944" i="1"/>
  <c r="M626" i="1"/>
  <c r="H626" i="12"/>
  <c r="D324" i="1"/>
  <c r="D1295" i="1"/>
  <c r="H458" i="12"/>
  <c r="M458" i="1"/>
  <c r="H421" i="12"/>
  <c r="M421" i="1"/>
  <c r="M1359" i="1"/>
  <c r="H1359" i="12"/>
  <c r="O308" i="1"/>
  <c r="D444" i="1"/>
  <c r="O597" i="1"/>
  <c r="H815" i="12"/>
  <c r="M815" i="1"/>
  <c r="M460" i="1"/>
  <c r="H460" i="12"/>
  <c r="M79" i="1"/>
  <c r="H79" i="12"/>
  <c r="M542" i="1"/>
  <c r="H542" i="12"/>
  <c r="H1378" i="12"/>
  <c r="M1378" i="1"/>
  <c r="O1315" i="1"/>
  <c r="M830" i="1"/>
  <c r="H830" i="12"/>
  <c r="D777" i="1"/>
  <c r="O1075" i="1"/>
  <c r="D252" i="1"/>
  <c r="D1211" i="1"/>
  <c r="O557" i="1"/>
  <c r="O444" i="1"/>
  <c r="D1467" i="1"/>
  <c r="M354" i="1"/>
  <c r="H354" i="12"/>
  <c r="D386" i="1"/>
  <c r="O1255" i="1"/>
  <c r="O1156" i="1"/>
  <c r="M664" i="1"/>
  <c r="H664" i="12"/>
  <c r="H1437" i="12"/>
  <c r="M1437" i="1"/>
  <c r="D797" i="1"/>
  <c r="D112" i="1"/>
  <c r="D688" i="1"/>
  <c r="M1310" i="1"/>
  <c r="H1310" i="12"/>
  <c r="O735" i="1"/>
  <c r="M393" i="1"/>
  <c r="H393" i="12"/>
  <c r="D403" i="1"/>
  <c r="M594" i="1"/>
  <c r="H594" i="12"/>
  <c r="D1285" i="1"/>
  <c r="O1403" i="1"/>
  <c r="D421" i="1"/>
  <c r="O1435" i="1"/>
  <c r="O1511" i="1"/>
  <c r="O223" i="1"/>
  <c r="H182" i="12"/>
  <c r="M182" i="1"/>
  <c r="O421" i="1"/>
  <c r="O1197" i="1"/>
  <c r="M1222" i="1"/>
  <c r="H1222" i="12"/>
  <c r="M1519" i="1"/>
  <c r="H1519" i="12"/>
  <c r="H376" i="12"/>
  <c r="M376" i="1"/>
  <c r="O1080" i="1"/>
  <c r="M395" i="1"/>
  <c r="H395" i="12"/>
  <c r="O804" i="1"/>
  <c r="M637" i="1"/>
  <c r="H637" i="12"/>
  <c r="M355" i="1"/>
  <c r="H355" i="12"/>
  <c r="O1027" i="1"/>
  <c r="H1150" i="12"/>
  <c r="M1150" i="1"/>
  <c r="O1339" i="1"/>
  <c r="O1453" i="1"/>
  <c r="M628" i="1"/>
  <c r="H628" i="12"/>
  <c r="M4" i="1"/>
  <c r="H4" i="12"/>
  <c r="M95" i="1"/>
  <c r="H95" i="12"/>
  <c r="D107" i="1"/>
  <c r="D922" i="1"/>
  <c r="O1226" i="1"/>
  <c r="O1639" i="1"/>
  <c r="O698" i="1"/>
  <c r="D1458" i="1"/>
  <c r="O144" i="1"/>
  <c r="M784" i="1"/>
  <c r="H784" i="12"/>
  <c r="O1324" i="1"/>
  <c r="H394" i="12"/>
  <c r="M394" i="1"/>
  <c r="M748" i="1"/>
  <c r="H748" i="12"/>
  <c r="M98" i="1"/>
  <c r="H98" i="12"/>
  <c r="H290" i="12"/>
  <c r="M290" i="1"/>
  <c r="O1576" i="1"/>
  <c r="D690" i="1"/>
  <c r="O810" i="1"/>
  <c r="D1279" i="1"/>
  <c r="D339" i="1"/>
  <c r="D231" i="1"/>
  <c r="O552" i="1"/>
  <c r="D557" i="1"/>
  <c r="H1004" i="12"/>
  <c r="M1004" i="1"/>
  <c r="D1181" i="1"/>
  <c r="D1352" i="1"/>
  <c r="O390" i="1"/>
  <c r="M175" i="1"/>
  <c r="H175" i="12"/>
  <c r="D565" i="1"/>
  <c r="O1530" i="1"/>
  <c r="M670" i="1"/>
  <c r="H670" i="12"/>
  <c r="H1468" i="12"/>
  <c r="M1468" i="1"/>
  <c r="B26" i="3"/>
  <c r="M288" i="1"/>
  <c r="H288" i="12"/>
  <c r="D1606" i="1"/>
  <c r="D1389" i="1"/>
  <c r="O1113" i="1"/>
  <c r="D516" i="1"/>
  <c r="O795" i="1"/>
  <c r="H920" i="12"/>
  <c r="M920" i="1"/>
  <c r="H1340" i="12"/>
  <c r="M1340" i="1"/>
  <c r="H926" i="12"/>
  <c r="M926" i="1"/>
  <c r="H756" i="12"/>
  <c r="M756" i="1"/>
  <c r="H1285" i="12"/>
  <c r="M1285" i="1"/>
  <c r="H611" i="12"/>
  <c r="M611" i="1"/>
  <c r="M744" i="1"/>
  <c r="H744" i="12"/>
  <c r="H222" i="12"/>
  <c r="M222" i="1"/>
  <c r="D1348" i="1"/>
  <c r="D175" i="1"/>
  <c r="D1416" i="1"/>
  <c r="O987" i="1"/>
  <c r="O1452" i="1"/>
  <c r="O1245" i="1"/>
  <c r="O1205" i="1"/>
  <c r="H189" i="12"/>
  <c r="M189" i="1"/>
  <c r="D105" i="1"/>
  <c r="M750" i="1"/>
  <c r="H750" i="12"/>
  <c r="D323" i="1"/>
  <c r="D433" i="1"/>
  <c r="O1652" i="1"/>
  <c r="D1452" i="1"/>
  <c r="D1520" i="1"/>
  <c r="D550" i="1"/>
  <c r="D1546" i="1"/>
  <c r="D1230" i="1"/>
  <c r="D1472" i="1"/>
  <c r="D1155" i="1"/>
  <c r="O1154" i="1"/>
  <c r="O814" i="1"/>
  <c r="D1119" i="1"/>
  <c r="H591" i="12"/>
  <c r="M591" i="1"/>
  <c r="D391" i="1"/>
  <c r="O1087" i="1"/>
  <c r="D1004" i="1"/>
  <c r="M248" i="1"/>
  <c r="H248" i="12"/>
  <c r="D1535" i="1"/>
  <c r="D1530" i="1"/>
  <c r="O187" i="1"/>
  <c r="M1659" i="1"/>
  <c r="H1659" i="12"/>
  <c r="O1059" i="1"/>
  <c r="D420" i="1"/>
  <c r="M752" i="1"/>
  <c r="H752" i="12"/>
  <c r="M1073" i="1"/>
  <c r="H1073" i="12"/>
  <c r="O1449" i="1"/>
  <c r="O1578" i="1"/>
  <c r="D1121" i="1"/>
  <c r="O525" i="1"/>
  <c r="O1327" i="1"/>
  <c r="D365" i="1"/>
  <c r="M613" i="1"/>
  <c r="H613" i="12"/>
  <c r="M659" i="1"/>
  <c r="H659" i="12"/>
  <c r="M1113" i="1"/>
  <c r="H1113" i="12"/>
  <c r="D34" i="1"/>
  <c r="H70" i="12"/>
  <c r="M70" i="1"/>
  <c r="D906" i="1"/>
  <c r="O709" i="1"/>
  <c r="D703" i="1"/>
  <c r="H1158" i="12"/>
  <c r="M1158" i="1"/>
  <c r="O1042" i="1"/>
  <c r="O703" i="1"/>
  <c r="O393" i="1"/>
  <c r="O752" i="1"/>
  <c r="D229" i="1"/>
  <c r="D209" i="1"/>
  <c r="O1218" i="1"/>
  <c r="O1356" i="1"/>
  <c r="M1547" i="1"/>
  <c r="H1547" i="12"/>
  <c r="O384" i="1"/>
  <c r="D771" i="1"/>
  <c r="O942" i="1"/>
  <c r="D601" i="1"/>
  <c r="O866" i="1"/>
  <c r="M1611" i="1"/>
  <c r="H1611" i="12"/>
  <c r="D1344" i="1"/>
  <c r="H577" i="12"/>
  <c r="M577" i="1"/>
  <c r="O1061" i="1"/>
  <c r="O1068" i="1"/>
  <c r="M5" i="1"/>
  <c r="H5" i="12"/>
  <c r="D523" i="1"/>
  <c r="M1058" i="1"/>
  <c r="H1058" i="12"/>
  <c r="H1422" i="12"/>
  <c r="M1422" i="1"/>
  <c r="O855" i="1"/>
  <c r="O1674" i="1"/>
  <c r="O1428" i="1"/>
  <c r="D1177" i="1"/>
  <c r="H754" i="12"/>
  <c r="M754" i="1"/>
  <c r="O789" i="1"/>
  <c r="H889" i="12"/>
  <c r="M889" i="1"/>
  <c r="M978" i="1"/>
  <c r="H978" i="12"/>
  <c r="O828" i="1"/>
  <c r="D1224" i="1"/>
  <c r="M1306" i="1"/>
  <c r="H1306" i="12"/>
  <c r="H672" i="12"/>
  <c r="M672" i="1"/>
  <c r="O708" i="1"/>
  <c r="D863" i="1"/>
  <c r="D975" i="1"/>
  <c r="D943" i="1"/>
  <c r="D215" i="1"/>
  <c r="O637" i="1"/>
  <c r="O245" i="1"/>
  <c r="O1538" i="1"/>
  <c r="M1408" i="1"/>
  <c r="H1408" i="12"/>
  <c r="H204" i="12"/>
  <c r="M204" i="1"/>
  <c r="O1642" i="1"/>
  <c r="D729" i="1"/>
  <c r="O1496" i="1"/>
  <c r="M898" i="1"/>
  <c r="H898" i="12"/>
  <c r="D1278" i="1"/>
  <c r="M292" i="1"/>
  <c r="H292" i="12"/>
  <c r="H928" i="12"/>
  <c r="M928" i="1"/>
  <c r="D857" i="1"/>
  <c r="D1176" i="1"/>
  <c r="O661" i="1"/>
  <c r="O412" i="1"/>
  <c r="D1305" i="1"/>
  <c r="O251" i="1"/>
  <c r="O252" i="1"/>
  <c r="D368" i="1"/>
  <c r="M202" i="1"/>
  <c r="H202" i="12"/>
  <c r="M1603" i="1"/>
  <c r="H1603" i="12"/>
  <c r="D375" i="1"/>
  <c r="H1525" i="12"/>
  <c r="M1525" i="1"/>
  <c r="H644" i="12"/>
  <c r="M644" i="1"/>
  <c r="M1541" i="1"/>
  <c r="H1541" i="12"/>
  <c r="M1533" i="1"/>
  <c r="H1533" i="12"/>
  <c r="M826" i="1"/>
  <c r="H826" i="12"/>
  <c r="M677" i="1"/>
  <c r="H677" i="12"/>
  <c r="D779" i="1"/>
  <c r="O673" i="1"/>
  <c r="O1650" i="1"/>
  <c r="H1252" i="12"/>
  <c r="M1252" i="1"/>
  <c r="D877" i="1"/>
  <c r="H201" i="12"/>
  <c r="M201" i="1"/>
  <c r="H965" i="12"/>
  <c r="M965" i="1"/>
  <c r="M1037" i="1"/>
  <c r="H1037" i="12"/>
  <c r="H184" i="12"/>
  <c r="M184" i="1"/>
  <c r="H1186" i="12"/>
  <c r="M1186" i="1"/>
  <c r="H1163" i="12"/>
  <c r="M1163" i="1"/>
  <c r="D158" i="1"/>
  <c r="H1466" i="12"/>
  <c r="M1466" i="1"/>
  <c r="O447" i="1"/>
  <c r="D261" i="1"/>
  <c r="M320" i="1"/>
  <c r="H320" i="12"/>
  <c r="H971" i="12"/>
  <c r="M971" i="1"/>
  <c r="M532" i="1"/>
  <c r="H532" i="12"/>
  <c r="M1249" i="1"/>
  <c r="H1249" i="12"/>
  <c r="O1056" i="1"/>
  <c r="O184" i="1"/>
  <c r="O702" i="1"/>
  <c r="M1274" i="1"/>
  <c r="H1274" i="12"/>
  <c r="H1076" i="12"/>
  <c r="M1076" i="1"/>
  <c r="M1579" i="1"/>
  <c r="H1579" i="12"/>
  <c r="O734" i="1"/>
  <c r="M1190" i="1"/>
  <c r="H1190" i="12"/>
  <c r="M806" i="1"/>
  <c r="H806" i="12"/>
  <c r="D1067" i="1"/>
  <c r="H400" i="12"/>
  <c r="M400" i="1"/>
  <c r="H463" i="12"/>
  <c r="M463" i="1"/>
  <c r="H622" i="12"/>
  <c r="M622" i="1"/>
  <c r="M1235" i="1"/>
  <c r="H1235" i="12"/>
  <c r="D980" i="1"/>
  <c r="H875" i="12"/>
  <c r="M875" i="1"/>
  <c r="D1401" i="1"/>
  <c r="O894" i="1"/>
  <c r="O82" i="1"/>
  <c r="O1236" i="1"/>
  <c r="O754" i="1"/>
  <c r="D1315" i="1"/>
  <c r="H570" i="12"/>
  <c r="M570" i="1"/>
  <c r="H1341" i="12"/>
  <c r="M1341" i="1"/>
  <c r="M1264" i="1"/>
  <c r="H1264" i="12"/>
  <c r="M1159" i="1"/>
  <c r="H1159" i="12"/>
  <c r="H406" i="12"/>
  <c r="M406" i="1"/>
  <c r="O1350" i="1"/>
  <c r="M799" i="1"/>
  <c r="H799" i="12"/>
  <c r="M474" i="1"/>
  <c r="H474" i="12"/>
  <c r="O1215" i="1"/>
  <c r="H367" i="12"/>
  <c r="M367" i="1"/>
  <c r="O89" i="1"/>
  <c r="M257" i="1"/>
  <c r="H257" i="12"/>
  <c r="H1229" i="12"/>
  <c r="M1229" i="1"/>
  <c r="H1598" i="12"/>
  <c r="M1598" i="1"/>
  <c r="M633" i="1"/>
  <c r="H633" i="12"/>
  <c r="M469" i="1"/>
  <c r="H469" i="12"/>
  <c r="D163" i="1"/>
  <c r="O288" i="1"/>
  <c r="D233" i="1"/>
  <c r="H165" i="12"/>
  <c r="M165" i="1"/>
  <c r="M443" i="1"/>
  <c r="H443" i="12"/>
  <c r="O1164" i="1"/>
  <c r="M1615" i="1"/>
  <c r="H1615" i="12"/>
  <c r="M1086" i="1"/>
  <c r="H1086" i="12"/>
  <c r="D1169" i="1"/>
  <c r="M1101" i="1"/>
  <c r="H1101" i="12"/>
  <c r="M1497" i="1"/>
  <c r="H1497" i="12"/>
  <c r="O1465" i="1"/>
  <c r="O140" i="1"/>
  <c r="D644" i="1"/>
  <c r="H943" i="12"/>
  <c r="M943" i="1"/>
  <c r="D97" i="1"/>
  <c r="O1589" i="1"/>
  <c r="M65" i="1"/>
  <c r="H65" i="12"/>
  <c r="D1157" i="1"/>
  <c r="H699" i="12"/>
  <c r="M699" i="1"/>
  <c r="M263" i="1"/>
  <c r="H263" i="12"/>
  <c r="O432" i="1"/>
  <c r="O1562" i="1"/>
  <c r="H439" i="12"/>
  <c r="M439" i="1"/>
  <c r="D1009" i="1"/>
  <c r="O318" i="1"/>
  <c r="O1235" i="1"/>
  <c r="D1161" i="1"/>
  <c r="D930" i="1"/>
  <c r="H1270" i="12"/>
  <c r="M1270" i="1"/>
  <c r="O724" i="1"/>
  <c r="H636" i="12"/>
  <c r="M636" i="1"/>
  <c r="M56" i="1"/>
  <c r="H56" i="12"/>
  <c r="H908" i="12"/>
  <c r="M908" i="1"/>
  <c r="M1292" i="1"/>
  <c r="H1292" i="12"/>
  <c r="D576" i="1"/>
  <c r="O177" i="1"/>
  <c r="M1324" i="1"/>
  <c r="H1324" i="12"/>
  <c r="D331" i="1"/>
  <c r="D283" i="1"/>
  <c r="D1213" i="1"/>
  <c r="O11" i="1"/>
  <c r="M1200" i="1"/>
  <c r="H1200" i="12"/>
  <c r="D441" i="1"/>
  <c r="O1213" i="1"/>
  <c r="D32" i="1"/>
  <c r="M1102" i="1"/>
  <c r="H1102" i="12"/>
  <c r="O682" i="1"/>
  <c r="D742" i="1"/>
  <c r="O414" i="1"/>
  <c r="D341" i="1"/>
  <c r="D1384" i="1"/>
  <c r="O1225" i="1"/>
  <c r="O578" i="1"/>
  <c r="O1614" i="1"/>
  <c r="M1141" i="1"/>
  <c r="H1141" i="12"/>
  <c r="O401" i="1"/>
  <c r="D1494" i="1"/>
  <c r="D1592" i="1"/>
  <c r="D1197" i="1"/>
  <c r="D809" i="1"/>
  <c r="O205" i="1"/>
  <c r="D794" i="1"/>
  <c r="D169" i="1"/>
  <c r="O842" i="1"/>
  <c r="O892" i="1"/>
  <c r="D853" i="1"/>
  <c r="D987" i="1"/>
  <c r="O1501" i="1"/>
  <c r="D810" i="1"/>
  <c r="D518" i="1"/>
  <c r="D1616" i="1"/>
  <c r="D891" i="1"/>
  <c r="D1251" i="1"/>
  <c r="O485" i="1"/>
  <c r="O153" i="1"/>
  <c r="D680" i="1"/>
  <c r="O1489" i="1"/>
  <c r="O1272" i="1"/>
  <c r="D669" i="1"/>
  <c r="D1515" i="1"/>
  <c r="D662" i="1"/>
  <c r="O431" i="1"/>
  <c r="O1224" i="1"/>
  <c r="O976" i="1"/>
  <c r="D1490" i="1"/>
  <c r="O836" i="1"/>
  <c r="D544" i="1"/>
  <c r="D106" i="1"/>
  <c r="O376" i="1"/>
  <c r="H929" i="12"/>
  <c r="M929" i="1"/>
  <c r="M1326" i="1"/>
  <c r="H1326" i="12"/>
  <c r="H1606" i="12"/>
  <c r="M1606" i="1"/>
  <c r="M793" i="1"/>
  <c r="H793" i="12"/>
  <c r="M1367" i="1"/>
  <c r="H1367" i="12"/>
  <c r="H729" i="12"/>
  <c r="M729" i="1"/>
  <c r="H149" i="12"/>
  <c r="M149" i="1"/>
  <c r="M304" i="1"/>
  <c r="H304" i="12"/>
  <c r="O1660" i="1"/>
  <c r="M348" i="1"/>
  <c r="H348" i="12"/>
  <c r="O396" i="1"/>
  <c r="O628" i="1"/>
  <c r="D514" i="1"/>
  <c r="D17" i="1"/>
  <c r="H1179" i="12"/>
  <c r="M1179" i="1"/>
  <c r="H831" i="12"/>
  <c r="M831" i="1"/>
  <c r="H194" i="12"/>
  <c r="M194" i="1"/>
  <c r="D320" i="1"/>
  <c r="D1605" i="1"/>
  <c r="H565" i="12"/>
  <c r="M565" i="1"/>
  <c r="H1504" i="12"/>
  <c r="M1504" i="1"/>
  <c r="H1635" i="12"/>
  <c r="M1635" i="1"/>
  <c r="H259" i="12"/>
  <c r="M259" i="1"/>
  <c r="D686" i="1"/>
  <c r="D1619" i="1"/>
  <c r="H913" i="12"/>
  <c r="M913" i="1"/>
  <c r="H1455" i="12"/>
  <c r="M1455" i="1"/>
  <c r="D259" i="1"/>
  <c r="D1664" i="1"/>
  <c r="H1091" i="12"/>
  <c r="M1091" i="1"/>
  <c r="H1385" i="12"/>
  <c r="M1385" i="1"/>
  <c r="H574" i="12"/>
  <c r="M574" i="1"/>
  <c r="M128" i="1"/>
  <c r="H128" i="12"/>
  <c r="M601" i="1"/>
  <c r="H601" i="12"/>
  <c r="M74" i="1"/>
  <c r="H74" i="12"/>
  <c r="D1656" i="1"/>
  <c r="D1153" i="1"/>
  <c r="O1100" i="1"/>
  <c r="H1456" i="12"/>
  <c r="M1456" i="1"/>
  <c r="M1284" i="1"/>
  <c r="H1284" i="12"/>
  <c r="O474" i="1"/>
  <c r="D1024" i="1"/>
  <c r="D1111" i="1"/>
  <c r="O536" i="1"/>
  <c r="M1084" i="1"/>
  <c r="H1084" i="12"/>
  <c r="M1538" i="1"/>
  <c r="H1538" i="12"/>
  <c r="H163" i="12"/>
  <c r="M163" i="1"/>
  <c r="D672" i="1"/>
  <c r="O596" i="1"/>
  <c r="D1431" i="1"/>
  <c r="M718" i="1"/>
  <c r="H718" i="12"/>
  <c r="H1143" i="12"/>
  <c r="M1143" i="1"/>
  <c r="M160" i="1"/>
  <c r="H160" i="12"/>
  <c r="O1204" i="1"/>
  <c r="O652" i="1"/>
  <c r="D799" i="1"/>
  <c r="M1473" i="1"/>
  <c r="H1473" i="12"/>
  <c r="M1242" i="1"/>
  <c r="H1242" i="12"/>
  <c r="O1667" i="1"/>
  <c r="H89" i="12"/>
  <c r="M89" i="1"/>
  <c r="O90" i="1"/>
  <c r="D342" i="1"/>
  <c r="O295" i="1"/>
  <c r="O1104" i="1"/>
  <c r="D687" i="1"/>
  <c r="H961" i="12"/>
  <c r="M961" i="1"/>
  <c r="O706" i="1"/>
  <c r="D484" i="1"/>
  <c r="D1387" i="1"/>
  <c r="O1431" i="1"/>
  <c r="D1143" i="1"/>
  <c r="D1329" i="1"/>
  <c r="O1622" i="1"/>
  <c r="D415" i="1"/>
  <c r="D1199" i="1"/>
  <c r="M438" i="1"/>
  <c r="H438" i="12"/>
  <c r="D1205" i="1"/>
  <c r="M797" i="1"/>
  <c r="H797" i="12"/>
  <c r="D94" i="1"/>
  <c r="D228" i="1"/>
  <c r="D861" i="1"/>
  <c r="O1443" i="1"/>
  <c r="H770" i="12"/>
  <c r="M770" i="1"/>
  <c r="O311" i="1"/>
  <c r="M757" i="1"/>
  <c r="H757" i="12"/>
  <c r="H42" i="12"/>
  <c r="M42" i="1"/>
  <c r="D289" i="1"/>
  <c r="D291" i="1"/>
  <c r="O115" i="1"/>
  <c r="M192" i="1"/>
  <c r="H192" i="12"/>
  <c r="H1188" i="12"/>
  <c r="M1188" i="1"/>
  <c r="H615" i="12"/>
  <c r="M615" i="1"/>
  <c r="M78" i="1"/>
  <c r="H78" i="12"/>
  <c r="M387" i="1"/>
  <c r="H387" i="12"/>
  <c r="O461" i="1"/>
  <c r="D696" i="1"/>
  <c r="O1512" i="1"/>
  <c r="O526" i="1"/>
  <c r="O254" i="1"/>
  <c r="D1620" i="1"/>
  <c r="O1122" i="1"/>
  <c r="D1087" i="1"/>
  <c r="D219" i="1"/>
  <c r="O1239" i="1"/>
  <c r="M49" i="1"/>
  <c r="H49" i="12"/>
  <c r="O726" i="1"/>
  <c r="O1107" i="1"/>
  <c r="D1309" i="1"/>
  <c r="M792" i="1"/>
  <c r="H792" i="12"/>
  <c r="D995" i="1"/>
  <c r="O1580" i="1"/>
  <c r="O650" i="1"/>
  <c r="H1320" i="12"/>
  <c r="M1320" i="1"/>
  <c r="H786" i="12"/>
  <c r="M786" i="1"/>
  <c r="O915" i="1"/>
  <c r="M13" i="1"/>
  <c r="H13" i="12"/>
  <c r="D761" i="1"/>
  <c r="H1596" i="12"/>
  <c r="M1596" i="1"/>
  <c r="M600" i="1"/>
  <c r="H600" i="12"/>
  <c r="M1116" i="1"/>
  <c r="H1116" i="12"/>
  <c r="B22" i="3"/>
  <c r="O535" i="1"/>
  <c r="D69" i="1"/>
  <c r="D674" i="1"/>
  <c r="B20" i="3"/>
  <c r="D583" i="1"/>
  <c r="D312" i="1"/>
  <c r="D596" i="1"/>
  <c r="O531" i="1"/>
  <c r="O138" i="1"/>
  <c r="O358" i="1"/>
  <c r="D1564" i="1"/>
  <c r="O879" i="1"/>
  <c r="M1478" i="1"/>
  <c r="H1478" i="12"/>
  <c r="D1120" i="1"/>
  <c r="M502" i="1"/>
  <c r="H502" i="12"/>
  <c r="D125" i="1"/>
  <c r="D1658" i="1"/>
  <c r="D1175" i="1"/>
  <c r="O258" i="1"/>
  <c r="O1000" i="1"/>
  <c r="D308" i="1"/>
  <c r="O560" i="1"/>
  <c r="D856" i="1"/>
  <c r="D51" i="1"/>
  <c r="O38" i="1"/>
  <c r="D1577" i="1"/>
  <c r="D1042" i="1"/>
  <c r="M1128" i="1"/>
  <c r="H1128" i="12"/>
  <c r="B21" i="3"/>
  <c r="O368" i="1"/>
  <c r="O1665" i="1"/>
  <c r="D917" i="1"/>
  <c r="O1055" i="1"/>
  <c r="M496" i="1"/>
  <c r="H496" i="12"/>
  <c r="M962" i="1"/>
  <c r="H962" i="12"/>
  <c r="M8" i="1"/>
  <c r="H8" i="12"/>
  <c r="O204" i="1"/>
  <c r="O1564" i="1"/>
  <c r="O500" i="1"/>
  <c r="H1192" i="12"/>
  <c r="M1192" i="1"/>
  <c r="H1499" i="12"/>
  <c r="M1499" i="1"/>
  <c r="M1382" i="1"/>
  <c r="H1382" i="12"/>
  <c r="M11" i="1"/>
  <c r="H11" i="12"/>
  <c r="M1021" i="1"/>
  <c r="H1021" i="12"/>
  <c r="O1318" i="1"/>
  <c r="O172" i="1"/>
  <c r="H1303" i="12"/>
  <c r="M1303" i="1"/>
  <c r="M692" i="1"/>
  <c r="H692" i="12"/>
  <c r="M1272" i="1"/>
  <c r="H1272" i="12"/>
  <c r="M372" i="1"/>
  <c r="H372" i="12"/>
  <c r="M1036" i="1"/>
  <c r="H1036" i="12"/>
  <c r="D88" i="1"/>
  <c r="O183" i="1"/>
  <c r="O250" i="1"/>
  <c r="O1432" i="1"/>
  <c r="D1481" i="1"/>
  <c r="D1461" i="1"/>
  <c r="D752" i="1"/>
  <c r="O1440" i="1"/>
  <c r="M482" i="1"/>
  <c r="H482" i="12"/>
  <c r="H551" i="12"/>
  <c r="M551" i="1"/>
  <c r="D1361" i="1"/>
  <c r="M507" i="1"/>
  <c r="H507" i="12"/>
  <c r="D989" i="1"/>
  <c r="M1052" i="1"/>
  <c r="H1052" i="12"/>
  <c r="O1375" i="1"/>
  <c r="M276" i="1"/>
  <c r="H276" i="12"/>
  <c r="O751" i="1"/>
  <c r="M1396" i="1"/>
  <c r="H1396" i="12"/>
  <c r="H726" i="12"/>
  <c r="M726" i="1"/>
  <c r="O515" i="1"/>
  <c r="M721" i="1"/>
  <c r="H721" i="12"/>
  <c r="H1576" i="12"/>
  <c r="M1576" i="1"/>
  <c r="D1088" i="1"/>
  <c r="O1526" i="1"/>
  <c r="D567" i="1"/>
  <c r="M410" i="1"/>
  <c r="H410" i="12"/>
  <c r="O373" i="1"/>
  <c r="D167" i="1"/>
  <c r="D582" i="1"/>
  <c r="H358" i="12"/>
  <c r="M358" i="1"/>
  <c r="H796" i="12"/>
  <c r="M796" i="1"/>
  <c r="O496" i="1"/>
  <c r="H588" i="12"/>
  <c r="M588" i="1"/>
  <c r="H1661" i="12"/>
  <c r="M1661" i="1"/>
  <c r="H1439" i="12"/>
  <c r="M1439" i="1"/>
  <c r="H1369" i="12"/>
  <c r="M1369" i="1"/>
  <c r="M178" i="1"/>
  <c r="H178" i="12"/>
  <c r="M123" i="1"/>
  <c r="H123" i="12"/>
  <c r="M1666" i="1"/>
  <c r="H1666" i="12"/>
  <c r="H360" i="12"/>
  <c r="M360" i="1"/>
  <c r="H694" i="12"/>
  <c r="M694" i="1"/>
  <c r="H7" i="12"/>
  <c r="M7" i="1"/>
  <c r="D1075" i="1"/>
  <c r="H1616" i="12"/>
  <c r="M1616" i="1"/>
  <c r="M1667" i="1"/>
  <c r="H1667" i="12"/>
  <c r="O779" i="1"/>
  <c r="D897" i="1"/>
  <c r="H227" i="12"/>
  <c r="M227" i="1"/>
  <c r="M300" i="1"/>
  <c r="H300" i="12"/>
  <c r="M1134" i="1"/>
  <c r="H1134" i="12"/>
  <c r="D1304" i="1"/>
  <c r="H1066" i="12"/>
  <c r="M1066" i="1"/>
  <c r="D194" i="1"/>
  <c r="M491" i="1"/>
  <c r="H491" i="12"/>
  <c r="H790" i="12"/>
  <c r="M790" i="1"/>
  <c r="D1628" i="1"/>
  <c r="H641" i="12"/>
  <c r="M641" i="1"/>
  <c r="D1665" i="1"/>
  <c r="H96" i="12"/>
  <c r="M96" i="1"/>
  <c r="O1157" i="1"/>
  <c r="O427" i="1"/>
  <c r="D530" i="1"/>
  <c r="D636" i="1"/>
  <c r="M81" i="1"/>
  <c r="H81" i="12"/>
  <c r="H916" i="12"/>
  <c r="M916" i="1"/>
  <c r="H53" i="12"/>
  <c r="M53" i="1"/>
  <c r="H776" i="12"/>
  <c r="M776" i="1"/>
  <c r="O929" i="1"/>
  <c r="M1588" i="1"/>
  <c r="H1588" i="12"/>
  <c r="D431" i="1"/>
  <c r="D1128" i="1"/>
  <c r="M857" i="1"/>
  <c r="H857" i="12"/>
  <c r="H112" i="12"/>
  <c r="M112" i="1"/>
  <c r="H481" i="12"/>
  <c r="M481" i="1"/>
  <c r="H740" i="12"/>
  <c r="M740" i="1"/>
  <c r="M1112" i="1"/>
  <c r="H1112" i="12"/>
  <c r="H120" i="12"/>
  <c r="M120" i="1"/>
  <c r="H1071" i="12"/>
  <c r="M1071" i="1"/>
  <c r="M432" i="1"/>
  <c r="H432" i="12"/>
  <c r="H1061" i="12"/>
  <c r="M1061" i="1"/>
  <c r="B44" i="3"/>
  <c r="O1421" i="1"/>
  <c r="D826" i="1"/>
  <c r="O949" i="1"/>
  <c r="M1668" i="1"/>
  <c r="H1668" i="12"/>
  <c r="H510" i="12"/>
  <c r="M510" i="1"/>
  <c r="D1303" i="1"/>
  <c r="M1418" i="1"/>
  <c r="H1418" i="12"/>
  <c r="M455" i="1"/>
  <c r="H455" i="12"/>
  <c r="D564" i="1"/>
  <c r="M1435" i="1"/>
  <c r="H1435" i="12"/>
  <c r="O1265" i="1"/>
  <c r="D15" i="1"/>
  <c r="D87" i="1"/>
  <c r="H1256" i="12"/>
  <c r="M1256" i="1"/>
  <c r="M970" i="1"/>
  <c r="H970" i="12"/>
  <c r="M883" i="1"/>
  <c r="H883" i="12"/>
  <c r="H191" i="12"/>
  <c r="M191" i="1"/>
  <c r="D1059" i="1"/>
  <c r="D1429" i="1"/>
  <c r="M852" i="1"/>
  <c r="H852" i="12"/>
  <c r="D1299" i="1"/>
  <c r="H1351" i="12"/>
  <c r="M1351" i="1"/>
  <c r="H242" i="12"/>
  <c r="M242" i="1"/>
  <c r="D1023" i="1"/>
  <c r="O822" i="1"/>
  <c r="D562" i="1"/>
  <c r="O1354" i="1"/>
  <c r="O41" i="1"/>
  <c r="H1589" i="12"/>
  <c r="M1589" i="1"/>
  <c r="D1593" i="1"/>
  <c r="O47" i="1"/>
  <c r="M1399" i="1"/>
  <c r="H1399" i="12"/>
  <c r="O1472" i="1"/>
  <c r="B9" i="3"/>
  <c r="O1165" i="1"/>
  <c r="D732" i="1"/>
  <c r="H520" i="12"/>
  <c r="M520" i="1"/>
  <c r="O1040" i="1"/>
  <c r="O1569" i="1"/>
  <c r="M651" i="1"/>
  <c r="H651" i="12"/>
  <c r="O312" i="1"/>
  <c r="D1541" i="1"/>
  <c r="M234" i="1"/>
  <c r="H234" i="12"/>
  <c r="H143" i="12"/>
  <c r="M143" i="1"/>
  <c r="O1342" i="1"/>
  <c r="O592" i="1"/>
  <c r="O125" i="1"/>
  <c r="D199" i="1"/>
  <c r="O785" i="1"/>
  <c r="O341" i="1"/>
  <c r="D765" i="1"/>
  <c r="D1268" i="1"/>
  <c r="M306" i="1"/>
  <c r="H306" i="12"/>
  <c r="D1524" i="1"/>
  <c r="M1240" i="1"/>
  <c r="H1240" i="12"/>
  <c r="H859" i="12"/>
  <c r="M859" i="1"/>
  <c r="D482" i="1"/>
  <c r="D52" i="1"/>
  <c r="O1417" i="1"/>
  <c r="M723" i="1"/>
  <c r="H723" i="12"/>
  <c r="M322" i="1"/>
  <c r="H322" i="12"/>
  <c r="O1385" i="1"/>
  <c r="D1601" i="1"/>
  <c r="D1045" i="1"/>
  <c r="H1099" i="12"/>
  <c r="M1099" i="1"/>
  <c r="H1381" i="12"/>
  <c r="M1381" i="1"/>
  <c r="O1141" i="1"/>
  <c r="O127" i="1"/>
  <c r="M874" i="1"/>
  <c r="H874" i="12"/>
  <c r="O1541" i="1"/>
  <c r="D720" i="1"/>
  <c r="H939" i="12"/>
  <c r="M939" i="1"/>
  <c r="O1041" i="1"/>
  <c r="B47" i="3"/>
  <c r="O615" i="1"/>
  <c r="D531" i="1"/>
  <c r="O240" i="1"/>
  <c r="O1351" i="1"/>
  <c r="B54" i="3"/>
  <c r="O934" i="1"/>
  <c r="D352" i="1"/>
  <c r="O966" i="1"/>
  <c r="D445" i="1"/>
  <c r="O1459" i="1"/>
  <c r="M1100" i="1"/>
  <c r="H1100" i="12"/>
  <c r="D548" i="1"/>
  <c r="M483" i="1"/>
  <c r="H483" i="12"/>
  <c r="M1042" i="1"/>
  <c r="H1042" i="12"/>
  <c r="D676" i="1"/>
  <c r="O152" i="1"/>
  <c r="B37" i="3"/>
  <c r="F5" i="9"/>
  <c r="O219" i="1"/>
  <c r="O377" i="1"/>
  <c r="H968" i="12"/>
  <c r="M968" i="1"/>
  <c r="D351" i="1"/>
  <c r="H379" i="12"/>
  <c r="M379" i="1"/>
  <c r="O267" i="1"/>
  <c r="H877" i="12"/>
  <c r="M877" i="1"/>
  <c r="D379" i="1"/>
  <c r="H671" i="12"/>
  <c r="M671" i="1"/>
  <c r="D659" i="1"/>
  <c r="O539" i="1"/>
  <c r="O1199" i="1"/>
  <c r="O1160" i="1"/>
  <c r="D994" i="1"/>
  <c r="D1662" i="1"/>
  <c r="D1301" i="1"/>
  <c r="M800" i="1"/>
  <c r="H800" i="12"/>
  <c r="H1008" i="12"/>
  <c r="M1008" i="1"/>
  <c r="H1375" i="12"/>
  <c r="M1375" i="1"/>
  <c r="O40" i="1"/>
  <c r="H1213" i="12"/>
  <c r="M1213" i="1"/>
  <c r="H214" i="12"/>
  <c r="M214" i="1"/>
  <c r="H915" i="12"/>
  <c r="M915" i="1"/>
  <c r="H620" i="12"/>
  <c r="M620" i="1"/>
  <c r="O1132" i="1"/>
  <c r="O662" i="1"/>
  <c r="D911" i="1"/>
  <c r="D281" i="1"/>
  <c r="H892" i="12"/>
  <c r="M892" i="1"/>
  <c r="H657" i="12"/>
  <c r="M657" i="1"/>
  <c r="O1600" i="1"/>
  <c r="D625" i="1"/>
  <c r="M215" i="1"/>
  <c r="H215" i="12"/>
  <c r="H865" i="12"/>
  <c r="M865" i="1"/>
  <c r="O1466" i="1"/>
  <c r="D1390" i="1"/>
  <c r="D1219" i="1"/>
  <c r="O456" i="1"/>
  <c r="D144" i="1"/>
  <c r="M1204" i="1"/>
  <c r="H1204" i="12"/>
  <c r="M545" i="1"/>
  <c r="H545" i="12"/>
  <c r="O1539" i="1"/>
  <c r="D1096" i="1"/>
  <c r="D628" i="1"/>
  <c r="M550" i="1"/>
  <c r="H550" i="12"/>
  <c r="M1374" i="1"/>
  <c r="H1374" i="12"/>
  <c r="H1404" i="12"/>
  <c r="M1404" i="1"/>
  <c r="O967" i="1"/>
  <c r="D629" i="1"/>
  <c r="H987" i="12"/>
  <c r="M987" i="1"/>
  <c r="O971" i="1"/>
  <c r="O92" i="1"/>
  <c r="M1540" i="1"/>
  <c r="H1540" i="12"/>
  <c r="H377" i="12"/>
  <c r="M377" i="1"/>
  <c r="D754" i="1"/>
  <c r="O116" i="1"/>
  <c r="H1605" i="12"/>
  <c r="M1605" i="1"/>
  <c r="M197" i="1"/>
  <c r="H197" i="12"/>
  <c r="D1102" i="1"/>
  <c r="O852" i="1"/>
  <c r="H415" i="12"/>
  <c r="M415" i="1"/>
  <c r="D822" i="1"/>
  <c r="M1174" i="1"/>
  <c r="H1174" i="12"/>
  <c r="M1013" i="1"/>
  <c r="H1013" i="12"/>
  <c r="D1262" i="1"/>
  <c r="O1617" i="1"/>
  <c r="D119" i="1"/>
  <c r="M900" i="1"/>
  <c r="H900" i="12"/>
  <c r="O191" i="1"/>
  <c r="O881" i="1"/>
  <c r="H344" i="12"/>
  <c r="M344" i="1"/>
  <c r="H1425" i="12"/>
  <c r="M1425" i="1"/>
  <c r="O1297" i="1"/>
  <c r="H6" i="12"/>
  <c r="M6" i="1"/>
  <c r="H991" i="12"/>
  <c r="M991" i="1"/>
  <c r="O1121" i="1"/>
  <c r="O740" i="1"/>
  <c r="M1474" i="1"/>
  <c r="H1474" i="12"/>
  <c r="M129" i="1"/>
  <c r="H129" i="12"/>
  <c r="M1045" i="1"/>
  <c r="H1045" i="12"/>
  <c r="M255" i="1"/>
  <c r="H255" i="12"/>
  <c r="H580" i="12"/>
  <c r="M580" i="1"/>
  <c r="H170" i="12"/>
  <c r="M170" i="1"/>
  <c r="H1220" i="12"/>
  <c r="M1220" i="1"/>
  <c r="M133" i="1"/>
  <c r="H133" i="12"/>
  <c r="H1401" i="12"/>
  <c r="M1401" i="1"/>
  <c r="M1017" i="1"/>
  <c r="H1017" i="12"/>
  <c r="D14" i="1"/>
  <c r="O1514" i="1"/>
  <c r="D1574" i="1"/>
  <c r="H1246" i="12"/>
  <c r="M1246" i="1"/>
  <c r="H1251" i="12"/>
  <c r="M1251" i="1"/>
  <c r="D1634" i="1"/>
  <c r="M347" i="1"/>
  <c r="H347" i="12"/>
  <c r="O608" i="1"/>
  <c r="H1447" i="12"/>
  <c r="M1447" i="1"/>
  <c r="M667" i="1"/>
  <c r="H667" i="12"/>
  <c r="M1239" i="1"/>
  <c r="H1239" i="12"/>
  <c r="O753" i="1"/>
  <c r="H285" i="12"/>
  <c r="M285" i="1"/>
  <c r="H720" i="12"/>
  <c r="M720" i="1"/>
  <c r="O269" i="1"/>
  <c r="O43" i="1"/>
  <c r="D1158" i="1"/>
  <c r="D719" i="1"/>
  <c r="M104" i="1"/>
  <c r="H104" i="12"/>
  <c r="H503" i="12"/>
  <c r="M503" i="1"/>
  <c r="H1613" i="12"/>
  <c r="M1613" i="1"/>
  <c r="M256" i="1"/>
  <c r="H256" i="12"/>
  <c r="H1081" i="12"/>
  <c r="M1081" i="1"/>
  <c r="H634" i="12"/>
  <c r="M634" i="1"/>
  <c r="O1305" i="1"/>
  <c r="D1343" i="1"/>
  <c r="M349" i="1"/>
  <c r="H349" i="12"/>
  <c r="H366" i="12"/>
  <c r="M366" i="1"/>
  <c r="H1055" i="12"/>
  <c r="M1055" i="1"/>
  <c r="D178" i="1"/>
  <c r="O1558" i="1"/>
  <c r="H241" i="12"/>
  <c r="M241" i="1"/>
  <c r="O1210" i="1"/>
  <c r="H1047" i="12"/>
  <c r="M1047" i="1"/>
  <c r="H1092" i="12"/>
  <c r="M1092" i="1"/>
  <c r="H113" i="12"/>
  <c r="M113" i="1"/>
  <c r="H518" i="12"/>
  <c r="M518" i="1"/>
  <c r="H278" i="12"/>
  <c r="M278" i="1"/>
  <c r="M1394" i="1"/>
  <c r="H1394" i="12"/>
  <c r="M710" i="1"/>
  <c r="H710" i="12"/>
  <c r="M353" i="1"/>
  <c r="H353" i="12"/>
  <c r="H627" i="12"/>
  <c r="M627" i="1"/>
  <c r="M840" i="1"/>
  <c r="H840" i="12"/>
  <c r="D760" i="1"/>
  <c r="O1590" i="1"/>
  <c r="D37" i="1"/>
  <c r="D22" i="1"/>
  <c r="O651" i="1"/>
  <c r="O831" i="1"/>
  <c r="D222" i="1"/>
  <c r="O1262" i="1"/>
  <c r="B4" i="3"/>
  <c r="O1233" i="1"/>
  <c r="O87" i="1"/>
  <c r="D658" i="1"/>
  <c r="D871" i="1"/>
  <c r="O408" i="1"/>
  <c r="D603" i="1"/>
  <c r="D774" i="1"/>
  <c r="O912" i="1"/>
  <c r="D926" i="1"/>
  <c r="D242" i="1"/>
  <c r="D101" i="1"/>
  <c r="O1365" i="1"/>
  <c r="D1334" i="1"/>
  <c r="D1167" i="1"/>
  <c r="D1444" i="1"/>
  <c r="O283" i="1"/>
  <c r="D183" i="1"/>
  <c r="O112" i="1"/>
  <c r="O1479" i="1"/>
  <c r="O1089" i="1"/>
  <c r="O712" i="1"/>
  <c r="O85" i="1"/>
  <c r="D1650" i="1"/>
  <c r="D1419" i="1"/>
  <c r="O1219" i="1"/>
  <c r="D122" i="1"/>
  <c r="O1568" i="1"/>
  <c r="O1471" i="1"/>
  <c r="O1116" i="1"/>
  <c r="D128" i="1"/>
  <c r="O1486" i="1"/>
  <c r="O236" i="1"/>
  <c r="O110" i="1"/>
  <c r="D1073" i="1"/>
  <c r="D817" i="1"/>
  <c r="D42" i="1"/>
  <c r="M422" i="1"/>
  <c r="H422" i="12"/>
  <c r="D1274" i="1"/>
  <c r="D1499" i="1"/>
  <c r="M935" i="1"/>
  <c r="H935" i="12"/>
  <c r="O998" i="1"/>
  <c r="O1533" i="1"/>
  <c r="H1105" i="12"/>
  <c r="M1105" i="1"/>
  <c r="O721" i="1"/>
  <c r="O1179" i="1"/>
  <c r="O1625" i="1"/>
  <c r="O1002" i="1"/>
  <c r="D589" i="1"/>
  <c r="O519" i="1"/>
  <c r="H1332" i="12"/>
  <c r="M1332" i="1"/>
  <c r="O632" i="1"/>
  <c r="M1206" i="1"/>
  <c r="H1206" i="12"/>
  <c r="O238" i="1"/>
  <c r="O602" i="1"/>
  <c r="H199" i="12"/>
  <c r="M199" i="1"/>
  <c r="H599" i="12"/>
  <c r="M599" i="1"/>
  <c r="O1513" i="1"/>
  <c r="O1370" i="1"/>
  <c r="D1635" i="1"/>
  <c r="M820" i="1"/>
  <c r="H820" i="12"/>
  <c r="O428" i="1"/>
  <c r="O1047" i="1"/>
  <c r="H1177" i="12"/>
  <c r="M1177" i="1"/>
  <c r="B15" i="3"/>
  <c r="O1034" i="1"/>
  <c r="D950" i="1"/>
  <c r="O863" i="1"/>
  <c r="D30" i="1"/>
  <c r="D330" i="1"/>
  <c r="D1529" i="1"/>
  <c r="D1420" i="1"/>
  <c r="M1094" i="1"/>
  <c r="H1094" i="12"/>
  <c r="H665" i="12"/>
  <c r="M665" i="1"/>
  <c r="D1223" i="1"/>
  <c r="D1400" i="1"/>
  <c r="H1077" i="12"/>
  <c r="M1077" i="1"/>
  <c r="M383" i="1"/>
  <c r="H383" i="12"/>
  <c r="D325" i="1"/>
  <c r="D1076" i="1"/>
  <c r="O1560" i="1"/>
  <c r="H1305" i="12"/>
  <c r="M1305" i="1"/>
  <c r="M981" i="1"/>
  <c r="H981" i="12"/>
  <c r="M564" i="1"/>
  <c r="H564" i="12"/>
  <c r="H1337" i="12"/>
  <c r="M1337" i="1"/>
  <c r="O272" i="1"/>
  <c r="M1443" i="1"/>
  <c r="H1443" i="12"/>
  <c r="H431" i="12"/>
  <c r="M431" i="1"/>
  <c r="O580" i="1"/>
  <c r="H156" i="12"/>
  <c r="M156" i="1"/>
  <c r="M1309" i="1"/>
  <c r="H1309" i="12"/>
  <c r="M397" i="1"/>
  <c r="H397" i="12"/>
  <c r="O1074" i="1"/>
  <c r="H561" i="12"/>
  <c r="M561" i="1"/>
  <c r="O1664" i="1"/>
  <c r="O930" i="1"/>
  <c r="O249" i="1"/>
  <c r="D785" i="1"/>
  <c r="M983" i="1"/>
  <c r="H983" i="12"/>
  <c r="H684" i="12"/>
  <c r="M684" i="1"/>
  <c r="H1656" i="12"/>
  <c r="M1656" i="1"/>
  <c r="M188" i="1"/>
  <c r="H188" i="12"/>
  <c r="O208" i="1"/>
  <c r="O458" i="1"/>
  <c r="H673" i="12"/>
  <c r="M673" i="1"/>
  <c r="H559" i="12"/>
  <c r="M559" i="1"/>
  <c r="B42" i="3"/>
  <c r="M612" i="1"/>
  <c r="H612" i="12"/>
  <c r="M824" i="1"/>
  <c r="H824" i="12"/>
  <c r="H346" i="12"/>
  <c r="M346" i="1"/>
  <c r="H652" i="12"/>
  <c r="M652" i="1"/>
  <c r="H1236" i="12"/>
  <c r="M1236" i="1"/>
  <c r="O788" i="1"/>
  <c r="D874" i="1"/>
  <c r="H85" i="12"/>
  <c r="M85" i="1"/>
  <c r="M1550" i="1"/>
  <c r="H1550" i="12"/>
  <c r="H1675" i="12"/>
  <c r="M1675" i="1"/>
  <c r="D161" i="1"/>
  <c r="D1131" i="1"/>
  <c r="D483" i="1"/>
  <c r="O1220" i="1"/>
  <c r="O222" i="1"/>
  <c r="D200" i="1"/>
  <c r="O1398" i="1"/>
  <c r="O663" i="1"/>
  <c r="D286" i="1"/>
  <c r="H212" i="12"/>
  <c r="M212" i="1"/>
  <c r="D743" i="1"/>
  <c r="M668" i="1"/>
  <c r="H668" i="12"/>
  <c r="O360" i="1"/>
  <c r="D574" i="1"/>
  <c r="D61" i="1"/>
  <c r="O683" i="1"/>
  <c r="O317" i="1"/>
  <c r="H761" i="12"/>
  <c r="M761" i="1"/>
  <c r="D848" i="1"/>
  <c r="O867" i="1"/>
  <c r="H391" i="12"/>
  <c r="M391" i="1"/>
  <c r="M946" i="1"/>
  <c r="H946" i="12"/>
  <c r="D140" i="1"/>
  <c r="D904" i="1"/>
  <c r="D346" i="1"/>
  <c r="M1559" i="1"/>
  <c r="H1559" i="12"/>
  <c r="O723" i="1"/>
  <c r="O1659" i="1"/>
  <c r="M974" i="1"/>
  <c r="H974" i="12"/>
  <c r="O247" i="1"/>
  <c r="D1306" i="1"/>
  <c r="D734" i="1"/>
  <c r="O714" i="1"/>
  <c r="H270" i="12"/>
  <c r="M270" i="1"/>
  <c r="O722" i="1"/>
  <c r="O3" i="1"/>
  <c r="O1451" i="1"/>
  <c r="D1165" i="1"/>
  <c r="D12" i="1"/>
  <c r="D764" i="1"/>
  <c r="O454" i="1"/>
  <c r="O1234" i="1"/>
  <c r="O1228" i="1"/>
  <c r="O997" i="1"/>
  <c r="M567" i="1"/>
  <c r="H567" i="12"/>
  <c r="O1581" i="1"/>
  <c r="O88" i="1"/>
  <c r="H136" i="12"/>
  <c r="M136" i="1"/>
  <c r="H618" i="12"/>
  <c r="M618" i="1"/>
  <c r="H533" i="12"/>
  <c r="M533" i="1"/>
  <c r="H573" i="12"/>
  <c r="M573" i="1"/>
  <c r="D461" i="1"/>
  <c r="M1539" i="1"/>
  <c r="H1539" i="12"/>
  <c r="O1346" i="1"/>
  <c r="O1343" i="1"/>
  <c r="O194" i="1"/>
  <c r="M1106" i="1"/>
  <c r="H1106" i="12"/>
  <c r="O1011" i="1"/>
  <c r="H1459" i="12"/>
  <c r="M1459" i="1"/>
  <c r="D1011" i="1"/>
  <c r="D1249" i="1"/>
  <c r="M1170" i="1"/>
  <c r="H1170" i="12"/>
  <c r="D1354" i="1"/>
  <c r="O353" i="1"/>
  <c r="O263" i="1"/>
  <c r="O418" i="1"/>
  <c r="D646" i="1"/>
  <c r="D54" i="1"/>
  <c r="H732" i="12"/>
  <c r="M732" i="1"/>
  <c r="H899" i="12"/>
  <c r="M899" i="1"/>
  <c r="D195" i="1"/>
  <c r="O48" i="1"/>
  <c r="D1415" i="1"/>
  <c r="D85" i="1"/>
  <c r="H907" i="12"/>
  <c r="M907" i="1"/>
  <c r="D1673" i="1"/>
  <c r="D1049" i="1"/>
  <c r="M131" i="1"/>
  <c r="H131" i="12"/>
  <c r="H246" i="12"/>
  <c r="M246" i="1"/>
  <c r="O741" i="1"/>
  <c r="M1250" i="1"/>
  <c r="H1250" i="12"/>
  <c r="H714" i="12"/>
  <c r="M714" i="1"/>
  <c r="O1505" i="1"/>
  <c r="H650" i="12"/>
  <c r="M650" i="1"/>
  <c r="H976" i="12"/>
  <c r="M976" i="1"/>
  <c r="M238" i="1"/>
  <c r="H238" i="12"/>
  <c r="O1415" i="1"/>
  <c r="O1372" i="1"/>
  <c r="D1443" i="1"/>
  <c r="O1130" i="1"/>
  <c r="D297" i="1"/>
  <c r="O332" i="1"/>
  <c r="O94" i="1"/>
  <c r="M1131" i="1"/>
  <c r="H1131" i="12"/>
  <c r="D937" i="1"/>
  <c r="O72" i="1"/>
  <c r="H137" i="12"/>
  <c r="M137" i="1"/>
  <c r="H1502" i="12"/>
  <c r="M1502" i="1"/>
  <c r="O457" i="1"/>
  <c r="D528" i="1"/>
  <c r="M1475" i="1"/>
  <c r="H1475" i="12"/>
  <c r="O979" i="1"/>
  <c r="D750" i="1"/>
  <c r="D836" i="1"/>
  <c r="M855" i="1"/>
  <c r="H855" i="12"/>
  <c r="D932" i="1"/>
  <c r="D747" i="1"/>
  <c r="O659" i="1"/>
  <c r="O1070" i="1"/>
  <c r="H608" i="12"/>
  <c r="M608" i="1"/>
  <c r="M880" i="1"/>
  <c r="H880" i="12"/>
  <c r="D713" i="1"/>
  <c r="D769" i="1"/>
  <c r="O342" i="1"/>
  <c r="D527" i="1"/>
  <c r="D1245" i="1"/>
  <c r="M568" i="1"/>
  <c r="H568" i="12"/>
  <c r="H864" i="12"/>
  <c r="M864" i="1"/>
  <c r="H1657" i="12"/>
  <c r="M1657" i="1"/>
  <c r="M205" i="1"/>
  <c r="H205" i="12"/>
  <c r="M177" i="1"/>
  <c r="H177" i="12"/>
  <c r="M1096" i="1"/>
  <c r="H1096" i="12"/>
  <c r="O1046" i="1"/>
  <c r="D460" i="1"/>
  <c r="O1016" i="1"/>
  <c r="H174" i="12"/>
  <c r="M174" i="1"/>
  <c r="D1029" i="1"/>
  <c r="O1184" i="1"/>
  <c r="M472" i="1"/>
  <c r="H472" i="12"/>
  <c r="M1476" i="1"/>
  <c r="H1476" i="12"/>
  <c r="M1585" i="1"/>
  <c r="H1585" i="12"/>
  <c r="D1222" i="1"/>
  <c r="H236" i="12"/>
  <c r="M236" i="1"/>
  <c r="H1552" i="12"/>
  <c r="M1552" i="1"/>
  <c r="H678" i="12"/>
  <c r="M678" i="1"/>
  <c r="O356" i="1"/>
  <c r="O331" i="1"/>
  <c r="D1070" i="1"/>
  <c r="D968" i="1"/>
  <c r="D81" i="1"/>
  <c r="H38" i="12"/>
  <c r="M38" i="1"/>
  <c r="O405" i="1"/>
  <c r="M1019" i="1"/>
  <c r="H1019" i="12"/>
  <c r="O728" i="1"/>
  <c r="H392" i="12"/>
  <c r="M392" i="1"/>
  <c r="M866" i="1"/>
  <c r="H866" i="12"/>
  <c r="D459" i="1"/>
  <c r="O472" i="1"/>
  <c r="D1576" i="1"/>
  <c r="O1078" i="1"/>
  <c r="D1090" i="1"/>
  <c r="H582" i="12"/>
  <c r="M582" i="1"/>
  <c r="M1202" i="1"/>
  <c r="H1202" i="12"/>
  <c r="O189" i="1"/>
  <c r="O640" i="1"/>
  <c r="H778" i="12"/>
  <c r="M778" i="1"/>
  <c r="M486" i="1"/>
  <c r="H486" i="12"/>
  <c r="H1628" i="12"/>
  <c r="M1628" i="1"/>
  <c r="O1052" i="1"/>
  <c r="O1516" i="1"/>
  <c r="O22" i="1"/>
  <c r="H1397" i="12"/>
  <c r="M1397" i="1"/>
  <c r="H1567" i="12"/>
  <c r="M1567" i="1"/>
  <c r="O619" i="1"/>
  <c r="M1054" i="1"/>
  <c r="H1054" i="12"/>
  <c r="H77" i="12"/>
  <c r="M77" i="1"/>
  <c r="M554" i="1"/>
  <c r="H554" i="12"/>
  <c r="M1577" i="1"/>
  <c r="H1577" i="12"/>
  <c r="H977" i="12"/>
  <c r="M977" i="1"/>
  <c r="O375" i="1"/>
  <c r="H374" i="12"/>
  <c r="M374" i="1"/>
  <c r="M16" i="1"/>
  <c r="H16" i="12"/>
  <c r="H404" i="12"/>
  <c r="M404" i="1"/>
  <c r="D322" i="1"/>
  <c r="M1304" i="1"/>
  <c r="H1304" i="12"/>
  <c r="H114" i="12"/>
  <c r="M114" i="1"/>
  <c r="O1317" i="1"/>
  <c r="M816" i="1"/>
  <c r="H816" i="12"/>
  <c r="M153" i="1"/>
  <c r="H153" i="12"/>
  <c r="D1446" i="1"/>
  <c r="O1171" i="1"/>
  <c r="H117" i="12"/>
  <c r="M117" i="1"/>
  <c r="H1273" i="12"/>
  <c r="M1273" i="1"/>
  <c r="H728" i="12"/>
  <c r="M728" i="1"/>
  <c r="M1563" i="1"/>
  <c r="H1563" i="12"/>
  <c r="M1118" i="1"/>
  <c r="H1118" i="12"/>
  <c r="M575" i="1"/>
  <c r="H575" i="12"/>
  <c r="D1144" i="1"/>
  <c r="O52" i="1"/>
  <c r="H1391" i="12"/>
  <c r="M1391" i="1"/>
  <c r="M552" i="1"/>
  <c r="H552" i="12"/>
  <c r="H922" i="12"/>
  <c r="M922" i="1"/>
  <c r="M645" i="1"/>
  <c r="H645" i="12"/>
  <c r="M307" i="1"/>
  <c r="H307" i="12"/>
  <c r="O798" i="1"/>
  <c r="M771" i="1"/>
  <c r="H771" i="12"/>
  <c r="M213" i="1"/>
  <c r="H213" i="12"/>
  <c r="M33" i="1"/>
  <c r="H33" i="12"/>
  <c r="M990" i="1"/>
  <c r="H990" i="12"/>
  <c r="M1604" i="1"/>
  <c r="H1604" i="12"/>
  <c r="M1011" i="1"/>
  <c r="H1011" i="12"/>
  <c r="O395" i="1"/>
  <c r="D434" i="1"/>
  <c r="O107" i="1"/>
  <c r="H167" i="12"/>
  <c r="M167" i="1"/>
  <c r="O1623" i="1"/>
  <c r="H1223" i="12"/>
  <c r="M1223" i="1"/>
  <c r="H832" i="12"/>
  <c r="M832" i="1"/>
  <c r="M301" i="1"/>
  <c r="H301" i="12"/>
  <c r="M1406" i="1"/>
  <c r="H1406" i="12"/>
  <c r="H1039" i="12"/>
  <c r="M1039" i="1"/>
  <c r="M399" i="1"/>
  <c r="H399" i="12"/>
  <c r="M839" i="1"/>
  <c r="H839" i="12"/>
  <c r="M1376" i="1"/>
  <c r="H1376" i="12"/>
  <c r="D116" i="1"/>
  <c r="D344" i="1"/>
  <c r="H955" i="12"/>
  <c r="M955" i="1"/>
  <c r="D898" i="1"/>
  <c r="O1301" i="1"/>
  <c r="H37" i="12"/>
  <c r="M37" i="1"/>
  <c r="M1632" i="1"/>
  <c r="H1632" i="12"/>
  <c r="M1025" i="1"/>
  <c r="H1025" i="12"/>
  <c r="M363" i="1"/>
  <c r="H363" i="12"/>
  <c r="O1467" i="1"/>
  <c r="O1387" i="1"/>
  <c r="O1607" i="1"/>
  <c r="H181" i="12"/>
  <c r="M181" i="1"/>
  <c r="M1362" i="1"/>
  <c r="H1362" i="12"/>
  <c r="M845" i="1"/>
  <c r="H845" i="12"/>
  <c r="H208" i="12"/>
  <c r="M208" i="1"/>
  <c r="M24" i="1"/>
  <c r="H24" i="12"/>
  <c r="O1099" i="1"/>
  <c r="O70" i="1"/>
  <c r="M1267" i="1"/>
  <c r="H1267" i="12"/>
  <c r="D1129" i="1"/>
  <c r="O122" i="1"/>
  <c r="O403" i="1"/>
  <c r="D150" i="1"/>
  <c r="D500" i="1"/>
  <c r="D1325" i="1"/>
  <c r="D511" i="1"/>
  <c r="O1173" i="1"/>
  <c r="M1409" i="1"/>
  <c r="H1409" i="12"/>
  <c r="O1477" i="1"/>
  <c r="O684" i="1"/>
  <c r="H1445" i="12"/>
  <c r="M1445" i="1"/>
  <c r="D148" i="1"/>
  <c r="H1301" i="12"/>
  <c r="M1301" i="1"/>
  <c r="O1050" i="1"/>
  <c r="O55" i="1"/>
  <c r="D1473" i="1"/>
  <c r="D1557" i="1"/>
  <c r="M1486" i="1"/>
  <c r="H1486" i="12"/>
  <c r="O354" i="1"/>
  <c r="D1026" i="1"/>
  <c r="O1458" i="1"/>
  <c r="M172" i="1"/>
  <c r="H172" i="12"/>
  <c r="O1630" i="1"/>
  <c r="O518" i="1"/>
  <c r="O246" i="1"/>
  <c r="O1162" i="1"/>
  <c r="O394" i="1"/>
  <c r="D1021" i="1"/>
  <c r="O1243" i="1"/>
  <c r="D1089" i="1"/>
  <c r="O833" i="1"/>
  <c r="O1299" i="1"/>
  <c r="B50" i="3"/>
  <c r="O1167" i="1"/>
  <c r="D985" i="1"/>
  <c r="O1069" i="1"/>
  <c r="O163" i="1"/>
  <c r="O622" i="1"/>
  <c r="O1619" i="1"/>
  <c r="D717" i="1"/>
  <c r="H1650" i="12"/>
  <c r="M1650" i="1"/>
  <c r="O1017" i="1"/>
  <c r="M405" i="1"/>
  <c r="H405" i="12"/>
  <c r="O1261" i="1"/>
  <c r="D182" i="1"/>
  <c r="B43" i="3"/>
  <c r="D621" i="1"/>
  <c r="O197" i="1"/>
  <c r="H603" i="12"/>
  <c r="M603" i="1"/>
  <c r="M1215" i="1"/>
  <c r="H1215" i="12"/>
  <c r="H1132" i="12"/>
  <c r="M1132" i="1"/>
  <c r="H1164" i="12"/>
  <c r="M1164" i="1"/>
  <c r="M485" i="1"/>
  <c r="H485" i="12"/>
  <c r="D868" i="1"/>
  <c r="O286" i="1"/>
  <c r="D1339" i="1"/>
  <c r="O1344" i="1"/>
  <c r="O162" i="1"/>
  <c r="D1191" i="1"/>
  <c r="O1268" i="1"/>
  <c r="D458" i="1"/>
  <c r="D489" i="1"/>
  <c r="D1253" i="1"/>
  <c r="O439" i="1"/>
  <c r="D1126" i="1"/>
  <c r="D10" i="1"/>
  <c r="M606" i="1"/>
  <c r="H606" i="12"/>
  <c r="H1153" i="12"/>
  <c r="M1153" i="1"/>
  <c r="O1549" i="1"/>
  <c r="M323" i="1"/>
  <c r="H323" i="12"/>
  <c r="H1032" i="12"/>
  <c r="M1032" i="1"/>
  <c r="M1484" i="1"/>
  <c r="H1484" i="12"/>
  <c r="H937" i="12"/>
  <c r="M937" i="1"/>
  <c r="M566" i="1"/>
  <c r="H566" i="12"/>
  <c r="M1189" i="1"/>
  <c r="H1189" i="12"/>
  <c r="D300" i="1"/>
  <c r="D272" i="1"/>
  <c r="M938" i="1"/>
  <c r="H938" i="12"/>
  <c r="O623" i="1"/>
  <c r="H1117" i="12"/>
  <c r="M1117" i="1"/>
  <c r="H1217" i="12"/>
  <c r="M1217" i="1"/>
  <c r="O660" i="1"/>
  <c r="D372" i="1"/>
  <c r="H1648" i="12"/>
  <c r="M1648" i="1"/>
  <c r="O1314" i="1"/>
  <c r="M293" i="1"/>
  <c r="H293" i="12"/>
  <c r="M891" i="1"/>
  <c r="H891" i="12"/>
  <c r="D1003" i="1"/>
  <c r="D844" i="1"/>
  <c r="H1477" i="12"/>
  <c r="M1477" i="1"/>
  <c r="H341" i="12"/>
  <c r="M341" i="1"/>
  <c r="M1673" i="1"/>
  <c r="H1673" i="12"/>
  <c r="H1490" i="12"/>
  <c r="M1490" i="1"/>
  <c r="H1631" i="12"/>
  <c r="M1631" i="1"/>
  <c r="O370" i="1"/>
  <c r="M427" i="1"/>
  <c r="H427" i="12"/>
  <c r="H407" i="12"/>
  <c r="M407" i="1"/>
  <c r="M45" i="1"/>
  <c r="H45" i="12"/>
  <c r="H1488" i="12"/>
  <c r="M1488" i="1"/>
  <c r="H772" i="12"/>
  <c r="M772" i="1"/>
  <c r="M9" i="1"/>
  <c r="H9" i="12"/>
  <c r="H1098" i="12"/>
  <c r="M1098" i="1"/>
  <c r="O315" i="1"/>
  <c r="O600" i="1"/>
  <c r="D206" i="1"/>
  <c r="M1130" i="1"/>
  <c r="H1130" i="12"/>
  <c r="D480" i="1"/>
  <c r="M470" i="1"/>
  <c r="H470" i="12"/>
  <c r="M1140" i="1"/>
  <c r="H1140" i="12"/>
  <c r="H1565" i="12"/>
  <c r="M1565" i="1"/>
  <c r="M171" i="1"/>
  <c r="H171" i="12"/>
  <c r="M105" i="1"/>
  <c r="H105" i="12"/>
  <c r="D134" i="1"/>
  <c r="O239" i="1"/>
  <c r="M882" i="1"/>
  <c r="H882" i="12"/>
  <c r="O920" i="1"/>
  <c r="M231" i="1"/>
  <c r="H231" i="12"/>
  <c r="D100" i="1"/>
  <c r="M1420" i="1"/>
  <c r="H1420" i="12"/>
  <c r="H1651" i="12"/>
  <c r="M1651" i="1"/>
  <c r="D264" i="1"/>
  <c r="H283" i="12"/>
  <c r="M283" i="1"/>
  <c r="D1000" i="1"/>
  <c r="D1229" i="1"/>
  <c r="O656" i="1"/>
  <c r="O114" i="1"/>
  <c r="M632" i="1"/>
  <c r="H632" i="12"/>
  <c r="O1001" i="1"/>
  <c r="O224" i="1"/>
  <c r="D841" i="1"/>
  <c r="D155" i="1"/>
  <c r="M871" i="1"/>
  <c r="H871" i="12"/>
  <c r="M1083" i="1"/>
  <c r="H1083" i="12"/>
  <c r="M669" i="1"/>
  <c r="H669" i="12"/>
  <c r="H151" i="12"/>
  <c r="M151" i="1"/>
  <c r="M1006" i="1"/>
  <c r="H1006" i="12"/>
  <c r="D581" i="1"/>
  <c r="O398" i="1"/>
  <c r="B32" i="3"/>
  <c r="O73" i="1"/>
  <c r="M193" i="1"/>
  <c r="H193" i="12"/>
  <c r="D908" i="1"/>
  <c r="D899" i="1"/>
  <c r="D616" i="1"/>
  <c r="H530" i="12"/>
  <c r="M530" i="1"/>
  <c r="D201" i="1"/>
  <c r="D153" i="1"/>
  <c r="H216" i="12"/>
  <c r="M216" i="1"/>
  <c r="O675" i="1"/>
  <c r="O1462" i="1"/>
  <c r="D1108" i="1"/>
  <c r="O1399" i="1"/>
  <c r="O1300" i="1"/>
  <c r="D396" i="1"/>
  <c r="O658" i="1"/>
  <c r="D1639" i="1"/>
  <c r="D835" i="1"/>
  <c r="D202" i="1"/>
  <c r="O61" i="1"/>
  <c r="O1551" i="1"/>
  <c r="B18" i="3"/>
  <c r="O899" i="1"/>
  <c r="D1402" i="1"/>
  <c r="D439" i="1"/>
  <c r="O282" i="1"/>
  <c r="O1469" i="1"/>
  <c r="D1118" i="1"/>
  <c r="D1435" i="1"/>
  <c r="O280" i="1"/>
  <c r="D1437" i="1"/>
  <c r="O546" i="1"/>
  <c r="O1591" i="1"/>
  <c r="D306" i="1"/>
  <c r="O1464" i="1"/>
  <c r="O182" i="1"/>
  <c r="D4" i="1"/>
  <c r="D1594" i="1"/>
  <c r="O1217" i="1"/>
  <c r="D19" i="1"/>
  <c r="O1310" i="1"/>
  <c r="O333" i="1"/>
  <c r="D860" i="1"/>
  <c r="O320" i="1"/>
  <c r="D776" i="1"/>
  <c r="D673" i="1"/>
  <c r="D1496" i="1"/>
  <c r="D11" i="1"/>
  <c r="O268" i="1"/>
  <c r="H1315" i="12"/>
  <c r="M1315" i="1"/>
  <c r="D466" i="1"/>
  <c r="D418" i="1"/>
  <c r="D1051" i="1"/>
  <c r="O328" i="1"/>
  <c r="D1548" i="1"/>
  <c r="O486" i="1"/>
  <c r="O149" i="1"/>
  <c r="D1055" i="1"/>
  <c r="D1159" i="1"/>
  <c r="D1660" i="1"/>
  <c r="O1006" i="1"/>
  <c r="O807" i="1"/>
  <c r="O783" i="1"/>
  <c r="D954" i="1"/>
  <c r="O1193" i="1"/>
  <c r="D491" i="1"/>
  <c r="D1386" i="1"/>
  <c r="D1286" i="1"/>
  <c r="D1058" i="1"/>
  <c r="M76" i="1"/>
  <c r="H76" i="12"/>
  <c r="O1108" i="1"/>
  <c r="D40" i="1"/>
  <c r="D1543" i="1"/>
  <c r="O893" i="1"/>
  <c r="D890" i="1"/>
  <c r="B5" i="3"/>
  <c r="H1400" i="12"/>
  <c r="M1400" i="1"/>
  <c r="H698" i="12"/>
  <c r="M698" i="1"/>
  <c r="H687" i="12"/>
  <c r="M687" i="1"/>
  <c r="D7" i="1"/>
  <c r="M649" i="1"/>
  <c r="H649" i="12"/>
  <c r="O982" i="1"/>
  <c r="D1585" i="1"/>
  <c r="O99" i="1"/>
  <c r="H419" i="12"/>
  <c r="M419" i="1"/>
  <c r="H308" i="12"/>
  <c r="M308" i="1"/>
  <c r="H1518" i="12"/>
  <c r="M1518" i="1"/>
  <c r="O1227" i="1"/>
  <c r="O784" i="1"/>
  <c r="D190" i="1"/>
  <c r="H450" i="12"/>
  <c r="M450" i="1"/>
  <c r="M1122" i="1"/>
  <c r="H1122" i="12"/>
  <c r="O175" i="1"/>
  <c r="M487" i="1"/>
  <c r="H487" i="12"/>
  <c r="B10" i="3"/>
  <c r="D142" i="1"/>
  <c r="M90" i="1"/>
  <c r="H90" i="12"/>
  <c r="O975" i="1"/>
  <c r="M1005" i="1"/>
  <c r="H1005" i="12"/>
  <c r="O440" i="1"/>
  <c r="O451" i="1"/>
  <c r="O1221" i="1"/>
  <c r="H267" i="12"/>
  <c r="M267" i="1"/>
  <c r="D914" i="1"/>
  <c r="H357" i="12"/>
  <c r="M357" i="1"/>
  <c r="O5" i="1"/>
  <c r="M1043" i="1"/>
  <c r="H1043" i="12"/>
  <c r="D730" i="1"/>
  <c r="D298" i="1"/>
  <c r="O846" i="1"/>
  <c r="M284" i="1"/>
  <c r="H284" i="12"/>
  <c r="O1285" i="1"/>
  <c r="D1180" i="1"/>
  <c r="D579" i="1"/>
  <c r="M1357" i="1"/>
  <c r="H1357" i="12"/>
  <c r="M1009" i="1"/>
  <c r="H1009" i="12"/>
  <c r="M368" i="1"/>
  <c r="H368" i="12"/>
  <c r="H1276" i="12"/>
  <c r="M1276" i="1"/>
  <c r="O212" i="1"/>
  <c r="D928" i="1"/>
  <c r="H1155" i="12"/>
  <c r="M1155" i="1"/>
  <c r="M332" i="1"/>
  <c r="H332" i="12"/>
  <c r="D1611" i="1"/>
  <c r="M966" i="1"/>
  <c r="H966" i="12"/>
  <c r="D661" i="1"/>
  <c r="O1102" i="1"/>
  <c r="O151" i="1"/>
  <c r="H901" i="12"/>
  <c r="M901" i="1"/>
  <c r="H461" i="12"/>
  <c r="M461" i="1"/>
  <c r="M927" i="1"/>
  <c r="H927" i="12"/>
  <c r="H1205" i="12"/>
  <c r="M1205" i="1"/>
  <c r="H893" i="12"/>
  <c r="M893" i="1"/>
  <c r="D560" i="1"/>
  <c r="H1569" i="12"/>
  <c r="M1569" i="1"/>
  <c r="D974" i="1"/>
  <c r="D1506" i="1"/>
  <c r="D1079" i="1"/>
  <c r="D311" i="1"/>
  <c r="O1427" i="1"/>
  <c r="O1602" i="1"/>
  <c r="O1648" i="1"/>
  <c r="M1407" i="1"/>
  <c r="H1407" i="12"/>
  <c r="D951" i="1"/>
  <c r="O229" i="1"/>
  <c r="D154" i="1"/>
  <c r="D1114" i="1"/>
  <c r="O1177" i="1"/>
  <c r="O1572" i="1"/>
  <c r="O1669" i="1"/>
  <c r="D802" i="1"/>
  <c r="O820" i="1"/>
  <c r="D1475" i="1"/>
  <c r="D801" i="1"/>
  <c r="D127" i="1"/>
  <c r="O106" i="1"/>
  <c r="O1388" i="1"/>
  <c r="O420" i="1"/>
  <c r="O641" i="1"/>
  <c r="H737" i="12"/>
  <c r="M737" i="1"/>
  <c r="M161" i="1"/>
  <c r="H161" i="12"/>
  <c r="D1382" i="1"/>
  <c r="B38" i="3"/>
  <c r="H727" i="12"/>
  <c r="M727" i="1"/>
  <c r="H57" i="12"/>
  <c r="M57" i="1"/>
  <c r="O1065" i="1"/>
  <c r="D1492" i="1"/>
  <c r="D238" i="1"/>
  <c r="O262" i="1"/>
  <c r="D437" i="1"/>
  <c r="D1423" i="1"/>
  <c r="D1333" i="1"/>
  <c r="O301" i="1"/>
  <c r="D1523" i="1"/>
  <c r="O1382" i="1"/>
  <c r="M1623" i="1"/>
  <c r="H1623" i="12"/>
  <c r="D287" i="1"/>
  <c r="D1436" i="1"/>
  <c r="M1109" i="1"/>
  <c r="H1109" i="12"/>
  <c r="D1370" i="1"/>
  <c r="O463" i="1"/>
  <c r="D942" i="1"/>
  <c r="D1516" i="1"/>
  <c r="M604" i="1"/>
  <c r="H604" i="12"/>
  <c r="D977" i="1"/>
  <c r="O583" i="1"/>
  <c r="O1397" i="1"/>
  <c r="H1151" i="12"/>
  <c r="M1151" i="1"/>
  <c r="O446" i="1"/>
  <c r="D56" i="1"/>
  <c r="O550" i="1"/>
  <c r="D205" i="1"/>
  <c r="O948" i="1"/>
  <c r="D334" i="1"/>
  <c r="D1454" i="1"/>
  <c r="D329" i="1"/>
  <c r="H1350" i="12"/>
  <c r="M1350" i="1"/>
  <c r="H478" i="12"/>
  <c r="M478" i="1"/>
  <c r="D477" i="1"/>
  <c r="D1374" i="1"/>
  <c r="M945" i="1"/>
  <c r="H945" i="12"/>
  <c r="D786" i="1"/>
  <c r="D1545" i="1"/>
  <c r="O1668" i="1"/>
  <c r="D931" i="1"/>
  <c r="O607" i="1"/>
  <c r="O281" i="1"/>
  <c r="O1293" i="1"/>
  <c r="M1147" i="1"/>
  <c r="H1147" i="12"/>
  <c r="M1590" i="1"/>
  <c r="H1590" i="12"/>
  <c r="M780" i="1"/>
  <c r="H780" i="12"/>
  <c r="M328" i="1"/>
  <c r="H328" i="12"/>
  <c r="O1441" i="1"/>
  <c r="D1134" i="1"/>
  <c r="D912" i="1"/>
  <c r="D440" i="1"/>
  <c r="O244" i="1"/>
  <c r="D872" i="1"/>
  <c r="O1230" i="1"/>
  <c r="H707" i="12"/>
  <c r="M707" i="1"/>
  <c r="D1117" i="1"/>
  <c r="O1294" i="1"/>
  <c r="D50" i="1"/>
  <c r="D370" i="1"/>
  <c r="O322" i="1"/>
  <c r="H243" i="12"/>
  <c r="M243" i="1"/>
  <c r="H822" i="12"/>
  <c r="M822" i="1"/>
  <c r="O1172" i="1"/>
  <c r="D481" i="1"/>
  <c r="M1537" i="1"/>
  <c r="H1537" i="12"/>
  <c r="O1260" i="1"/>
  <c r="O1491" i="1"/>
  <c r="H1307" i="12"/>
  <c r="M1307" i="1"/>
  <c r="O969" i="1"/>
  <c r="H701" i="12"/>
  <c r="M701" i="1"/>
  <c r="O775" i="1"/>
  <c r="D1540" i="1"/>
  <c r="D1450" i="1"/>
  <c r="M1511" i="1"/>
  <c r="H1511" i="12"/>
  <c r="O374" i="1"/>
  <c r="D1638" i="1"/>
  <c r="O737" i="1"/>
  <c r="D47" i="1"/>
  <c r="M36" i="1"/>
  <c r="H36" i="12"/>
  <c r="D131" i="1"/>
  <c r="M829" i="1"/>
  <c r="H829" i="12"/>
  <c r="D314" i="1"/>
  <c r="O995" i="1"/>
  <c r="D157" i="1"/>
  <c r="D390" i="1"/>
  <c r="D1266" i="1"/>
  <c r="D983" i="1"/>
  <c r="D814" i="1"/>
  <c r="D919" i="1"/>
  <c r="D1261" i="1"/>
  <c r="B41" i="3"/>
  <c r="D660" i="1"/>
  <c r="D1411" i="1"/>
  <c r="O941" i="1"/>
  <c r="M576" i="1"/>
  <c r="H576" i="12"/>
  <c r="H437" i="12"/>
  <c r="M437" i="1"/>
  <c r="O1470" i="1"/>
  <c r="M1557" i="1"/>
  <c r="H1557" i="12"/>
  <c r="M642" i="1"/>
  <c r="H642" i="12"/>
  <c r="D1666" i="1"/>
  <c r="M418" i="1"/>
  <c r="H418" i="12"/>
  <c r="D296" i="1"/>
  <c r="D1035" i="1"/>
  <c r="O921" i="1"/>
  <c r="H609" i="12"/>
  <c r="M609" i="1"/>
  <c r="O419" i="1"/>
  <c r="H1480" i="12"/>
  <c r="M1480" i="1"/>
  <c r="O626" i="1"/>
  <c r="D702" i="1"/>
  <c r="O1295" i="1"/>
  <c r="H408" i="12"/>
  <c r="M408" i="1"/>
  <c r="D1163" i="1"/>
  <c r="M501" i="1"/>
  <c r="H501" i="12"/>
  <c r="O8" i="1"/>
  <c r="D665" i="1"/>
  <c r="D1061" i="1"/>
  <c r="O1341" i="1"/>
  <c r="O1127" i="1"/>
  <c r="M500" i="1"/>
  <c r="H500" i="12"/>
  <c r="O372" i="1"/>
  <c r="H110" i="12"/>
  <c r="M110" i="1"/>
  <c r="H1016" i="12"/>
  <c r="M1016" i="1"/>
  <c r="H324" i="12"/>
  <c r="M324" i="1"/>
  <c r="M1020" i="1"/>
  <c r="H1020" i="12"/>
  <c r="D862" i="1"/>
  <c r="O1071" i="1"/>
  <c r="M523" i="1"/>
  <c r="H523" i="12"/>
  <c r="D380" i="1"/>
  <c r="O1410" i="1"/>
  <c r="M277" i="1"/>
  <c r="H277" i="12"/>
  <c r="O1280" i="1"/>
  <c r="D773" i="1"/>
  <c r="O839" i="1"/>
  <c r="O1097" i="1"/>
  <c r="D282" i="1"/>
  <c r="M688" i="1"/>
  <c r="H688" i="12"/>
  <c r="H1068" i="12"/>
  <c r="M1068" i="1"/>
  <c r="O1655" i="1"/>
  <c r="O136" i="1"/>
  <c r="D1353" i="1"/>
  <c r="O830" i="1"/>
  <c r="O1331" i="1"/>
  <c r="O1506" i="1"/>
  <c r="O494" i="1"/>
  <c r="O544" i="1"/>
  <c r="D316" i="1"/>
  <c r="O232" i="1"/>
  <c r="O771" i="1"/>
  <c r="O859" i="1"/>
  <c r="M631" i="1"/>
  <c r="H631" i="12"/>
  <c r="O928" i="1"/>
  <c r="D319" i="1"/>
  <c r="M766" i="1"/>
  <c r="H766" i="12"/>
  <c r="D741" i="1"/>
  <c r="D111" i="1"/>
  <c r="D67" i="1"/>
  <c r="D363" i="1"/>
  <c r="D1462" i="1"/>
  <c r="H1530" i="12"/>
  <c r="M1530" i="1"/>
  <c r="M1352" i="1"/>
  <c r="H1352" i="12"/>
  <c r="O1007" i="1"/>
  <c r="D234" i="1"/>
  <c r="D246" i="1"/>
  <c r="O1645" i="1"/>
  <c r="O363" i="1"/>
  <c r="M950" i="1"/>
  <c r="H950" i="12"/>
  <c r="B7" i="3"/>
  <c r="D1248" i="1"/>
  <c r="O1257" i="1"/>
  <c r="O1577" i="1"/>
  <c r="D642" i="1"/>
  <c r="D385" i="1"/>
  <c r="H294" i="12"/>
  <c r="M294" i="1"/>
  <c r="D553" i="1"/>
  <c r="H1327" i="12"/>
  <c r="M1327" i="1"/>
  <c r="M145" i="1"/>
  <c r="H145" i="12"/>
  <c r="M942" i="1"/>
  <c r="H942" i="12"/>
  <c r="D1148" i="1"/>
  <c r="O66" i="1"/>
  <c r="H1595" i="12"/>
  <c r="M1595" i="1"/>
  <c r="H1053" i="12"/>
  <c r="M1053" i="1"/>
  <c r="O1079" i="1"/>
  <c r="D1393" i="1"/>
  <c r="D657" i="1"/>
  <c r="D751" i="1"/>
  <c r="D1212" i="1"/>
  <c r="D1366" i="1"/>
  <c r="O871" i="1"/>
  <c r="H403" i="12"/>
  <c r="M403" i="1"/>
  <c r="D1254" i="1"/>
  <c r="D1603" i="1"/>
  <c r="H1133" i="12"/>
  <c r="M1133" i="1"/>
  <c r="D24" i="1"/>
  <c r="O1631" i="1"/>
  <c r="O862" i="1"/>
  <c r="O1152" i="1"/>
  <c r="M811" i="1"/>
  <c r="H811" i="12"/>
  <c r="H1065" i="12"/>
  <c r="M1065" i="1"/>
  <c r="M1329" i="1"/>
  <c r="H1329" i="12"/>
  <c r="M1271" i="1"/>
  <c r="H1271" i="12"/>
  <c r="H280" i="12"/>
  <c r="M280" i="1"/>
  <c r="M1290" i="1"/>
  <c r="H1290" i="12"/>
  <c r="H480" i="12"/>
  <c r="M480" i="1"/>
  <c r="M936" i="1"/>
  <c r="H936" i="12"/>
  <c r="M196" i="1"/>
  <c r="H196" i="12"/>
  <c r="M1634" i="1"/>
  <c r="H1634" i="12"/>
  <c r="D220" i="1"/>
  <c r="O760" i="1"/>
  <c r="D515" i="1"/>
  <c r="D1471" i="1"/>
  <c r="H1674" i="12"/>
  <c r="M1674" i="1"/>
  <c r="D1671" i="1"/>
  <c r="M48" i="1"/>
  <c r="H48" i="12"/>
  <c r="O279" i="1"/>
  <c r="O103" i="1"/>
  <c r="D758" i="1"/>
  <c r="O1556" i="1"/>
  <c r="O590" i="1"/>
  <c r="H155" i="12"/>
  <c r="M155" i="1"/>
  <c r="H1601" i="12"/>
  <c r="M1601" i="1"/>
  <c r="O1222" i="1"/>
  <c r="H19" i="12"/>
  <c r="M19" i="1"/>
  <c r="M923" i="1"/>
  <c r="H923" i="12"/>
  <c r="H1580" i="12"/>
  <c r="M1580" i="1"/>
  <c r="H844" i="12"/>
  <c r="M844" i="1"/>
  <c r="O565" i="1"/>
  <c r="D704" i="1"/>
  <c r="O188" i="1"/>
  <c r="M435" i="1"/>
  <c r="H435" i="12"/>
  <c r="M682" i="1"/>
  <c r="H682" i="12"/>
  <c r="O1176" i="1"/>
  <c r="D1319" i="1"/>
  <c r="H555" i="12"/>
  <c r="M555" i="1"/>
  <c r="D1645" i="1"/>
  <c r="H495" i="12"/>
  <c r="M495" i="1"/>
  <c r="M998" i="1"/>
  <c r="H998" i="12"/>
  <c r="D96" i="1"/>
  <c r="D1282" i="1"/>
  <c r="O379" i="1"/>
  <c r="M895" i="1"/>
  <c r="H895" i="12"/>
  <c r="O133" i="1"/>
  <c r="D1432" i="1"/>
  <c r="O77" i="1"/>
  <c r="D1038" i="1"/>
  <c r="D1630" i="1"/>
  <c r="D978" i="1"/>
  <c r="D1215" i="1"/>
  <c r="H1093" i="12"/>
  <c r="M1093" i="1"/>
  <c r="D495" i="1"/>
  <c r="M819" i="1"/>
  <c r="H819" i="12"/>
  <c r="O627" i="1"/>
  <c r="H1429" i="12"/>
  <c r="M1429" i="1"/>
  <c r="H84" i="12"/>
  <c r="M84" i="1"/>
  <c r="D663" i="1"/>
  <c r="O896" i="1"/>
  <c r="D490" i="1"/>
  <c r="M207" i="1"/>
  <c r="H207" i="12"/>
  <c r="H54" i="12"/>
  <c r="M54" i="1"/>
  <c r="O853" i="1"/>
  <c r="O1503" i="1"/>
  <c r="D618" i="1"/>
  <c r="O558" i="1"/>
  <c r="M527" i="1"/>
  <c r="H527" i="12"/>
  <c r="H1600" i="12"/>
  <c r="M1600" i="1"/>
  <c r="O774" i="1"/>
  <c r="D708" i="1"/>
  <c r="O1140" i="1"/>
  <c r="D586" i="1"/>
  <c r="D274" i="1"/>
  <c r="O455" i="1"/>
  <c r="D208" i="1"/>
  <c r="D147" i="1"/>
  <c r="M547" i="1"/>
  <c r="H547" i="12"/>
  <c r="M471" i="1"/>
  <c r="H471" i="12"/>
  <c r="O300" i="1"/>
  <c r="H1457" i="12"/>
  <c r="M1457" i="1"/>
  <c r="H186" i="12"/>
  <c r="M186" i="1"/>
  <c r="M964" i="1"/>
  <c r="H964" i="12"/>
  <c r="O63" i="1"/>
  <c r="D1084" i="1"/>
  <c r="H897" i="12"/>
  <c r="M897" i="1"/>
  <c r="D450" i="1"/>
  <c r="O1058" i="1"/>
  <c r="H1318" i="12"/>
  <c r="M1318" i="1"/>
  <c r="O847" i="1"/>
  <c r="M695" i="1"/>
  <c r="H695" i="12"/>
  <c r="H558" i="12"/>
  <c r="M558" i="1"/>
  <c r="D622" i="1"/>
  <c r="O591" i="1"/>
  <c r="M985" i="1"/>
  <c r="H985" i="12"/>
  <c r="H55" i="12"/>
  <c r="M55" i="1"/>
  <c r="H32" i="12"/>
  <c r="M32" i="1"/>
  <c r="D504" i="1"/>
  <c r="D1367" i="1"/>
  <c r="O677" i="1"/>
  <c r="M1528" i="1"/>
  <c r="H1528" i="12"/>
  <c r="O1148" i="1"/>
  <c r="D139" i="1"/>
  <c r="H514" i="12"/>
  <c r="M514" i="1"/>
  <c r="H244" i="12"/>
  <c r="M244" i="1"/>
  <c r="D972" i="1"/>
  <c r="M1154" i="1"/>
  <c r="H1154" i="12"/>
  <c r="H1049" i="12"/>
  <c r="M1049" i="1"/>
  <c r="H1449" i="12"/>
  <c r="M1449" i="1"/>
  <c r="O233" i="1"/>
  <c r="O216" i="1"/>
  <c r="H1343" i="12"/>
  <c r="M1343" i="1"/>
  <c r="H210" i="12"/>
  <c r="M210" i="1"/>
  <c r="D838" i="1"/>
  <c r="D1482" i="1"/>
  <c r="M1515" i="1"/>
  <c r="H1515" i="12"/>
  <c r="H141" i="12"/>
  <c r="M141" i="1"/>
  <c r="M1087" i="1"/>
  <c r="H1087" i="12"/>
  <c r="H742" i="12"/>
  <c r="M742" i="1"/>
  <c r="O235" i="1"/>
  <c r="D1405" i="1"/>
  <c r="O509" i="1"/>
  <c r="H1542" i="12"/>
  <c r="M1542" i="1"/>
  <c r="O837" i="1"/>
  <c r="D705" i="1"/>
  <c r="O1049" i="1"/>
  <c r="H1124" i="12"/>
  <c r="M1124" i="1"/>
  <c r="D620" i="1"/>
  <c r="D1195" i="1"/>
  <c r="D273" i="1"/>
  <c r="D1154" i="1"/>
  <c r="D74" i="1"/>
  <c r="D981" i="1"/>
  <c r="D793" i="1"/>
  <c r="D1220" i="1"/>
  <c r="H219" i="12"/>
  <c r="M219" i="1"/>
  <c r="D1466" i="1"/>
  <c r="O1592" i="1"/>
  <c r="D1179" i="1"/>
  <c r="D1640" i="1"/>
  <c r="D68" i="1"/>
  <c r="D1116" i="1"/>
  <c r="M1278" i="1"/>
  <c r="H1278" i="12"/>
  <c r="O1508" i="1"/>
  <c r="D1053" i="1"/>
  <c r="D1260" i="1"/>
  <c r="M802" i="1"/>
  <c r="H802" i="12"/>
  <c r="D465" i="1"/>
  <c r="D473" i="1"/>
  <c r="M1237" i="1"/>
  <c r="H1237" i="12"/>
  <c r="D588" i="1"/>
  <c r="O1345" i="1"/>
  <c r="H1198" i="12"/>
  <c r="M1198" i="1"/>
  <c r="D1062" i="1"/>
  <c r="O819" i="1"/>
  <c r="D1113" i="1"/>
  <c r="D1204" i="1"/>
  <c r="D1442" i="1"/>
  <c r="O1520" i="1"/>
  <c r="H584" i="12"/>
  <c r="M584" i="1"/>
  <c r="O1532" i="1"/>
  <c r="M31" i="1"/>
  <c r="H31" i="12"/>
  <c r="O950" i="1"/>
  <c r="D1403" i="1"/>
  <c r="O285" i="1"/>
  <c r="H1172" i="12"/>
  <c r="M1172" i="1"/>
  <c r="D1318" i="1"/>
  <c r="M417" i="1"/>
  <c r="H417" i="12"/>
  <c r="O1378" i="1"/>
  <c r="D993" i="1"/>
  <c r="O74" i="1"/>
  <c r="O1494" i="1"/>
  <c r="O1313" i="1"/>
  <c r="D652" i="1"/>
  <c r="O392" i="1"/>
  <c r="H118" i="12"/>
  <c r="M118" i="1"/>
  <c r="O1169" i="1"/>
  <c r="D165" i="1"/>
  <c r="D263" i="1"/>
  <c r="M1149" i="1"/>
  <c r="H1149" i="12"/>
  <c r="D1137" i="1"/>
  <c r="D739" i="1"/>
  <c r="M1195" i="1"/>
  <c r="H1195" i="12"/>
  <c r="D422" i="1"/>
  <c r="M1503" i="1"/>
  <c r="H1503" i="12"/>
  <c r="O1357" i="1"/>
  <c r="M434" i="1"/>
  <c r="H434" i="12"/>
  <c r="O1383" i="1"/>
  <c r="D852" i="1"/>
  <c r="D356" i="1"/>
  <c r="D571" i="1"/>
  <c r="O1143" i="1"/>
  <c r="O1519" i="1"/>
  <c r="M562" i="1"/>
  <c r="H562" i="12"/>
  <c r="H709" i="12"/>
  <c r="M709" i="1"/>
  <c r="D84" i="1"/>
  <c r="D1178" i="1"/>
  <c r="M365" i="1"/>
  <c r="H365" i="12"/>
  <c r="M59" i="1"/>
  <c r="H59" i="12"/>
  <c r="H1393" i="12"/>
  <c r="M1393" i="1"/>
  <c r="H769" i="12"/>
  <c r="M769" i="1"/>
  <c r="O935" i="1"/>
  <c r="O410" i="1"/>
  <c r="H1010" i="12"/>
  <c r="M1010" i="1"/>
  <c r="H359" i="12"/>
  <c r="M359" i="1"/>
  <c r="D1078" i="1"/>
  <c r="M696" i="1"/>
  <c r="H696" i="12"/>
  <c r="D795" i="1"/>
  <c r="H1051" i="12"/>
  <c r="M1051" i="1"/>
  <c r="O313" i="1"/>
  <c r="H537" i="12"/>
  <c r="M537" i="1"/>
  <c r="O1671" i="1"/>
  <c r="D1483" i="1"/>
  <c r="D1536" i="1"/>
  <c r="D1661" i="1"/>
  <c r="O680" i="1"/>
  <c r="D93" i="1"/>
  <c r="D99" i="1"/>
  <c r="D1226" i="1"/>
  <c r="M245" i="1"/>
  <c r="H245" i="12"/>
  <c r="D1396" i="1"/>
  <c r="O1474" i="1"/>
  <c r="D602" i="1"/>
  <c r="O1163" i="1"/>
  <c r="D784" i="1"/>
  <c r="O793" i="1"/>
  <c r="H1546" i="12"/>
  <c r="M1546" i="1"/>
  <c r="O468" i="1"/>
  <c r="O430" i="1"/>
  <c r="M986" i="1"/>
  <c r="H986" i="12"/>
  <c r="H1491" i="12"/>
  <c r="M1491" i="1"/>
  <c r="D479" i="1"/>
  <c r="D517" i="1"/>
  <c r="O437" i="1"/>
  <c r="O1363" i="1"/>
  <c r="D389" i="1"/>
  <c r="M370" i="1"/>
  <c r="H370" i="12"/>
  <c r="D1441" i="1"/>
  <c r="D348" i="1"/>
  <c r="O1073" i="1"/>
  <c r="H334" i="12"/>
  <c r="M334" i="1"/>
  <c r="O1599" i="1"/>
  <c r="D1504" i="1"/>
  <c r="H1506" i="12"/>
  <c r="M1506" i="1"/>
  <c r="H509" i="12"/>
  <c r="M509" i="1"/>
  <c r="D949" i="1"/>
  <c r="D685" i="1"/>
  <c r="D66" i="1"/>
  <c r="O192" i="1"/>
  <c r="D595" i="1"/>
  <c r="O739" i="1"/>
  <c r="M148" i="1"/>
  <c r="H148" i="12"/>
  <c r="D1347" i="1"/>
  <c r="O2" i="1"/>
  <c r="M1161" i="1"/>
  <c r="H1161" i="12"/>
  <c r="M51" i="1"/>
  <c r="H51" i="12"/>
  <c r="H1625" i="12"/>
  <c r="M1625" i="1"/>
  <c r="H758" i="12"/>
  <c r="M758" i="1"/>
  <c r="D1101" i="1"/>
  <c r="O1482" i="1"/>
  <c r="D3" i="1"/>
  <c r="D83" i="1"/>
  <c r="D1172" i="1"/>
  <c r="H836" i="12"/>
  <c r="M836" i="1"/>
  <c r="M1325" i="1"/>
  <c r="H1325" i="12"/>
  <c r="D197" i="1"/>
  <c r="D923" i="1"/>
  <c r="H279" i="12"/>
  <c r="M279" i="1"/>
  <c r="H878" i="12"/>
  <c r="M878" i="1"/>
  <c r="D452" i="1"/>
  <c r="D854" i="1"/>
  <c r="H1364" i="12"/>
  <c r="M1364" i="1"/>
  <c r="M492" i="1"/>
  <c r="H492" i="12"/>
  <c r="M841" i="1"/>
  <c r="H841" i="12"/>
  <c r="H1136" i="12"/>
  <c r="M1136" i="1"/>
  <c r="O900" i="1"/>
  <c r="D1521" i="1"/>
  <c r="D498" i="1"/>
  <c r="O1615" i="1"/>
  <c r="O108" i="1"/>
  <c r="O93" i="1"/>
  <c r="D522" i="1"/>
  <c r="O265" i="1"/>
  <c r="H1234" i="12"/>
  <c r="M1234" i="1"/>
  <c r="O1547" i="1"/>
  <c r="O873" i="1"/>
  <c r="D371" i="1"/>
  <c r="D668" i="1"/>
  <c r="D374" i="1"/>
  <c r="O200" i="1"/>
  <c r="O352" i="1"/>
  <c r="M1257" i="1"/>
  <c r="H1257" i="12"/>
  <c r="O1420" i="1"/>
  <c r="D1233" i="1"/>
  <c r="M1247" i="1"/>
  <c r="H1247" i="12"/>
  <c r="B45" i="3"/>
  <c r="O1237" i="1"/>
  <c r="M1241" i="1"/>
  <c r="H1241" i="12"/>
  <c r="D1081" i="1"/>
  <c r="H50" i="12"/>
  <c r="M50" i="1"/>
  <c r="M1171" i="1"/>
  <c r="H1171" i="12"/>
  <c r="H159" i="12"/>
  <c r="M159" i="1"/>
  <c r="O582" i="1"/>
  <c r="H643" i="12"/>
  <c r="M643" i="1"/>
  <c r="O234" i="1"/>
  <c r="D905" i="1"/>
  <c r="D1501" i="1"/>
  <c r="O1194" i="1"/>
  <c r="D1580" i="1"/>
  <c r="D649" i="1"/>
  <c r="D1206" i="1"/>
  <c r="O1635" i="1"/>
  <c r="D526" i="1"/>
  <c r="O818" i="1"/>
  <c r="O1188" i="1"/>
  <c r="O9" i="1"/>
  <c r="O1536" i="1"/>
  <c r="D1047" i="1"/>
  <c r="D447" i="1"/>
  <c r="D33" i="1"/>
  <c r="D318" i="1"/>
  <c r="D727" i="1"/>
  <c r="O559" i="1"/>
  <c r="O1023" i="1"/>
  <c r="D1491" i="1"/>
  <c r="D1008" i="1"/>
  <c r="O404" i="1"/>
  <c r="B16" i="3"/>
  <c r="O198" i="1"/>
  <c r="M785" i="1"/>
  <c r="H785" i="12"/>
  <c r="D488" i="1"/>
  <c r="O86" i="1"/>
  <c r="M1197" i="1"/>
  <c r="H1197" i="12"/>
  <c r="M369" i="1"/>
  <c r="H369" i="12"/>
  <c r="H1208" i="12"/>
  <c r="M1208" i="1"/>
  <c r="O351" i="1"/>
  <c r="O922" i="1"/>
  <c r="H1508" i="12"/>
  <c r="M1508" i="1"/>
  <c r="H1663" i="12"/>
  <c r="M1663" i="1"/>
  <c r="O156" i="1"/>
  <c r="H468" i="12"/>
  <c r="M468" i="1"/>
  <c r="D59" i="1"/>
  <c r="O128" i="1"/>
  <c r="M1450" i="1"/>
  <c r="H1450" i="12"/>
  <c r="H315" i="12"/>
  <c r="M315" i="1"/>
  <c r="D913" i="1"/>
  <c r="D426" i="1"/>
  <c r="D1014" i="1"/>
  <c r="O756" i="1"/>
  <c r="M138" i="1"/>
  <c r="H138" i="12"/>
  <c r="D1018" i="1"/>
  <c r="O290" i="1"/>
  <c r="O743" i="1"/>
  <c r="D546" i="1"/>
  <c r="O1380" i="1"/>
  <c r="O927" i="1"/>
  <c r="O1442" i="1"/>
  <c r="D710" i="1"/>
  <c r="D637" i="1"/>
  <c r="O277" i="1"/>
  <c r="O719" i="1"/>
  <c r="H1072" i="12"/>
  <c r="M1072" i="1"/>
  <c r="M134" i="1"/>
  <c r="H134" i="12"/>
  <c r="D558" i="1"/>
  <c r="D91" i="1"/>
  <c r="H106" i="12"/>
  <c r="M106" i="1"/>
  <c r="H700" i="12"/>
  <c r="M700" i="1"/>
  <c r="H1317" i="12"/>
  <c r="M1317" i="1"/>
  <c r="O270" i="1"/>
  <c r="O993" i="1"/>
  <c r="O1329" i="1"/>
  <c r="D804" i="1"/>
  <c r="O959" i="1"/>
  <c r="D845" i="1"/>
  <c r="D168" i="1"/>
  <c r="O1594" i="1"/>
  <c r="O1020" i="1"/>
  <c r="M1599" i="1"/>
  <c r="H1599" i="12"/>
  <c r="O730" i="1"/>
  <c r="O382" i="1"/>
  <c r="O436" i="1"/>
  <c r="D724" i="1"/>
  <c r="D584" i="1"/>
  <c r="H154" i="12"/>
  <c r="M154" i="1"/>
  <c r="D748" i="1"/>
  <c r="D394" i="1"/>
  <c r="D1372" i="1"/>
  <c r="D1052" i="1"/>
  <c r="D624" i="1"/>
  <c r="D617" i="1"/>
  <c r="O299" i="1"/>
  <c r="O1475" i="1"/>
  <c r="M250" i="1"/>
  <c r="H250" i="12"/>
  <c r="D1203" i="1"/>
  <c r="D156" i="1"/>
  <c r="H187" i="12"/>
  <c r="M187" i="1"/>
  <c r="D26" i="1"/>
  <c r="M1156" i="1"/>
  <c r="H1156" i="12"/>
  <c r="O1094" i="1"/>
  <c r="O1144" i="1"/>
  <c r="M587" i="1"/>
  <c r="H587" i="12"/>
  <c r="D378" i="1"/>
  <c r="D36" i="1"/>
  <c r="H861" i="12"/>
  <c r="M861" i="1"/>
  <c r="M738" i="1"/>
  <c r="H738" i="12"/>
  <c r="M1078" i="1"/>
  <c r="H1078" i="12"/>
  <c r="O1585" i="1"/>
  <c r="O105" i="1"/>
  <c r="H1558" i="12"/>
  <c r="M1558" i="1"/>
  <c r="H940" i="12"/>
  <c r="M940" i="1"/>
  <c r="O271" i="1"/>
  <c r="B35" i="3"/>
  <c r="O848" i="1"/>
  <c r="D744" i="1"/>
  <c r="H467" i="12"/>
  <c r="M467" i="1"/>
  <c r="M1281" i="1"/>
  <c r="H1281" i="12"/>
  <c r="M993" i="1"/>
  <c r="H993" i="12"/>
  <c r="D944" i="1"/>
  <c r="D1332" i="1"/>
  <c r="H1586" i="12"/>
  <c r="M1586" i="1"/>
  <c r="H731" i="12"/>
  <c r="M731" i="1"/>
  <c r="H235" i="12"/>
  <c r="M235" i="1"/>
  <c r="O710" i="1"/>
  <c r="O693" i="1"/>
  <c r="H183" i="12"/>
  <c r="M183" i="1"/>
  <c r="M464" i="1"/>
  <c r="H464" i="12"/>
  <c r="H99" i="12"/>
  <c r="M99" i="1"/>
  <c r="M809" i="1"/>
  <c r="H809" i="12"/>
  <c r="M1070" i="1"/>
  <c r="H1070" i="12"/>
  <c r="M1494" i="1"/>
  <c r="H1494" i="12"/>
  <c r="M412" i="1"/>
  <c r="H412" i="12"/>
  <c r="M905" i="1"/>
  <c r="H905" i="12"/>
  <c r="H1165" i="12"/>
  <c r="M1165" i="1"/>
  <c r="H1403" i="12"/>
  <c r="M1403" i="1"/>
  <c r="D757" i="1"/>
  <c r="H152" i="12"/>
  <c r="M152" i="1"/>
  <c r="O179" i="1"/>
  <c r="D789" i="1"/>
  <c r="O968" i="1"/>
  <c r="H1672" i="12"/>
  <c r="M1672" i="1"/>
  <c r="O470" i="1"/>
  <c r="O970" i="1"/>
  <c r="O505" i="1"/>
  <c r="O1518" i="1"/>
  <c r="H847" i="12"/>
  <c r="M847" i="1"/>
  <c r="O620" i="1"/>
  <c r="D1091" i="1"/>
  <c r="O955" i="1"/>
  <c r="M1260" i="1"/>
  <c r="H1260" i="12"/>
  <c r="M62" i="1"/>
  <c r="H62" i="12"/>
  <c r="M295" i="1"/>
  <c r="H295" i="12"/>
  <c r="H425" i="12"/>
  <c r="M425" i="1"/>
  <c r="H286" i="12"/>
  <c r="M286" i="1"/>
  <c r="D1586" i="1"/>
  <c r="M211" i="1"/>
  <c r="H211" i="12"/>
  <c r="M1584" i="1"/>
  <c r="H1584" i="12"/>
  <c r="M1090" i="1"/>
  <c r="H1090" i="12"/>
  <c r="H396" i="12"/>
  <c r="M396" i="1"/>
  <c r="H1612" i="12"/>
  <c r="M1612" i="1"/>
  <c r="O241" i="1"/>
  <c r="O1463" i="1"/>
  <c r="D1198" i="1"/>
  <c r="O1371" i="1"/>
  <c r="O538" i="1"/>
  <c r="D60" i="1"/>
  <c r="M1353" i="1"/>
  <c r="H1353" i="12"/>
  <c r="D240" i="1"/>
  <c r="D755" i="1"/>
  <c r="D1598" i="1"/>
  <c r="O371" i="1"/>
  <c r="D1381" i="1"/>
  <c r="M765" i="1"/>
  <c r="H765" i="12"/>
  <c r="D129" i="1"/>
  <c r="O800" i="1"/>
  <c r="O720" i="1"/>
  <c r="D756" i="1"/>
  <c r="O1151" i="1"/>
  <c r="M249" i="1"/>
  <c r="H249" i="12"/>
  <c r="O441" i="1"/>
  <c r="D266" i="1"/>
  <c r="O860" i="1"/>
  <c r="O292" i="1"/>
  <c r="O1384" i="1"/>
  <c r="O961" i="1"/>
  <c r="O1142" i="1"/>
  <c r="D27" i="1"/>
  <c r="O1038" i="1"/>
  <c r="O1292" i="1"/>
  <c r="O1183" i="1"/>
  <c r="O1273" i="1"/>
  <c r="O302" i="1"/>
  <c r="H73" i="12"/>
  <c r="M73" i="1"/>
  <c r="O1092" i="1"/>
  <c r="M1492" i="1"/>
  <c r="H1492" i="12"/>
  <c r="D1243" i="1"/>
  <c r="O388" i="1"/>
  <c r="O974" i="1"/>
  <c r="D533" i="1"/>
  <c r="O1053" i="1"/>
  <c r="M1228" i="1"/>
  <c r="H1228" i="12"/>
  <c r="O897" i="1"/>
  <c r="H958" i="12"/>
  <c r="M958" i="1"/>
  <c r="D1202" i="1"/>
  <c r="C6" i="9"/>
  <c r="D2" i="1"/>
  <c r="P7" i="3"/>
  <c r="C5" i="9"/>
  <c r="D960" i="1"/>
  <c r="O1567" i="1"/>
  <c r="D575" i="1"/>
  <c r="D204" i="1"/>
  <c r="M221" i="1"/>
  <c r="H221" i="12"/>
  <c r="H640" i="12"/>
  <c r="M640" i="1"/>
  <c r="D248" i="1"/>
  <c r="D108" i="1"/>
  <c r="D44" i="1"/>
  <c r="O1353" i="1"/>
  <c r="M1062" i="1"/>
  <c r="H1062" i="12"/>
  <c r="H1253" i="12"/>
  <c r="M1253" i="1"/>
  <c r="D462" i="1"/>
  <c r="D1589" i="1"/>
  <c r="O713" i="1"/>
  <c r="O512" i="1"/>
  <c r="D1551" i="1"/>
  <c r="O1434" i="1"/>
  <c r="H751" i="12"/>
  <c r="M751" i="1"/>
  <c r="H1003" i="12"/>
  <c r="M1003" i="1"/>
  <c r="H39" i="12"/>
  <c r="M39" i="1"/>
  <c r="O514" i="1"/>
  <c r="O965" i="1"/>
  <c r="O1408" i="1"/>
  <c r="D1030" i="1"/>
  <c r="D1124" i="1"/>
  <c r="O215" i="1"/>
  <c r="M540" i="1"/>
  <c r="H540" i="12"/>
  <c r="M375" i="1"/>
  <c r="H375" i="12"/>
  <c r="O1030" i="1"/>
  <c r="D1156" i="1"/>
  <c r="O221" i="1"/>
  <c r="M544" i="1"/>
  <c r="H544" i="12"/>
  <c r="D1477" i="1"/>
  <c r="D1613" i="1"/>
  <c r="D89" i="1"/>
  <c r="O796" i="1"/>
  <c r="M1286" i="1"/>
  <c r="H1286" i="12"/>
  <c r="O944" i="1"/>
  <c r="M82" i="1"/>
  <c r="H82" i="12"/>
  <c r="O1231" i="1"/>
  <c r="D1468" i="1"/>
  <c r="D920" i="1"/>
  <c r="O411" i="1"/>
  <c r="H139" i="12"/>
  <c r="M139" i="1"/>
  <c r="M60" i="1"/>
  <c r="H60" i="12"/>
  <c r="O1445" i="1"/>
  <c r="M581" i="1"/>
  <c r="H581" i="12"/>
  <c r="O1621" i="1"/>
  <c r="H681" i="12"/>
  <c r="M681" i="1"/>
  <c r="D1434" i="1"/>
  <c r="D382" i="1"/>
  <c r="O762" i="1"/>
  <c r="D1336" i="1"/>
  <c r="H1018" i="12"/>
  <c r="M1018" i="1"/>
  <c r="D9" i="1"/>
  <c r="O242" i="1"/>
  <c r="D1292" i="1"/>
  <c r="O477" i="1"/>
  <c r="O694" i="1"/>
  <c r="O1256" i="1"/>
  <c r="M1414" i="1"/>
  <c r="H1414" i="12"/>
  <c r="D164" i="1"/>
  <c r="M1108" i="1"/>
  <c r="H1108" i="12"/>
  <c r="D955" i="1"/>
  <c r="D1216" i="1"/>
  <c r="O687" i="1"/>
  <c r="D427" i="1"/>
  <c r="M1333" i="1"/>
  <c r="H1333" i="12"/>
  <c r="H251" i="12"/>
  <c r="M251" i="1"/>
  <c r="M209" i="1"/>
  <c r="H209" i="12"/>
  <c r="D633" i="1"/>
  <c r="D20" i="1"/>
  <c r="O1424" i="1"/>
  <c r="D592" i="1"/>
  <c r="O1651" i="1"/>
  <c r="O1008" i="1"/>
  <c r="O113" i="1"/>
  <c r="H466" i="12"/>
  <c r="M466" i="1"/>
  <c r="D559" i="1"/>
  <c r="M1041" i="1"/>
  <c r="H1041" i="12"/>
  <c r="M548" i="1"/>
  <c r="H548" i="12"/>
  <c r="D698" i="1"/>
  <c r="D806" i="1"/>
  <c r="D1064" i="1"/>
  <c r="H124" i="12"/>
  <c r="M124" i="1"/>
  <c r="H109" i="12"/>
  <c r="M109" i="1"/>
  <c r="H1482" i="12"/>
  <c r="M1482" i="1"/>
  <c r="D543" i="1"/>
  <c r="M1549" i="1"/>
  <c r="H1549" i="12"/>
  <c r="D915" i="1"/>
  <c r="D787" i="1"/>
  <c r="O1064" i="1"/>
  <c r="M1060" i="1"/>
  <c r="H1060" i="12"/>
  <c r="H1626" i="12"/>
  <c r="M1626" i="1"/>
  <c r="H384" i="12"/>
  <c r="M384" i="1"/>
  <c r="M10" i="1"/>
  <c r="H10" i="12"/>
  <c r="O653" i="1"/>
  <c r="D1526" i="1"/>
  <c r="M260" i="1"/>
  <c r="H260" i="12"/>
  <c r="O361" i="1"/>
  <c r="O908" i="1"/>
  <c r="M1529" i="1"/>
  <c r="H1529" i="12"/>
  <c r="D1092" i="1"/>
  <c r="O991" i="1"/>
  <c r="D303" i="1"/>
  <c r="M1035" i="1"/>
  <c r="H1035" i="12"/>
  <c r="O1111" i="1"/>
  <c r="O145" i="1"/>
  <c r="B31" i="3"/>
  <c r="O890" i="1"/>
  <c r="D1190" i="1"/>
  <c r="D1582" i="1"/>
  <c r="D476" i="1"/>
  <c r="O1347" i="1"/>
  <c r="D1056" i="1"/>
  <c r="O691" i="1"/>
  <c r="D1039" i="1"/>
  <c r="O889" i="1"/>
  <c r="D384" i="1"/>
  <c r="O1582" i="1"/>
  <c r="O1521" i="1"/>
  <c r="D1255" i="1"/>
  <c r="D193" i="1"/>
  <c r="D1652" i="1"/>
  <c r="O42" i="1"/>
  <c r="O483" i="1"/>
  <c r="D1531" i="1"/>
  <c r="D149" i="1"/>
  <c r="D1631" i="1"/>
  <c r="D1657" i="1"/>
  <c r="O1281" i="1"/>
  <c r="D921" i="1"/>
  <c r="B17" i="3"/>
  <c r="D1225" i="1"/>
  <c r="O761" i="1"/>
  <c r="D1511" i="1"/>
  <c r="O884" i="1"/>
  <c r="D1171" i="1"/>
  <c r="O907" i="1"/>
  <c r="D1041" i="1"/>
  <c r="O17" i="1"/>
  <c r="D376" i="1"/>
  <c r="O553" i="1"/>
  <c r="D1320" i="1"/>
  <c r="D1085" i="1"/>
  <c r="O453" i="1"/>
  <c r="O1540" i="1"/>
  <c r="O298" i="1"/>
  <c r="D1519" i="1"/>
  <c r="D1539" i="1"/>
  <c r="D293" i="1"/>
  <c r="D534" i="1"/>
  <c r="O196" i="1"/>
  <c r="O755" i="1"/>
  <c r="B33" i="3"/>
  <c r="O7" i="1"/>
  <c r="D58" i="1"/>
  <c r="M1448" i="1"/>
  <c r="H1448" i="12"/>
  <c r="O1373" i="1"/>
  <c r="O171" i="1"/>
  <c r="B40" i="3"/>
  <c r="M639" i="1"/>
  <c r="H639" i="12"/>
  <c r="O973" i="1"/>
  <c r="D816" i="1"/>
  <c r="H1167" i="12"/>
  <c r="M1167" i="1"/>
  <c r="D947" i="1"/>
  <c r="D827" i="1"/>
  <c r="O1663" i="1"/>
  <c r="H516" i="12"/>
  <c r="M516" i="1"/>
  <c r="D924" i="1"/>
  <c r="D1140" i="1"/>
  <c r="D416" i="1"/>
  <c r="M1191" i="1"/>
  <c r="H1191" i="12"/>
  <c r="D410" i="1"/>
  <c r="M1046" i="1"/>
  <c r="H1046" i="12"/>
  <c r="D539" i="1"/>
  <c r="M380" i="1"/>
  <c r="H380" i="12"/>
  <c r="H1633" i="12"/>
  <c r="M1633" i="1"/>
  <c r="M229" i="1"/>
  <c r="H229" i="12"/>
  <c r="D812" i="1"/>
  <c r="D381" i="1"/>
  <c r="M1034" i="1"/>
  <c r="H1034" i="12"/>
  <c r="M1022" i="1"/>
  <c r="H1022" i="12"/>
  <c r="B30" i="3"/>
  <c r="O1147" i="1"/>
  <c r="O28" i="1"/>
  <c r="O917" i="1"/>
  <c r="O1149" i="1"/>
  <c r="H666" i="12"/>
  <c r="M666" i="1"/>
  <c r="D525" i="1"/>
  <c r="H1660" i="12"/>
  <c r="M1660" i="1"/>
  <c r="O1085" i="1"/>
  <c r="M1259" i="1"/>
  <c r="H1259" i="12"/>
  <c r="M436" i="1"/>
  <c r="H436" i="12"/>
  <c r="M693" i="1"/>
  <c r="H693" i="12"/>
  <c r="O1656" i="1"/>
  <c r="O256" i="1"/>
  <c r="M1231" i="1"/>
  <c r="H1231" i="12"/>
  <c r="H1212" i="12"/>
  <c r="M1212" i="1"/>
  <c r="O916" i="1"/>
  <c r="D847" i="1"/>
  <c r="O387" i="1"/>
  <c r="O845" i="1"/>
  <c r="O777" i="1"/>
  <c r="D953" i="1"/>
  <c r="O355" i="1"/>
  <c r="O1419" i="1"/>
  <c r="O940" i="1"/>
  <c r="H26" i="12"/>
  <c r="M26" i="1"/>
  <c r="O639" i="1"/>
  <c r="D1231" i="1"/>
  <c r="O1289" i="1"/>
  <c r="B12" i="3"/>
  <c r="M1338" i="1"/>
  <c r="H1338" i="12"/>
  <c r="D241" i="1"/>
  <c r="D496" i="1"/>
  <c r="O1330" i="1"/>
  <c r="D1607" i="1"/>
  <c r="M886" i="1"/>
  <c r="H886" i="12"/>
  <c r="O217" i="1"/>
  <c r="D819" i="1"/>
  <c r="H340" i="12"/>
  <c r="M340" i="1"/>
  <c r="O617" i="1"/>
  <c r="D1086" i="1"/>
  <c r="O409" i="1"/>
  <c r="O772" i="1"/>
  <c r="H398" i="12"/>
  <c r="M398" i="1"/>
  <c r="M1322" i="1"/>
  <c r="H1322" i="12"/>
  <c r="D1235" i="1"/>
  <c r="D733" i="1"/>
  <c r="M1075" i="1"/>
  <c r="H1075" i="12"/>
  <c r="D775" i="1"/>
  <c r="H15" i="12"/>
  <c r="M15" i="1"/>
  <c r="O367" i="1"/>
  <c r="M1451" i="1"/>
  <c r="H1451" i="12"/>
  <c r="D35" i="1"/>
  <c r="D520" i="1"/>
  <c r="D759" i="1"/>
  <c r="O417" i="1"/>
  <c r="D1015" i="1"/>
  <c r="D1358" i="1"/>
  <c r="D840" i="1"/>
  <c r="D212" i="1"/>
  <c r="D507" i="1"/>
  <c r="M585" i="1"/>
  <c r="H585" i="12"/>
  <c r="O176" i="1"/>
  <c r="O174" i="1"/>
  <c r="D443" i="1"/>
  <c r="O616" i="1"/>
  <c r="H281" i="12"/>
  <c r="M281" i="1"/>
  <c r="D1670" i="1"/>
  <c r="O603" i="1"/>
  <c r="D270" i="1"/>
  <c r="O1201" i="1"/>
  <c r="D120" i="1"/>
  <c r="D115" i="1"/>
  <c r="D948" i="1"/>
  <c r="D417" i="1"/>
  <c r="H1389" i="12"/>
  <c r="M1389" i="1"/>
  <c r="D1324" i="1"/>
  <c r="O124" i="1"/>
  <c r="O30" i="1"/>
  <c r="D1428" i="1"/>
  <c r="D969" i="1"/>
  <c r="H1469" i="12"/>
  <c r="M1469" i="1"/>
  <c r="O861" i="1"/>
  <c r="O864" i="1"/>
  <c r="M1627" i="1"/>
  <c r="H1627" i="12"/>
  <c r="D718" i="1"/>
  <c r="O725" i="1"/>
  <c r="D946" i="1"/>
  <c r="D1572" i="1"/>
  <c r="D1077" i="1"/>
  <c r="D1201" i="1"/>
  <c r="D996" i="1"/>
  <c r="M272" i="1"/>
  <c r="H272" i="12"/>
  <c r="M708" i="1"/>
  <c r="H708" i="12"/>
  <c r="M1057" i="1"/>
  <c r="H1057" i="12"/>
  <c r="H401" i="12"/>
  <c r="M401" i="1"/>
  <c r="O329" i="1"/>
  <c r="M3" i="1"/>
  <c r="D1326" i="1"/>
  <c r="H972" i="12"/>
  <c r="M972" i="1"/>
  <c r="O1423" i="1"/>
  <c r="D647" i="1"/>
  <c r="O794" i="1"/>
  <c r="D556" i="1"/>
  <c r="D255" i="1"/>
  <c r="O23" i="1"/>
  <c r="O983" i="1"/>
  <c r="O964" i="1"/>
  <c r="H647" i="12"/>
  <c r="M647" i="1"/>
  <c r="D345" i="1"/>
  <c r="D499" i="1"/>
  <c r="O303" i="1"/>
  <c r="D176" i="1"/>
  <c r="D880" i="1"/>
  <c r="D830" i="1"/>
  <c r="O413" i="1"/>
  <c r="D1377" i="1"/>
  <c r="D1544" i="1"/>
  <c r="M414" i="1"/>
  <c r="H414" i="12"/>
  <c r="O180" i="1"/>
  <c r="O977" i="1"/>
  <c r="D1071" i="1"/>
  <c r="O1114" i="1"/>
  <c r="O1444" i="1"/>
  <c r="D95" i="1"/>
  <c r="D1559" i="1"/>
  <c r="D1485" i="1"/>
  <c r="D1555" i="1"/>
  <c r="O696" i="1"/>
  <c r="O1437" i="1"/>
  <c r="O1076" i="1"/>
  <c r="O97" i="1"/>
  <c r="H364" i="12"/>
  <c r="M364" i="1"/>
  <c r="D653" i="1"/>
  <c r="D1192" i="1"/>
  <c r="D958" i="1"/>
  <c r="M1594" i="1"/>
  <c r="H1594" i="12"/>
  <c r="O573" i="1"/>
  <c r="D1103" i="1"/>
  <c r="M97" i="1"/>
  <c r="H97" i="12"/>
  <c r="O1446" i="1"/>
  <c r="O1637" i="1"/>
  <c r="M1014" i="1"/>
  <c r="H1014" i="12"/>
  <c r="M237" i="1"/>
  <c r="H237" i="12"/>
  <c r="D174" i="1"/>
  <c r="O1528" i="1"/>
  <c r="O1593" i="1"/>
  <c r="D72" i="1"/>
  <c r="O1394" i="1"/>
  <c r="O227" i="1"/>
  <c r="O1181" i="1"/>
  <c r="D1322" i="1"/>
  <c r="H1514" i="12"/>
  <c r="M1514" i="1"/>
  <c r="M1527" i="1"/>
  <c r="H1527" i="12"/>
  <c r="O1509" i="1"/>
  <c r="O503" i="1"/>
  <c r="O750" i="1"/>
  <c r="O933" i="1"/>
  <c r="O1436" i="1"/>
  <c r="M335" i="1"/>
  <c r="H335" i="12"/>
  <c r="D65" i="1"/>
  <c r="O435" i="1"/>
  <c r="O1336" i="1"/>
  <c r="O773" i="1"/>
  <c r="M1347" i="1"/>
  <c r="H1347" i="12"/>
  <c r="M144" i="1"/>
  <c r="H144" i="12"/>
  <c r="O1126" i="1"/>
  <c r="O459" i="1"/>
  <c r="O465" i="1"/>
  <c r="D1007" i="1"/>
  <c r="H1027" i="12"/>
  <c r="M1027" i="1"/>
  <c r="O707" i="1"/>
  <c r="D254" i="1"/>
  <c r="D850" i="1"/>
  <c r="O1543" i="1"/>
  <c r="D1240" i="1"/>
  <c r="O1311" i="1"/>
  <c r="O834" i="1"/>
  <c r="O58" i="1"/>
  <c r="B29" i="3"/>
  <c r="M86" i="1"/>
  <c r="H86" i="12"/>
  <c r="H269" i="12"/>
  <c r="M269" i="1"/>
  <c r="O554" i="1"/>
  <c r="H1645" i="12"/>
  <c r="M1645" i="1"/>
  <c r="O1670" i="1"/>
  <c r="D1312" i="1"/>
  <c r="D55" i="1"/>
  <c r="O346" i="1"/>
  <c r="H1152" i="12"/>
  <c r="M1152" i="1"/>
  <c r="M759" i="1"/>
  <c r="H759" i="12"/>
  <c r="H868" i="12"/>
  <c r="M868" i="1"/>
  <c r="O1376" i="1"/>
  <c r="D957" i="1"/>
  <c r="D634" i="1"/>
  <c r="M1440" i="1"/>
  <c r="H1440" i="12"/>
  <c r="O1095" i="1"/>
  <c r="H1182" i="12"/>
  <c r="M1182" i="1"/>
  <c r="H1432" i="12"/>
  <c r="M1432" i="1"/>
  <c r="M1088" i="1"/>
  <c r="H1088" i="12"/>
  <c r="M1640" i="1"/>
  <c r="H1640" i="12"/>
  <c r="M1521" i="1"/>
  <c r="H1521" i="12"/>
  <c r="O16" i="1"/>
  <c r="D1132" i="1"/>
  <c r="D791" i="1"/>
  <c r="D1040" i="1"/>
  <c r="M755" i="1"/>
  <c r="H755" i="12"/>
  <c r="H1501" i="12"/>
  <c r="M1501" i="1"/>
  <c r="H303" i="12"/>
  <c r="M303" i="1"/>
  <c r="O261" i="1"/>
  <c r="H1652" i="12"/>
  <c r="M1652" i="1"/>
  <c r="D1200" i="1"/>
  <c r="O1666" i="1"/>
  <c r="B14" i="3"/>
  <c r="D1622" i="1"/>
  <c r="O1319" i="1"/>
  <c r="M1379" i="1"/>
  <c r="H1379" i="12"/>
  <c r="D171" i="1"/>
  <c r="M1319" i="1"/>
  <c r="H1319" i="12"/>
  <c r="O1606" i="1"/>
  <c r="O1044" i="1"/>
  <c r="D45" i="1"/>
  <c r="H623" i="12"/>
  <c r="M623" i="1"/>
  <c r="H297" i="12"/>
  <c r="M297" i="1"/>
  <c r="H88" i="12"/>
  <c r="M88" i="1"/>
  <c r="D260" i="1"/>
  <c r="D1360" i="1"/>
  <c r="M918" i="1"/>
  <c r="H918" i="12"/>
  <c r="O1662" i="1"/>
  <c r="D820" i="1"/>
  <c r="D909" i="1"/>
  <c r="M1313" i="1"/>
  <c r="H1313" i="12"/>
  <c r="D275" i="1"/>
  <c r="D364" i="1"/>
  <c r="O1485" i="1"/>
  <c r="H1421" i="12"/>
  <c r="M1421" i="1"/>
  <c r="O1390" i="1"/>
  <c r="H1566" i="12"/>
  <c r="M1566" i="1"/>
  <c r="D570" i="1"/>
  <c r="H1507" i="12"/>
  <c r="M1507" i="1"/>
  <c r="H1597" i="12"/>
  <c r="M1597" i="1"/>
  <c r="D82" i="1"/>
  <c r="O1252" i="1"/>
  <c r="D268" i="1"/>
  <c r="O1338" i="1"/>
  <c r="O911" i="1"/>
  <c r="O885" i="1"/>
  <c r="M1618" i="1"/>
  <c r="H1618" i="12"/>
  <c r="H597" i="12"/>
  <c r="M597" i="1"/>
  <c r="D1599" i="1"/>
  <c r="D1207" i="1"/>
  <c r="O20" i="1"/>
  <c r="O4" i="1"/>
  <c r="D1093" i="1"/>
  <c r="O1015" i="1"/>
  <c r="O62" i="1"/>
  <c r="O1454" i="1"/>
  <c r="M1649" i="1"/>
  <c r="H1649" i="12"/>
  <c r="M949" i="1"/>
  <c r="H949" i="12"/>
  <c r="D650" i="1"/>
  <c r="O744" i="1"/>
  <c r="O126" i="1"/>
  <c r="H1002" i="12"/>
  <c r="M1002" i="1"/>
  <c r="D362" i="1"/>
  <c r="D86" i="1"/>
  <c r="O1573" i="1"/>
  <c r="H1157" i="12"/>
  <c r="M1157" i="1"/>
  <c r="O1036" i="1"/>
  <c r="O766" i="1"/>
  <c r="D1098" i="1"/>
  <c r="M465" i="1"/>
  <c r="H465" i="12"/>
  <c r="O815" i="1"/>
  <c r="B52" i="3"/>
  <c r="O630" i="1"/>
  <c r="D864" i="1"/>
  <c r="O111" i="1"/>
  <c r="O824" i="1"/>
  <c r="O339" i="1"/>
  <c r="H1232" i="12"/>
  <c r="M1232" i="1"/>
  <c r="H361" i="12"/>
  <c r="M361" i="1"/>
  <c r="O102" i="1"/>
  <c r="O1413" i="1"/>
  <c r="D236" i="1"/>
  <c r="D53" i="1"/>
  <c r="M1110" i="1"/>
  <c r="H1110" i="12"/>
  <c r="D536" i="1"/>
  <c r="M488" i="1"/>
  <c r="H488" i="12"/>
  <c r="D1288" i="1"/>
  <c r="O1488" i="1"/>
  <c r="O307" i="1"/>
  <c r="M453" i="1"/>
  <c r="H453" i="12"/>
  <c r="D1474" i="1"/>
  <c r="O1307" i="1"/>
  <c r="D181" i="1"/>
  <c r="D321" i="1"/>
  <c r="O1248" i="1"/>
  <c r="D800" i="1"/>
  <c r="D740" i="1"/>
  <c r="O1161" i="1"/>
  <c r="D1503" i="1"/>
  <c r="D1560" i="1"/>
  <c r="O211" i="1"/>
  <c r="D79" i="1"/>
  <c r="D639" i="1"/>
  <c r="M1551" i="1"/>
  <c r="H1551" i="12"/>
  <c r="O1270" i="1"/>
  <c r="D471" i="1"/>
  <c r="H35" i="12"/>
  <c r="M35" i="1"/>
  <c r="D585" i="1"/>
  <c r="O878" i="1"/>
  <c r="M814" i="1"/>
  <c r="H814" i="12"/>
  <c r="M525" i="1"/>
  <c r="H525" i="12"/>
  <c r="D227" i="1"/>
  <c r="O289" i="1"/>
  <c r="M823" i="1"/>
  <c r="H823" i="12"/>
  <c r="O389" i="1"/>
  <c r="M1361" i="1"/>
  <c r="H1361" i="12"/>
  <c r="D1625" i="1"/>
  <c r="O989" i="1"/>
  <c r="H906" i="12"/>
  <c r="M906" i="1"/>
  <c r="D1112" i="1"/>
  <c r="H655" i="12"/>
  <c r="M655" i="1"/>
  <c r="D1591" i="1"/>
  <c r="O1611" i="1"/>
  <c r="O1433" i="1"/>
  <c r="D1217" i="1"/>
  <c r="O343" i="1"/>
  <c r="O891" i="1"/>
  <c r="O15" i="1"/>
  <c r="O478" i="1"/>
  <c r="M1127" i="1"/>
  <c r="H1127" i="12"/>
  <c r="H1608" i="12"/>
  <c r="M1608" i="1"/>
  <c r="O68" i="1"/>
  <c r="O1198" i="1"/>
  <c r="O1616" i="1"/>
  <c r="D397" i="1"/>
  <c r="M804" i="1"/>
  <c r="H804" i="12"/>
  <c r="O75" i="1"/>
  <c r="D772" i="1"/>
  <c r="O482" i="1"/>
  <c r="B19" i="3"/>
  <c r="D971" i="1"/>
  <c r="D671" i="1"/>
  <c r="D187" i="1"/>
  <c r="O1320" i="1"/>
  <c r="M1225" i="1"/>
  <c r="H1225" i="12"/>
  <c r="H264" i="12"/>
  <c r="M264" i="1"/>
  <c r="O1561" i="1"/>
  <c r="H1230" i="12"/>
  <c r="M1230" i="1"/>
  <c r="O487" i="1"/>
  <c r="O1588" i="1"/>
  <c r="H1622" i="12"/>
  <c r="M1622" i="1"/>
  <c r="H140" i="12"/>
  <c r="M140" i="1"/>
  <c r="H1388" i="12"/>
  <c r="M1388" i="1"/>
  <c r="O888" i="1"/>
  <c r="M497" i="1"/>
  <c r="H497" i="12"/>
  <c r="D429" i="1"/>
  <c r="O1640" i="1"/>
  <c r="D1001" i="1"/>
  <c r="O452" i="1"/>
  <c r="H1571" i="12"/>
  <c r="M1571" i="1"/>
  <c r="O1555" i="1"/>
  <c r="H1398" i="12"/>
  <c r="M1398" i="1"/>
  <c r="M1556" i="1"/>
  <c r="H1556" i="12"/>
  <c r="H428" i="12"/>
  <c r="M428" i="1"/>
  <c r="O173" i="1"/>
  <c r="D1130" i="1"/>
  <c r="D76" i="1"/>
  <c r="O769" i="1"/>
  <c r="M1210" i="1"/>
  <c r="H1210" i="12"/>
  <c r="O1254" i="1"/>
  <c r="D279" i="1"/>
  <c r="M779" i="1"/>
  <c r="H779" i="12"/>
  <c r="O49" i="1"/>
  <c r="D573" i="1"/>
  <c r="D870" i="1"/>
  <c r="H1522" i="12"/>
  <c r="M1522" i="1"/>
  <c r="O668" i="1"/>
  <c r="O1022" i="1"/>
  <c r="H818" i="12"/>
  <c r="M818" i="1"/>
  <c r="O423" i="1"/>
  <c r="O276" i="1"/>
  <c r="O1117" i="1"/>
  <c r="O1088" i="1"/>
  <c r="M504" i="1"/>
  <c r="H504" i="12"/>
  <c r="M602" i="1"/>
  <c r="H602" i="12"/>
  <c r="D976" i="1"/>
  <c r="M746" i="1"/>
  <c r="H746" i="12"/>
  <c r="O488" i="1"/>
  <c r="D593" i="1"/>
  <c r="D1542" i="1"/>
  <c r="D1498" i="1"/>
  <c r="H842" i="12"/>
  <c r="M842" i="1"/>
  <c r="H69" i="12"/>
  <c r="M69" i="1"/>
  <c r="D6" i="1"/>
  <c r="H1146" i="12"/>
  <c r="M1146" i="1"/>
  <c r="M1671" i="1"/>
  <c r="H1671" i="12"/>
  <c r="D1363" i="1"/>
  <c r="M1173" i="1"/>
  <c r="H1173" i="12"/>
  <c r="H441" i="12"/>
  <c r="M441" i="1"/>
  <c r="D1345" i="1"/>
  <c r="H126" i="12"/>
  <c r="M126" i="1"/>
  <c r="O872" i="1"/>
  <c r="M1460" i="1"/>
  <c r="H1460" i="12"/>
  <c r="O1368" i="1"/>
  <c r="O1626" i="1"/>
  <c r="M1330" i="1"/>
  <c r="H1330" i="12"/>
  <c r="O1018" i="1"/>
  <c r="D1433" i="1"/>
  <c r="M1296" i="1"/>
  <c r="H1296" i="12"/>
  <c r="O255" i="1"/>
  <c r="B11" i="3"/>
  <c r="O1422" i="1"/>
  <c r="O46" i="1"/>
  <c r="D667" i="1"/>
  <c r="D239" i="1"/>
  <c r="O145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BCEF5AA-51D4-C245-9727-E00AB1D424A8}" name="high_popularity_spotify_data1" type="6" refreshedVersion="8" background="1" saveData="1">
    <textPr sourceFile="/Users/santiagoflorin/Downloads/archive/high_popularity_spotify_data.csv" decimal="," thousands="." comma="1">
      <textFields count="29">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s>
</file>

<file path=xl/sharedStrings.xml><?xml version="1.0" encoding="utf-8"?>
<sst xmlns="http://schemas.openxmlformats.org/spreadsheetml/2006/main" count="41935" uniqueCount="13319">
  <si>
    <t>energy</t>
  </si>
  <si>
    <t>tempo</t>
  </si>
  <si>
    <t>danceability</t>
  </si>
  <si>
    <t>playlist_genre</t>
  </si>
  <si>
    <t>loudness</t>
  </si>
  <si>
    <t>liveness</t>
  </si>
  <si>
    <t>valence</t>
  </si>
  <si>
    <t>track_artist</t>
  </si>
  <si>
    <t>time_signature</t>
  </si>
  <si>
    <t>speechiness</t>
  </si>
  <si>
    <t>track_popularity</t>
  </si>
  <si>
    <t>track_href</t>
  </si>
  <si>
    <t>uri</t>
  </si>
  <si>
    <t>track_album_name</t>
  </si>
  <si>
    <t>playlist_name</t>
  </si>
  <si>
    <t>analysis_url</t>
  </si>
  <si>
    <t>track_id</t>
  </si>
  <si>
    <t>track_name</t>
  </si>
  <si>
    <t>track_album_release_date</t>
  </si>
  <si>
    <t>instrumentalness</t>
  </si>
  <si>
    <t>track_album_id</t>
  </si>
  <si>
    <t>mode</t>
  </si>
  <si>
    <t>key</t>
  </si>
  <si>
    <t>duration_ms</t>
  </si>
  <si>
    <t>acousticness</t>
  </si>
  <si>
    <t>id</t>
  </si>
  <si>
    <t>playlist_subgenre</t>
  </si>
  <si>
    <t>type</t>
  </si>
  <si>
    <t>playlist_id</t>
  </si>
  <si>
    <t>0.592</t>
  </si>
  <si>
    <t>0.521</t>
  </si>
  <si>
    <t>pop</t>
  </si>
  <si>
    <t>0.122</t>
  </si>
  <si>
    <t>0.535</t>
  </si>
  <si>
    <t>Lady Gaga, Bruno Mars</t>
  </si>
  <si>
    <t>0.0304</t>
  </si>
  <si>
    <t>https://api.spotify.com/v1/tracks/2plbrEY59IikOBgBGLjaoe</t>
  </si>
  <si>
    <t>spotify:track:2plbrEY59IikOBgBGLjaoe</t>
  </si>
  <si>
    <t>Die With A Smile</t>
  </si>
  <si>
    <t>Today's Top Hits</t>
  </si>
  <si>
    <t>https://api.spotify.com/v1/audio-analysis/2plbrEY59IikOBgBGLjaoe</t>
  </si>
  <si>
    <t>2plbrEY59IikOBgBGLjaoe</t>
  </si>
  <si>
    <t>10FLjwfpbxLmW8c25Xyc2N</t>
  </si>
  <si>
    <t>0.308</t>
  </si>
  <si>
    <t>mainstream</t>
  </si>
  <si>
    <t>audio_features</t>
  </si>
  <si>
    <t>37i9dQZF1DXcBWIGoYBM5M</t>
  </si>
  <si>
    <t>0.507</t>
  </si>
  <si>
    <t>0.747</t>
  </si>
  <si>
    <t>0.117</t>
  </si>
  <si>
    <t>0.438</t>
  </si>
  <si>
    <t>Billie Eilish</t>
  </si>
  <si>
    <t>0.0358</t>
  </si>
  <si>
    <t>https://api.spotify.com/v1/tracks/6dOtVTDdiauQNBQEDOtlAB</t>
  </si>
  <si>
    <t>spotify:track:6dOtVTDdiauQNBQEDOtlAB</t>
  </si>
  <si>
    <t>HIT ME HARD AND SOFT</t>
  </si>
  <si>
    <t>https://api.spotify.com/v1/audio-analysis/6dOtVTDdiauQNBQEDOtlAB</t>
  </si>
  <si>
    <t>6dOtVTDdiauQNBQEDOtlAB</t>
  </si>
  <si>
    <t>BIRDS OF A FEATHER</t>
  </si>
  <si>
    <t>0.0608</t>
  </si>
  <si>
    <t>7aJuG4TFXa2hmE4z1yxc3n</t>
  </si>
  <si>
    <t>0.2</t>
  </si>
  <si>
    <t>0.808</t>
  </si>
  <si>
    <t>0.554</t>
  </si>
  <si>
    <t>0.159</t>
  </si>
  <si>
    <t>0.372</t>
  </si>
  <si>
    <t>Gracie Abrams</t>
  </si>
  <si>
    <t>0.0368</t>
  </si>
  <si>
    <t>https://api.spotify.com/v1/tracks/7ne4VBA60CxGM75vw0EYad</t>
  </si>
  <si>
    <t>spotify:track:7ne4VBA60CxGM75vw0EYad</t>
  </si>
  <si>
    <t>The Secret of Us (Deluxe)</t>
  </si>
  <si>
    <t>https://api.spotify.com/v1/audio-analysis/7ne4VBA60CxGM75vw0EYad</t>
  </si>
  <si>
    <t>7ne4VBA60CxGM75vw0EYad</t>
  </si>
  <si>
    <t>That‚Äôs So True</t>
  </si>
  <si>
    <t>0hBRqPYPXhr1RkTDG3n4Mk</t>
  </si>
  <si>
    <t>0.214</t>
  </si>
  <si>
    <t>0.91</t>
  </si>
  <si>
    <t>0.67</t>
  </si>
  <si>
    <t>-4.07</t>
  </si>
  <si>
    <t>0.304</t>
  </si>
  <si>
    <t>0.786</t>
  </si>
  <si>
    <t>Sabrina Carpenter</t>
  </si>
  <si>
    <t>0.0634</t>
  </si>
  <si>
    <t>https://api.spotify.com/v1/tracks/1d7Ptw3qYcfpdLNL5REhtJ</t>
  </si>
  <si>
    <t>spotify:track:1d7Ptw3qYcfpdLNL5REhtJ</t>
  </si>
  <si>
    <t>Short n' Sweet</t>
  </si>
  <si>
    <t>https://api.spotify.com/v1/audio-analysis/1d7Ptw3qYcfpdLNL5REhtJ</t>
  </si>
  <si>
    <t>1d7Ptw3qYcfpdLNL5REhtJ</t>
  </si>
  <si>
    <t>Taste</t>
  </si>
  <si>
    <t>4B4Elma4nNDUyl6D5PvQkj</t>
  </si>
  <si>
    <t>0.0939</t>
  </si>
  <si>
    <t>0.783</t>
  </si>
  <si>
    <t>0.777</t>
  </si>
  <si>
    <t>0.355</t>
  </si>
  <si>
    <t>0.939</t>
  </si>
  <si>
    <t>ROS√â, Bruno Mars</t>
  </si>
  <si>
    <t>0.26</t>
  </si>
  <si>
    <t>https://api.spotify.com/v1/tracks/5vNRhkKd0yEAg8suGBpjeY</t>
  </si>
  <si>
    <t>spotify:track:5vNRhkKd0yEAg8suGBpjeY</t>
  </si>
  <si>
    <t>APT.</t>
  </si>
  <si>
    <t>https://api.spotify.com/v1/audio-analysis/5vNRhkKd0yEAg8suGBpjeY</t>
  </si>
  <si>
    <t>5vNRhkKd0yEAg8suGBpjeY</t>
  </si>
  <si>
    <t>2IYQwwgxgOIn7t3iF6ufFD</t>
  </si>
  <si>
    <t>0.0283</t>
  </si>
  <si>
    <t>0.582</t>
  </si>
  <si>
    <t>0.7</t>
  </si>
  <si>
    <t>-5.96</t>
  </si>
  <si>
    <t>0.0881</t>
  </si>
  <si>
    <t>0.785</t>
  </si>
  <si>
    <t>Chappell Roan</t>
  </si>
  <si>
    <t>0.0356</t>
  </si>
  <si>
    <t>https://api.spotify.com/v1/tracks/0WbMK4wrZ1wFSty9F7FCgu</t>
  </si>
  <si>
    <t>spotify:track:0WbMK4wrZ1wFSty9F7FCgu</t>
  </si>
  <si>
    <t>Good Luck, Babe!</t>
  </si>
  <si>
    <t>https://api.spotify.com/v1/audio-analysis/0WbMK4wrZ1wFSty9F7FCgu</t>
  </si>
  <si>
    <t>0WbMK4wrZ1wFSty9F7FCgu</t>
  </si>
  <si>
    <t>1WAjjRMfZjEXtB0lQrAw6Q</t>
  </si>
  <si>
    <t>0.0502</t>
  </si>
  <si>
    <t>0.561</t>
  </si>
  <si>
    <t>0.669</t>
  </si>
  <si>
    <t>0.0954</t>
  </si>
  <si>
    <t>0.841</t>
  </si>
  <si>
    <t>Addison Rae</t>
  </si>
  <si>
    <t>0.0411</t>
  </si>
  <si>
    <t>https://api.spotify.com/v1/tracks/6MzofobZt2dm0Kf1hTThFz</t>
  </si>
  <si>
    <t>spotify:track:6MzofobZt2dm0Kf1hTThFz</t>
  </si>
  <si>
    <t>Diet Pepsi</t>
  </si>
  <si>
    <t>https://api.spotify.com/v1/audio-analysis/6MzofobZt2dm0Kf1hTThFz</t>
  </si>
  <si>
    <t>6MzofobZt2dm0Kf1hTThFz</t>
  </si>
  <si>
    <t>0.00962</t>
  </si>
  <si>
    <t>0XA403JTounqFh2owquBXu</t>
  </si>
  <si>
    <t>0.495</t>
  </si>
  <si>
    <t>0.247</t>
  </si>
  <si>
    <t>0.467</t>
  </si>
  <si>
    <t>0.17</t>
  </si>
  <si>
    <t>0.126</t>
  </si>
  <si>
    <t>0.0431</t>
  </si>
  <si>
    <t>https://api.spotify.com/v1/tracks/3QaPy1KgI7nu9FJEQUgn6h</t>
  </si>
  <si>
    <t>spotify:track:3QaPy1KgI7nu9FJEQUgn6h</t>
  </si>
  <si>
    <t>https://api.spotify.com/v1/audio-analysis/3QaPy1KgI7nu9FJEQUgn6h</t>
  </si>
  <si>
    <t>3QaPy1KgI7nu9FJEQUgn6h</t>
  </si>
  <si>
    <t>WILDFLOWER</t>
  </si>
  <si>
    <t>0.000271</t>
  </si>
  <si>
    <t>0.612</t>
  </si>
  <si>
    <t>0.416</t>
  </si>
  <si>
    <t>0.492</t>
  </si>
  <si>
    <t>0.203</t>
  </si>
  <si>
    <t>0.297</t>
  </si>
  <si>
    <t>Gigi Perez</t>
  </si>
  <si>
    <t>0.0254</t>
  </si>
  <si>
    <t>https://api.spotify.com/v1/tracks/0UYnhUfnUj5adChuAXvLUB</t>
  </si>
  <si>
    <t>spotify:track:0UYnhUfnUj5adChuAXvLUB</t>
  </si>
  <si>
    <t>Sailor Song</t>
  </si>
  <si>
    <t>https://api.spotify.com/v1/audio-analysis/0UYnhUfnUj5adChuAXvLUB</t>
  </si>
  <si>
    <t>0UYnhUfnUj5adChuAXvLUB</t>
  </si>
  <si>
    <t>8.61e-05</t>
  </si>
  <si>
    <t>4DWrYvfGXRE8ko5ZxlIpit</t>
  </si>
  <si>
    <t>0.686</t>
  </si>
  <si>
    <t>0.722</t>
  </si>
  <si>
    <t>0.769</t>
  </si>
  <si>
    <t>0.111</t>
  </si>
  <si>
    <t>0.57</t>
  </si>
  <si>
    <t>The Weeknd, Playboi Carti</t>
  </si>
  <si>
    <t>0.0507</t>
  </si>
  <si>
    <t>https://api.spotify.com/v1/tracks/1Es7AUAhQvapIcoh3qMKDL</t>
  </si>
  <si>
    <t>spotify:track:1Es7AUAhQvapIcoh3qMKDL</t>
  </si>
  <si>
    <t>Timeless</t>
  </si>
  <si>
    <t>https://api.spotify.com/v1/audio-analysis/1Es7AUAhQvapIcoh3qMKDL</t>
  </si>
  <si>
    <t>1Es7AUAhQvapIcoh3qMKDL</t>
  </si>
  <si>
    <t>Timeless (with Playboi Carti)</t>
  </si>
  <si>
    <t>2.56e-06</t>
  </si>
  <si>
    <t>2IRxVVqbSbqHJo8Zx50LYn</t>
  </si>
  <si>
    <t>0.0584</t>
  </si>
  <si>
    <t>0.667</t>
  </si>
  <si>
    <t>0.776</t>
  </si>
  <si>
    <t>0.0761</t>
  </si>
  <si>
    <t>0.618</t>
  </si>
  <si>
    <t>Charli xcx, Billie Eilish</t>
  </si>
  <si>
    <t>0.0983</t>
  </si>
  <si>
    <t>https://api.spotify.com/v1/tracks/3WOhcATHxK2SLNeP5W3v1v</t>
  </si>
  <si>
    <t>spotify:track:3WOhcATHxK2SLNeP5W3v1v</t>
  </si>
  <si>
    <t>Guess featuring Billie Eilish</t>
  </si>
  <si>
    <t>https://api.spotify.com/v1/audio-analysis/3WOhcATHxK2SLNeP5W3v1v</t>
  </si>
  <si>
    <t>3WOhcATHxK2SLNeP5W3v1v</t>
  </si>
  <si>
    <t>Guess featuring billie eilish</t>
  </si>
  <si>
    <t>0.3</t>
  </si>
  <si>
    <t>3ThlxfLSy4bfKzxWqmC7VN</t>
  </si>
  <si>
    <t>0.0146</t>
  </si>
  <si>
    <t>0.586</t>
  </si>
  <si>
    <t>0.104</t>
  </si>
  <si>
    <t>0.579</t>
  </si>
  <si>
    <t>0.054</t>
  </si>
  <si>
    <t>https://api.spotify.com/v1/tracks/5N3hjp1WNayUPZrA8kJmJP</t>
  </si>
  <si>
    <t>spotify:track:5N3hjp1WNayUPZrA8kJmJP</t>
  </si>
  <si>
    <t>Please Please Please</t>
  </si>
  <si>
    <t>https://api.spotify.com/v1/audio-analysis/5N3hjp1WNayUPZrA8kJmJP</t>
  </si>
  <si>
    <t>5N3hjp1WNayUPZrA8kJmJP</t>
  </si>
  <si>
    <t>5bBaoign62r1i7OV8w7mi9</t>
  </si>
  <si>
    <t>0.274</t>
  </si>
  <si>
    <t>0.806</t>
  </si>
  <si>
    <t>0.608</t>
  </si>
  <si>
    <t>0.191</t>
  </si>
  <si>
    <t>0.587</t>
  </si>
  <si>
    <t>Tate McRae</t>
  </si>
  <si>
    <t>0.0486</t>
  </si>
  <si>
    <t>https://api.spotify.com/v1/tracks/1f18HzFpegqvH4ibGJyeMJ</t>
  </si>
  <si>
    <t>spotify:track:1f18HzFpegqvH4ibGJyeMJ</t>
  </si>
  <si>
    <t>2 hands</t>
  </si>
  <si>
    <t>https://api.spotify.com/v1/audio-analysis/1f18HzFpegqvH4ibGJyeMJ</t>
  </si>
  <si>
    <t>1f18HzFpegqvH4ibGJyeMJ</t>
  </si>
  <si>
    <t>2BdJwrx2wMJi7x06wWkUFg</t>
  </si>
  <si>
    <t>0.121</t>
  </si>
  <si>
    <t>0.709</t>
  </si>
  <si>
    <t>-4.95</t>
  </si>
  <si>
    <t>0.0804</t>
  </si>
  <si>
    <t>0.604</t>
  </si>
  <si>
    <t>Shaboozey</t>
  </si>
  <si>
    <t>0.0273</t>
  </si>
  <si>
    <t>https://api.spotify.com/v1/tracks/2FQrifJ1N335Ljm3TjTVVf</t>
  </si>
  <si>
    <t>spotify:track:2FQrifJ1N335Ljm3TjTVVf</t>
  </si>
  <si>
    <t>A Bar Song (Tipsy)</t>
  </si>
  <si>
    <t>https://api.spotify.com/v1/audio-analysis/2FQrifJ1N335Ljm3TjTVVf</t>
  </si>
  <si>
    <t>2FQrifJ1N335Ljm3TjTVVf</t>
  </si>
  <si>
    <t>6egBeCLeGITzGSo5VyRjwZ</t>
  </si>
  <si>
    <t>0.0633</t>
  </si>
  <si>
    <t>0.757</t>
  </si>
  <si>
    <t>0.742</t>
  </si>
  <si>
    <t>0.305</t>
  </si>
  <si>
    <t>0.957</t>
  </si>
  <si>
    <t>0.0421</t>
  </si>
  <si>
    <t>https://api.spotify.com/v1/tracks/4xdBrk0nFZaP54vvZj0yx7</t>
  </si>
  <si>
    <t>spotify:track:4xdBrk0nFZaP54vvZj0yx7</t>
  </si>
  <si>
    <t>The Rise and Fall of a Midwest Princess</t>
  </si>
  <si>
    <t>https://api.spotify.com/v1/audio-analysis/4xdBrk0nFZaP54vvZj0yx7</t>
  </si>
  <si>
    <t>4xdBrk0nFZaP54vvZj0yx7</t>
  </si>
  <si>
    <t>HOT TO GO!</t>
  </si>
  <si>
    <t>0EiI8ylL0FmWWpgHVTsZjZ</t>
  </si>
  <si>
    <t>0.0187</t>
  </si>
  <si>
    <t>0.917</t>
  </si>
  <si>
    <t>0.562</t>
  </si>
  <si>
    <t>0.488</t>
  </si>
  <si>
    <t>0.501</t>
  </si>
  <si>
    <t>Lady Gaga</t>
  </si>
  <si>
    <t>https://api.spotify.com/v1/tracks/19KlZwqlT3fguP2BeHF1Q1</t>
  </si>
  <si>
    <t>spotify:track:19KlZwqlT3fguP2BeHF1Q1</t>
  </si>
  <si>
    <t>Disease</t>
  </si>
  <si>
    <t>https://api.spotify.com/v1/audio-analysis/19KlZwqlT3fguP2BeHF1Q1</t>
  </si>
  <si>
    <t>19KlZwqlT3fguP2BeHF1Q1</t>
  </si>
  <si>
    <t>52BWvTRMsPqjHzrbQomgwP</t>
  </si>
  <si>
    <t>0.0513</t>
  </si>
  <si>
    <t>0.787</t>
  </si>
  <si>
    <t>0.734</t>
  </si>
  <si>
    <t>0.312</t>
  </si>
  <si>
    <t>0.672</t>
  </si>
  <si>
    <t>LISA</t>
  </si>
  <si>
    <t>0.116</t>
  </si>
  <si>
    <t>https://api.spotify.com/v1/tracks/5G345YEhvleYxQLfYUlEFv</t>
  </si>
  <si>
    <t>spotify:track:5G345YEhvleYxQLfYUlEFv</t>
  </si>
  <si>
    <t>Moonlit Floor (Kiss Me)</t>
  </si>
  <si>
    <t>https://api.spotify.com/v1/audio-analysis/5G345YEhvleYxQLfYUlEFv</t>
  </si>
  <si>
    <t>5G345YEhvleYxQLfYUlEFv</t>
  </si>
  <si>
    <t>1OGxb1Z5KDBVOwDtyKu8wz</t>
  </si>
  <si>
    <t>0.843</t>
  </si>
  <si>
    <t>0.619</t>
  </si>
  <si>
    <t>0.164</t>
  </si>
  <si>
    <t>0.746</t>
  </si>
  <si>
    <t>Morgan Wallen</t>
  </si>
  <si>
    <t>0.0284</t>
  </si>
  <si>
    <t>https://api.spotify.com/v1/tracks/7hR22TOX3RorxJPcsz5Wbo</t>
  </si>
  <si>
    <t>spotify:track:7hR22TOX3RorxJPcsz5Wbo</t>
  </si>
  <si>
    <t>Love Somebody</t>
  </si>
  <si>
    <t>https://api.spotify.com/v1/audio-analysis/7hR22TOX3RorxJPcsz5Wbo</t>
  </si>
  <si>
    <t>7hR22TOX3RorxJPcsz5Wbo</t>
  </si>
  <si>
    <t>0.000118</t>
  </si>
  <si>
    <t>0TxewlKVKdpP18dGg279ep</t>
  </si>
  <si>
    <t>0.00948</t>
  </si>
  <si>
    <t>0.406</t>
  </si>
  <si>
    <t>115.94</t>
  </si>
  <si>
    <t>0.53</t>
  </si>
  <si>
    <t>0.133</t>
  </si>
  <si>
    <t>0.338</t>
  </si>
  <si>
    <t>0.033</t>
  </si>
  <si>
    <t>https://api.spotify.com/v1/tracks/51rfRCiUSvxXlCSCfIztBy</t>
  </si>
  <si>
    <t>spotify:track:51rfRCiUSvxXlCSCfIztBy</t>
  </si>
  <si>
    <t>The Secret of Us</t>
  </si>
  <si>
    <t>https://api.spotify.com/v1/audio-analysis/51rfRCiUSvxXlCSCfIztBy</t>
  </si>
  <si>
    <t>51rfRCiUSvxXlCSCfIztBy</t>
  </si>
  <si>
    <t>I Love You, I'm Sorry</t>
  </si>
  <si>
    <t>56bdWeO40o3WfAD2Lja4dl</t>
  </si>
  <si>
    <t>0.656</t>
  </si>
  <si>
    <t>0.782</t>
  </si>
  <si>
    <t>0.727</t>
  </si>
  <si>
    <t>0.225</t>
  </si>
  <si>
    <t>0.655</t>
  </si>
  <si>
    <t>Adam Port, Stryv, Keinemusik, Orso, Malachiii</t>
  </si>
  <si>
    <t>0.042</t>
  </si>
  <si>
    <t>https://api.spotify.com/v1/tracks/1BJJbSX6muJVF2AK7uH1x4</t>
  </si>
  <si>
    <t>spotify:track:1BJJbSX6muJVF2AK7uH1x4</t>
  </si>
  <si>
    <t>Move</t>
  </si>
  <si>
    <t>https://api.spotify.com/v1/audio-analysis/1BJJbSX6muJVF2AK7uH1x4</t>
  </si>
  <si>
    <t>1BJJbSX6muJVF2AK7uH1x4</t>
  </si>
  <si>
    <t>0.336</t>
  </si>
  <si>
    <t>4M8ThNHbNjda2cPwL8XZHS</t>
  </si>
  <si>
    <t>0.0563</t>
  </si>
  <si>
    <t>0.812</t>
  </si>
  <si>
    <t>80.09</t>
  </si>
  <si>
    <t>0.505</t>
  </si>
  <si>
    <t>0.444</t>
  </si>
  <si>
    <t>0.664</t>
  </si>
  <si>
    <t>Tyler, The Creator, GloRilla, Sexyy Red, Lil Wayne</t>
  </si>
  <si>
    <t>0.461</t>
  </si>
  <si>
    <t>https://api.spotify.com/v1/tracks/3tFed7YsjGnIfxeLEQwx3R</t>
  </si>
  <si>
    <t>spotify:track:3tFed7YsjGnIfxeLEQwx3R</t>
  </si>
  <si>
    <t>CHROMAKOPIA</t>
  </si>
  <si>
    <t>https://api.spotify.com/v1/audio-analysis/3tFed7YsjGnIfxeLEQwx3R</t>
  </si>
  <si>
    <t>3tFed7YsjGnIfxeLEQwx3R</t>
  </si>
  <si>
    <t>Sticky (feat. GloRilla, Sexyy Red &amp; Lil Wayne)</t>
  </si>
  <si>
    <t>0U28P0QVB1QRxpqp5IHOlH</t>
  </si>
  <si>
    <t>0.285</t>
  </si>
  <si>
    <t>0.76</t>
  </si>
  <si>
    <t>0.701</t>
  </si>
  <si>
    <t>0.185</t>
  </si>
  <si>
    <t>0.69</t>
  </si>
  <si>
    <t>0.0285</t>
  </si>
  <si>
    <t>https://api.spotify.com/v1/tracks/2qSkIjg1o9h3YT9RAgYN75</t>
  </si>
  <si>
    <t>spotify:track:2qSkIjg1o9h3YT9RAgYN75</t>
  </si>
  <si>
    <t>Espresso</t>
  </si>
  <si>
    <t>https://api.spotify.com/v1/audio-analysis/2qSkIjg1o9h3YT9RAgYN75</t>
  </si>
  <si>
    <t>2qSkIjg1o9h3YT9RAgYN75</t>
  </si>
  <si>
    <t>6.54e-05</t>
  </si>
  <si>
    <t>5quMTd5zeI9yW5UDua8wS4</t>
  </si>
  <si>
    <t>0.107</t>
  </si>
  <si>
    <t>0.725</t>
  </si>
  <si>
    <t>0.894</t>
  </si>
  <si>
    <t>0.0815</t>
  </si>
  <si>
    <t>0.838</t>
  </si>
  <si>
    <t>JENNIE</t>
  </si>
  <si>
    <t>0.0432</t>
  </si>
  <si>
    <t>https://api.spotify.com/v1/tracks/2CspwnypzT7rcWI9RfsoSb</t>
  </si>
  <si>
    <t>spotify:track:2CspwnypzT7rcWI9RfsoSb</t>
  </si>
  <si>
    <t>Mantra</t>
  </si>
  <si>
    <t>https://api.spotify.com/v1/audio-analysis/2CspwnypzT7rcWI9RfsoSb</t>
  </si>
  <si>
    <t>2CspwnypzT7rcWI9RfsoSb</t>
  </si>
  <si>
    <t>1.15e-05</t>
  </si>
  <si>
    <t>3e5tDT1kfaAGx10yOjIDgW</t>
  </si>
  <si>
    <t>0.00434</t>
  </si>
  <si>
    <t>0.563</t>
  </si>
  <si>
    <t>0.833</t>
  </si>
  <si>
    <t>0.139</t>
  </si>
  <si>
    <t>0.343</t>
  </si>
  <si>
    <t>Rauw Alejandro, Bad Bunny</t>
  </si>
  <si>
    <t>0.204</t>
  </si>
  <si>
    <t>https://api.spotify.com/v1/tracks/0l0vcZMU7AOeQmUIREoI2U</t>
  </si>
  <si>
    <t>spotify:track:0l0vcZMU7AOeQmUIREoI2U</t>
  </si>
  <si>
    <t>Cosa Nuestra</t>
  </si>
  <si>
    <t>https://api.spotify.com/v1/audio-analysis/0l0vcZMU7AOeQmUIREoI2U</t>
  </si>
  <si>
    <t>0l0vcZMU7AOeQmUIREoI2U</t>
  </si>
  <si>
    <t>Qu√© Pasar√≠a...</t>
  </si>
  <si>
    <t>1.27e-05</t>
  </si>
  <si>
    <t>0aX0UXrHG2ceYIxTQcqJdA</t>
  </si>
  <si>
    <t>0.528</t>
  </si>
  <si>
    <t>0.628</t>
  </si>
  <si>
    <t>119.98</t>
  </si>
  <si>
    <t>0.221</t>
  </si>
  <si>
    <t>0.321</t>
  </si>
  <si>
    <t>Don Toliver</t>
  </si>
  <si>
    <t>0.101</t>
  </si>
  <si>
    <t>https://api.spotify.com/v1/tracks/2c7z5oRcPBbqRaBY2mLWcf</t>
  </si>
  <si>
    <t>spotify:track:2c7z5oRcPBbqRaBY2mLWcf</t>
  </si>
  <si>
    <t>HARDSTONE PSYCHO</t>
  </si>
  <si>
    <t>https://api.spotify.com/v1/audio-analysis/2c7z5oRcPBbqRaBY2mLWcf</t>
  </si>
  <si>
    <t>2c7z5oRcPBbqRaBY2mLWcf</t>
  </si>
  <si>
    <t>NEW DROP</t>
  </si>
  <si>
    <t>0.0209</t>
  </si>
  <si>
    <t>0Kzb3u6kMnOJOZXYFSk33F</t>
  </si>
  <si>
    <t>0.189</t>
  </si>
  <si>
    <t>0.855</t>
  </si>
  <si>
    <t>0.638</t>
  </si>
  <si>
    <t>-4.86</t>
  </si>
  <si>
    <t>0.245</t>
  </si>
  <si>
    <t>0.731</t>
  </si>
  <si>
    <t>Post Malone, Morgan Wallen</t>
  </si>
  <si>
    <t>0.0264</t>
  </si>
  <si>
    <t>https://api.spotify.com/v1/tracks/7221xIgOnuakPdLqT0F3nP</t>
  </si>
  <si>
    <t>spotify:track:7221xIgOnuakPdLqT0F3nP</t>
  </si>
  <si>
    <t>I Had Some Help</t>
  </si>
  <si>
    <t>https://api.spotify.com/v1/audio-analysis/7221xIgOnuakPdLqT0F3nP</t>
  </si>
  <si>
    <t>7221xIgOnuakPdLqT0F3nP</t>
  </si>
  <si>
    <t>I Had Some Help (Feat. Morgan Wallen)</t>
  </si>
  <si>
    <t>1woYXxyyxTQJ0E0AhZE6mj</t>
  </si>
  <si>
    <t>0.00757</t>
  </si>
  <si>
    <t>0.62</t>
  </si>
  <si>
    <t>0.741</t>
  </si>
  <si>
    <t>0.0398</t>
  </si>
  <si>
    <t>0.934</t>
  </si>
  <si>
    <t>Hozier</t>
  </si>
  <si>
    <t>0.0412</t>
  </si>
  <si>
    <t>https://api.spotify.com/v1/tracks/4IadxL6BUymXlh8RCJJu7T</t>
  </si>
  <si>
    <t>spotify:track:4IadxL6BUymXlh8RCJJu7T</t>
  </si>
  <si>
    <t>Unheard</t>
  </si>
  <si>
    <t>https://api.spotify.com/v1/audio-analysis/4IadxL6BUymXlh8RCJJu7T</t>
  </si>
  <si>
    <t>4IadxL6BUymXlh8RCJJu7T</t>
  </si>
  <si>
    <t>Too Sweet</t>
  </si>
  <si>
    <t>0.000809</t>
  </si>
  <si>
    <t>1KZC0cX0qq6hodR9YVgh9F</t>
  </si>
  <si>
    <t>0.0295</t>
  </si>
  <si>
    <t>0.339</t>
  </si>
  <si>
    <t>0.705</t>
  </si>
  <si>
    <t>0.12</t>
  </si>
  <si>
    <t>0.457</t>
  </si>
  <si>
    <t>The Mar√≠as</t>
  </si>
  <si>
    <t>0.0278</t>
  </si>
  <si>
    <t>https://api.spotify.com/v1/tracks/3siwsiaEoU4Kuuc9WKMUy5</t>
  </si>
  <si>
    <t>spotify:track:3siwsiaEoU4Kuuc9WKMUy5</t>
  </si>
  <si>
    <t>Submarine</t>
  </si>
  <si>
    <t>https://api.spotify.com/v1/audio-analysis/3siwsiaEoU4Kuuc9WKMUy5</t>
  </si>
  <si>
    <t>3siwsiaEoU4Kuuc9WKMUy5</t>
  </si>
  <si>
    <t>No One Noticed</t>
  </si>
  <si>
    <t>0.0814</t>
  </si>
  <si>
    <t>03guxdOi12XJbnvxvxbpwG</t>
  </si>
  <si>
    <t>0.552</t>
  </si>
  <si>
    <t>0.651</t>
  </si>
  <si>
    <t>0.694</t>
  </si>
  <si>
    <t>0.0787</t>
  </si>
  <si>
    <t>0.471</t>
  </si>
  <si>
    <t>Oscar Maydon, Fuerza Regida</t>
  </si>
  <si>
    <t>0.0784</t>
  </si>
  <si>
    <t>https://api.spotify.com/v1/tracks/1cOboCuWYI2osTOfolMRS6</t>
  </si>
  <si>
    <t>spotify:track:1cOboCuWYI2osTOfolMRS6</t>
  </si>
  <si>
    <t>Tu Boda</t>
  </si>
  <si>
    <t>https://api.spotify.com/v1/audio-analysis/1cOboCuWYI2osTOfolMRS6</t>
  </si>
  <si>
    <t>1cOboCuWYI2osTOfolMRS6</t>
  </si>
  <si>
    <t>1.36e-05</t>
  </si>
  <si>
    <t>60cQzWfmdg4hyDXrpW6kOA</t>
  </si>
  <si>
    <t>0.496</t>
  </si>
  <si>
    <t>0.601</t>
  </si>
  <si>
    <t>0.635</t>
  </si>
  <si>
    <t>0.11</t>
  </si>
  <si>
    <t>0.332</t>
  </si>
  <si>
    <t>Myles Smith</t>
  </si>
  <si>
    <t>https://api.spotify.com/v1/tracks/3Vr3zh0r7ALn8VLqCiRR10</t>
  </si>
  <si>
    <t>spotify:track:3Vr3zh0r7ALn8VLqCiRR10</t>
  </si>
  <si>
    <t>Stargazing</t>
  </si>
  <si>
    <t>https://api.spotify.com/v1/audio-analysis/3Vr3zh0r7ALn8VLqCiRR10</t>
  </si>
  <si>
    <t>3Vr3zh0r7ALn8VLqCiRR10</t>
  </si>
  <si>
    <t>3VNxRarx9HUI5w7DHv0TBj</t>
  </si>
  <si>
    <t>0.246</t>
  </si>
  <si>
    <t>0.691</t>
  </si>
  <si>
    <t>0.836</t>
  </si>
  <si>
    <t>0.282</t>
  </si>
  <si>
    <t>0.703</t>
  </si>
  <si>
    <t>GloRilla, Sexyy Red</t>
  </si>
  <si>
    <t>0.363</t>
  </si>
  <si>
    <t>https://api.spotify.com/v1/tracks/4VI2Y5xg4gYynQqNQNQbTN</t>
  </si>
  <si>
    <t>spotify:track:4VI2Y5xg4gYynQqNQNQbTN</t>
  </si>
  <si>
    <t>WHATCHU KNO ABOUT ME (with Sexyy Red)</t>
  </si>
  <si>
    <t>https://api.spotify.com/v1/audio-analysis/4VI2Y5xg4gYynQqNQNQbTN</t>
  </si>
  <si>
    <t>4VI2Y5xg4gYynQqNQNQbTN</t>
  </si>
  <si>
    <t>2PzoiaGTcK3NfnMgHFd7QC</t>
  </si>
  <si>
    <t>0.00586</t>
  </si>
  <si>
    <t>0.646</t>
  </si>
  <si>
    <t>0.645</t>
  </si>
  <si>
    <t>0.074</t>
  </si>
  <si>
    <t>0.295</t>
  </si>
  <si>
    <t>Ariana Grande</t>
  </si>
  <si>
    <t>0.0427</t>
  </si>
  <si>
    <t>https://api.spotify.com/v1/tracks/46kspZSY3aKmwQe7O77fCC</t>
  </si>
  <si>
    <t>spotify:track:46kspZSY3aKmwQe7O77fCC</t>
  </si>
  <si>
    <t>eternal sunshine</t>
  </si>
  <si>
    <t>https://api.spotify.com/v1/audio-analysis/46kspZSY3aKmwQe7O77fCC</t>
  </si>
  <si>
    <t>46kspZSY3aKmwQe7O77fCC</t>
  </si>
  <si>
    <t>we can't be friends (wait for your love)</t>
  </si>
  <si>
    <t>3.04e-05</t>
  </si>
  <si>
    <t>71PfP4E9roOXAudea1aPGw</t>
  </si>
  <si>
    <t>0.0615</t>
  </si>
  <si>
    <t>0.472</t>
  </si>
  <si>
    <t>0.14</t>
  </si>
  <si>
    <t>0.219</t>
  </si>
  <si>
    <t>Benson Boone</t>
  </si>
  <si>
    <t>0.0603</t>
  </si>
  <si>
    <t>https://api.spotify.com/v1/tracks/6tNQ70jh4OwmPGpYy6R2o9</t>
  </si>
  <si>
    <t>spotify:track:6tNQ70jh4OwmPGpYy6R2o9</t>
  </si>
  <si>
    <t>Beautiful Things</t>
  </si>
  <si>
    <t>https://api.spotify.com/v1/audio-analysis/6tNQ70jh4OwmPGpYy6R2o9</t>
  </si>
  <si>
    <t>6tNQ70jh4OwmPGpYy6R2o9</t>
  </si>
  <si>
    <t>29aSKB1qPEbN0Qf9OPSQpw</t>
  </si>
  <si>
    <t>0.151</t>
  </si>
  <si>
    <t>0.744</t>
  </si>
  <si>
    <t>0.0847</t>
  </si>
  <si>
    <t>0.712</t>
  </si>
  <si>
    <t>Myke Towers, benny blanco</t>
  </si>
  <si>
    <t>0.284</t>
  </si>
  <si>
    <t>https://api.spotify.com/v1/tracks/0qeIFEGRQqHoaJtLCl0U73</t>
  </si>
  <si>
    <t>spotify:track:0qeIFEGRQqHoaJtLCl0U73</t>
  </si>
  <si>
    <t>LA PANTERA NEGRA (DELUXE)</t>
  </si>
  <si>
    <t>https://api.spotify.com/v1/audio-analysis/0qeIFEGRQqHoaJtLCl0U73</t>
  </si>
  <si>
    <t>0qeIFEGRQqHoaJtLCl0U73</t>
  </si>
  <si>
    <t>DEGENERE üëë (feat. benny blanco)</t>
  </si>
  <si>
    <t>3pkIK8SI5mcUUjb9jNjx4H</t>
  </si>
  <si>
    <t>0.0501</t>
  </si>
  <si>
    <t>0.904</t>
  </si>
  <si>
    <t>0.739</t>
  </si>
  <si>
    <t>0.0948</t>
  </si>
  <si>
    <t>0.788</t>
  </si>
  <si>
    <t>KATSEYE</t>
  </si>
  <si>
    <t>0.0442</t>
  </si>
  <si>
    <t>https://api.spotify.com/v1/tracks/6aJn7Cst74cj4lNIiPRgav</t>
  </si>
  <si>
    <t>spotify:track:6aJn7Cst74cj4lNIiPRgav</t>
  </si>
  <si>
    <t>Touch</t>
  </si>
  <si>
    <t>https://api.spotify.com/v1/audio-analysis/6aJn7Cst74cj4lNIiPRgav</t>
  </si>
  <si>
    <t>6aJn7Cst74cj4lNIiPRgav</t>
  </si>
  <si>
    <t>1.03e-05</t>
  </si>
  <si>
    <t>1hjqg3TuQ2YqooaPhxHwdv</t>
  </si>
  <si>
    <t>0.549</t>
  </si>
  <si>
    <t>159.92</t>
  </si>
  <si>
    <t>0.242</t>
  </si>
  <si>
    <t>Teddy Swims</t>
  </si>
  <si>
    <t>0.0337</t>
  </si>
  <si>
    <t>https://api.spotify.com/v1/tracks/17phhZDn6oGtzMe56NuWvj</t>
  </si>
  <si>
    <t>spotify:track:17phhZDn6oGtzMe56NuWvj</t>
  </si>
  <si>
    <t>I've Tried Everything But Therapy (Part 1)</t>
  </si>
  <si>
    <t>https://api.spotify.com/v1/audio-analysis/17phhZDn6oGtzMe56NuWvj</t>
  </si>
  <si>
    <t>17phhZDn6oGtzMe56NuWvj</t>
  </si>
  <si>
    <t>Lose Control</t>
  </si>
  <si>
    <t>1.9e-05</t>
  </si>
  <si>
    <t>7nacKlk586eLRBSIsrk9DB</t>
  </si>
  <si>
    <t>0.199</t>
  </si>
  <si>
    <t>0.668</t>
  </si>
  <si>
    <t>0.212</t>
  </si>
  <si>
    <t>0.64</t>
  </si>
  <si>
    <t>Mark Ambor</t>
  </si>
  <si>
    <t>0.0282</t>
  </si>
  <si>
    <t>https://api.spotify.com/v1/tracks/5uQ7de4EWjb3rkcFxyEOpu</t>
  </si>
  <si>
    <t>spotify:track:5uQ7de4EWjb3rkcFxyEOpu</t>
  </si>
  <si>
    <t>Belong Together</t>
  </si>
  <si>
    <t>https://api.spotify.com/v1/audio-analysis/5uQ7de4EWjb3rkcFxyEOpu</t>
  </si>
  <si>
    <t>5uQ7de4EWjb3rkcFxyEOpu</t>
  </si>
  <si>
    <t>3PlCMwyq6nuQYtoYproV1o</t>
  </si>
  <si>
    <t>0.491</t>
  </si>
  <si>
    <t>0.924</t>
  </si>
  <si>
    <t>0.0678</t>
  </si>
  <si>
    <t>KAROL G</t>
  </si>
  <si>
    <t>0.0469</t>
  </si>
  <si>
    <t>https://api.spotify.com/v1/tracks/6WatFBLVB0x077xWeoVc2k</t>
  </si>
  <si>
    <t>spotify:track:6WatFBLVB0x077xWeoVc2k</t>
  </si>
  <si>
    <t>Si Antes Te Hubiera Conocido</t>
  </si>
  <si>
    <t>https://api.spotify.com/v1/audio-analysis/6WatFBLVB0x077xWeoVc2k</t>
  </si>
  <si>
    <t>6WatFBLVB0x077xWeoVc2k</t>
  </si>
  <si>
    <t>0.000594</t>
  </si>
  <si>
    <t>5ylbxH7EqpsmHZCRuiYewS</t>
  </si>
  <si>
    <t>0.446</t>
  </si>
  <si>
    <t>0.454</t>
  </si>
  <si>
    <t>0.689</t>
  </si>
  <si>
    <t>0.0707</t>
  </si>
  <si>
    <t>0.912</t>
  </si>
  <si>
    <t>Djo</t>
  </si>
  <si>
    <t>https://api.spotify.com/v1/tracks/3qhlB30KknSejmIvZZLjOD</t>
  </si>
  <si>
    <t>spotify:track:3qhlB30KknSejmIvZZLjOD</t>
  </si>
  <si>
    <t>DECIDE</t>
  </si>
  <si>
    <t>https://api.spotify.com/v1/audio-analysis/3qhlB30KknSejmIvZZLjOD</t>
  </si>
  <si>
    <t>3qhlB30KknSejmIvZZLjOD</t>
  </si>
  <si>
    <t>End of Beginning</t>
  </si>
  <si>
    <t>0.00259</t>
  </si>
  <si>
    <t>4JDXBZdRPId4devseaAOKH</t>
  </si>
  <si>
    <t>0.0351</t>
  </si>
  <si>
    <t>0.386</t>
  </si>
  <si>
    <t>0.504</t>
  </si>
  <si>
    <t>0.0961</t>
  </si>
  <si>
    <t>0.281</t>
  </si>
  <si>
    <t>Taylor Swift, Post Malone</t>
  </si>
  <si>
    <t>0.0308</t>
  </si>
  <si>
    <t>https://api.spotify.com/v1/tracks/2OzhQlSqBEmt7hmkYxfT6m</t>
  </si>
  <si>
    <t>spotify:track:2OzhQlSqBEmt7hmkYxfT6m</t>
  </si>
  <si>
    <t>THE TORTURED POETS DEPARTMENT</t>
  </si>
  <si>
    <t>https://api.spotify.com/v1/audio-analysis/2OzhQlSqBEmt7hmkYxfT6m</t>
  </si>
  <si>
    <t>2OzhQlSqBEmt7hmkYxfT6m</t>
  </si>
  <si>
    <t>Fortnight (feat. Post Malone)</t>
  </si>
  <si>
    <t>1.53e-05</t>
  </si>
  <si>
    <t>1Mo4aZ8pdj6L1jx8zSwJnt</t>
  </si>
  <si>
    <t>0.502</t>
  </si>
  <si>
    <t>0.681</t>
  </si>
  <si>
    <t>0.56</t>
  </si>
  <si>
    <t>0.106</t>
  </si>
  <si>
    <t>0.388</t>
  </si>
  <si>
    <t>Omar Courtz, De La Rose</t>
  </si>
  <si>
    <t>0.244</t>
  </si>
  <si>
    <t>https://api.spotify.com/v1/tracks/0Sr7ssScx54yxdM2ols7nW</t>
  </si>
  <si>
    <t>spotify:track:0Sr7ssScx54yxdM2ols7nW</t>
  </si>
  <si>
    <t>PRIMERA MUSA</t>
  </si>
  <si>
    <t>https://api.spotify.com/v1/audio-analysis/0Sr7ssScx54yxdM2ols7nW</t>
  </si>
  <si>
    <t>0Sr7ssScx54yxdM2ols7nW</t>
  </si>
  <si>
    <t>Q U E V A S H A C E R H O Y ?</t>
  </si>
  <si>
    <t>3C5uwdRE5QRoXSGPPxpDd4</t>
  </si>
  <si>
    <t>0.103</t>
  </si>
  <si>
    <t>0.898</t>
  </si>
  <si>
    <t>0.141</t>
  </si>
  <si>
    <t>Kendrick Lamar</t>
  </si>
  <si>
    <t>0.0776</t>
  </si>
  <si>
    <t>https://api.spotify.com/v1/tracks/6AI3ezQ4o3HUoP6Dhudph3</t>
  </si>
  <si>
    <t>spotify:track:6AI3ezQ4o3HUoP6Dhudph3</t>
  </si>
  <si>
    <t>Not Like Us</t>
  </si>
  <si>
    <t>https://api.spotify.com/v1/audio-analysis/6AI3ezQ4o3HUoP6Dhudph3</t>
  </si>
  <si>
    <t>6AI3ezQ4o3HUoP6Dhudph3</t>
  </si>
  <si>
    <t>5JjnoGJyOxfSZUZtk2rRwZ</t>
  </si>
  <si>
    <t>0.0107</t>
  </si>
  <si>
    <t>0.711</t>
  </si>
  <si>
    <t>0.487</t>
  </si>
  <si>
    <t>-4.22</t>
  </si>
  <si>
    <t>0.152</t>
  </si>
  <si>
    <t>0.317</t>
  </si>
  <si>
    <t>Jin</t>
  </si>
  <si>
    <t>0.0322</t>
  </si>
  <si>
    <t>https://api.spotify.com/v1/tracks/4p7DTkyrKqT98xlIwYYfXz</t>
  </si>
  <si>
    <t>spotify:track:4p7DTkyrKqT98xlIwYYfXz</t>
  </si>
  <si>
    <t>Happy</t>
  </si>
  <si>
    <t>https://api.spotify.com/v1/audio-analysis/4p7DTkyrKqT98xlIwYYfXz</t>
  </si>
  <si>
    <t>4p7DTkyrKqT98xlIwYYfXz</t>
  </si>
  <si>
    <t>Running Wild</t>
  </si>
  <si>
    <t>0fKlaQuBMQYFo5aIFoGIXt</t>
  </si>
  <si>
    <t>0.000175</t>
  </si>
  <si>
    <t>91.98</t>
  </si>
  <si>
    <t>0.848</t>
  </si>
  <si>
    <t>0.692</t>
  </si>
  <si>
    <t>KAROL G, Feid, DFZM, Ovy On The Drums, J Balvin, Maluma, Ryan Castro, Blessd</t>
  </si>
  <si>
    <t>0.0981</t>
  </si>
  <si>
    <t>https://api.spotify.com/v1/tracks/3mg9jYNC1NihbthlglzrWP</t>
  </si>
  <si>
    <t>spotify:track:3mg9jYNC1NihbthlglzrWP</t>
  </si>
  <si>
    <t>https://api.spotify.com/v1/audio-analysis/3mg9jYNC1NihbthlglzrWP</t>
  </si>
  <si>
    <t>3mg9jYNC1NihbthlglzrWP</t>
  </si>
  <si>
    <t>5TT8KluomuelzsNF7T1U37</t>
  </si>
  <si>
    <t>0.882</t>
  </si>
  <si>
    <t>0.057</t>
  </si>
  <si>
    <t>Ndotz</t>
  </si>
  <si>
    <t>0.0601</t>
  </si>
  <si>
    <t>https://api.spotify.com/v1/tracks/0io16MKpbeDIdYzmGpQaES</t>
  </si>
  <si>
    <t>spotify:track:0io16MKpbeDIdYzmGpQaES</t>
  </si>
  <si>
    <t>Embrace It</t>
  </si>
  <si>
    <t>https://api.spotify.com/v1/audio-analysis/0io16MKpbeDIdYzmGpQaES</t>
  </si>
  <si>
    <t>0io16MKpbeDIdYzmGpQaES</t>
  </si>
  <si>
    <t>4.13e-05</t>
  </si>
  <si>
    <t>0mV9Pfr1GfoZLkp1EAau9P</t>
  </si>
  <si>
    <t>0.475</t>
  </si>
  <si>
    <t>0.872</t>
  </si>
  <si>
    <t>0.466</t>
  </si>
  <si>
    <t>Linkin Park</t>
  </si>
  <si>
    <t>0.0336</t>
  </si>
  <si>
    <t>https://api.spotify.com/v1/tracks/2PnlsTsOTLE5jnBnNe2K0A</t>
  </si>
  <si>
    <t>spotify:track:2PnlsTsOTLE5jnBnNe2K0A</t>
  </si>
  <si>
    <t>The Emptiness Machine</t>
  </si>
  <si>
    <t>https://api.spotify.com/v1/audio-analysis/2PnlsTsOTLE5jnBnNe2K0A</t>
  </si>
  <si>
    <t>2PnlsTsOTLE5jnBnNe2K0A</t>
  </si>
  <si>
    <t>6W0Gabv5f3ugnckc6YgfJQ</t>
  </si>
  <si>
    <t>0.0156</t>
  </si>
  <si>
    <t>0.756</t>
  </si>
  <si>
    <t>0.66</t>
  </si>
  <si>
    <t>0.193</t>
  </si>
  <si>
    <t>Jimin</t>
  </si>
  <si>
    <t>0.032</t>
  </si>
  <si>
    <t>https://api.spotify.com/v1/tracks/7tI8dRuH2Yc6RuoTjxo4dU</t>
  </si>
  <si>
    <t>spotify:track:7tI8dRuH2Yc6RuoTjxo4dU</t>
  </si>
  <si>
    <t>MUSE</t>
  </si>
  <si>
    <t>https://api.spotify.com/v1/audio-analysis/7tI8dRuH2Yc6RuoTjxo4dU</t>
  </si>
  <si>
    <t>7tI8dRuH2Yc6RuoTjxo4dU</t>
  </si>
  <si>
    <t>Who</t>
  </si>
  <si>
    <t>15XcLhiVMlSOipUddTNDnr</t>
  </si>
  <si>
    <t>0.00289</t>
  </si>
  <si>
    <t>0.508</t>
  </si>
  <si>
    <t>rock</t>
  </si>
  <si>
    <t>0.0575</t>
  </si>
  <si>
    <t>0.609</t>
  </si>
  <si>
    <t>Eagles</t>
  </si>
  <si>
    <t>0.027</t>
  </si>
  <si>
    <t>https://api.spotify.com/v1/tracks/40riOy7x9W7GXjyGp4pjAv</t>
  </si>
  <si>
    <t>spotify:track:40riOy7x9W7GXjyGp4pjAv</t>
  </si>
  <si>
    <t>Hotel California (2013 Remaster)</t>
  </si>
  <si>
    <t>Rock Classics</t>
  </si>
  <si>
    <t>https://api.spotify.com/v1/audio-analysis/40riOy7x9W7GXjyGp4pjAv</t>
  </si>
  <si>
    <t>40riOy7x9W7GXjyGp4pjAv</t>
  </si>
  <si>
    <t>Hotel California - 2013 Remaster</t>
  </si>
  <si>
    <t>0.000494</t>
  </si>
  <si>
    <t>2widuo17g5CEC66IbzveRu</t>
  </si>
  <si>
    <t>0.00574</t>
  </si>
  <si>
    <t>classic</t>
  </si>
  <si>
    <t>37i9dQZF1DWXRqgorJj26U</t>
  </si>
  <si>
    <t>0.89</t>
  </si>
  <si>
    <t>133.52</t>
  </si>
  <si>
    <t>0.217</t>
  </si>
  <si>
    <t>0.259</t>
  </si>
  <si>
    <t>AC/DC</t>
  </si>
  <si>
    <t>0.0364</t>
  </si>
  <si>
    <t>https://api.spotify.com/v1/tracks/57bgtoPSgt236HzfBOd8kj</t>
  </si>
  <si>
    <t>spotify:track:57bgtoPSgt236HzfBOd8kj</t>
  </si>
  <si>
    <t>The Razors Edge</t>
  </si>
  <si>
    <t>https://api.spotify.com/v1/audio-analysis/57bgtoPSgt236HzfBOd8kj</t>
  </si>
  <si>
    <t>57bgtoPSgt236HzfBOd8kj</t>
  </si>
  <si>
    <t>Thunderstruck</t>
  </si>
  <si>
    <t>0.0117</t>
  </si>
  <si>
    <t>4vu7F6h90Br1ZtYYaqfITy</t>
  </si>
  <si>
    <t>0.000147</t>
  </si>
  <si>
    <t>0.743</t>
  </si>
  <si>
    <t>0.337</t>
  </si>
  <si>
    <t>0.278</t>
  </si>
  <si>
    <t>The White Stripes</t>
  </si>
  <si>
    <t>0.0683</t>
  </si>
  <si>
    <t>https://api.spotify.com/v1/tracks/3dPQuX8Gs42Y7b454ybpMR</t>
  </si>
  <si>
    <t>spotify:track:3dPQuX8Gs42Y7b454ybpMR</t>
  </si>
  <si>
    <t>Elephant</t>
  </si>
  <si>
    <t>https://api.spotify.com/v1/audio-analysis/3dPQuX8Gs42Y7b454ybpMR</t>
  </si>
  <si>
    <t>3dPQuX8Gs42Y7b454ybpMR</t>
  </si>
  <si>
    <t>Seven Nation Army</t>
  </si>
  <si>
    <t>0.118</t>
  </si>
  <si>
    <t>6D9urpsOWWKtYvF6PaorGE</t>
  </si>
  <si>
    <t>0.0039</t>
  </si>
  <si>
    <t>0.43</t>
  </si>
  <si>
    <t>0.515</t>
  </si>
  <si>
    <t>0.129</t>
  </si>
  <si>
    <t>Radiohead</t>
  </si>
  <si>
    <t>0.0372</t>
  </si>
  <si>
    <t>https://api.spotify.com/v1/tracks/70LcF31zb1H0PyJoS1Sx1r</t>
  </si>
  <si>
    <t>spotify:track:70LcF31zb1H0PyJoS1Sx1r</t>
  </si>
  <si>
    <t>Pablo Honey</t>
  </si>
  <si>
    <t>https://api.spotify.com/v1/audio-analysis/70LcF31zb1H0PyJoS1Sx1r</t>
  </si>
  <si>
    <t>70LcF31zb1H0PyJoS1Sx1r</t>
  </si>
  <si>
    <t>Creep</t>
  </si>
  <si>
    <t>0.000133</t>
  </si>
  <si>
    <t>3gBVdu4a1MMJVMy6vwPEb8</t>
  </si>
  <si>
    <t>0.0097</t>
  </si>
  <si>
    <t>0.824</t>
  </si>
  <si>
    <t>0.5</t>
  </si>
  <si>
    <t>0.0916</t>
  </si>
  <si>
    <t>0.539</t>
  </si>
  <si>
    <t>Nirvana</t>
  </si>
  <si>
    <t>0.0388</t>
  </si>
  <si>
    <t>https://api.spotify.com/v1/tracks/4P5KoWXOxwuobLmHXLMobV</t>
  </si>
  <si>
    <t>spotify:track:4P5KoWXOxwuobLmHXLMobV</t>
  </si>
  <si>
    <t>Nevermind (Remastered)</t>
  </si>
  <si>
    <t>https://api.spotify.com/v1/audio-analysis/4P5KoWXOxwuobLmHXLMobV</t>
  </si>
  <si>
    <t>4P5KoWXOxwuobLmHXLMobV</t>
  </si>
  <si>
    <t>Come As You Are</t>
  </si>
  <si>
    <t>0.00161</t>
  </si>
  <si>
    <t>2guirTSEqLizK7j9i1MTTZ</t>
  </si>
  <si>
    <t>0.00016</t>
  </si>
  <si>
    <t>0.767</t>
  </si>
  <si>
    <t>0.127</t>
  </si>
  <si>
    <t>0.328</t>
  </si>
  <si>
    <t>Red Hot Chili Peppers</t>
  </si>
  <si>
    <t>https://api.spotify.com/v1/tracks/48UPSzbZjgc449aqz8bxox</t>
  </si>
  <si>
    <t>spotify:track:48UPSzbZjgc449aqz8bxox</t>
  </si>
  <si>
    <t>Californication (Deluxe Edition)</t>
  </si>
  <si>
    <t>https://api.spotify.com/v1/audio-analysis/48UPSzbZjgc449aqz8bxox</t>
  </si>
  <si>
    <t>48UPSzbZjgc449aqz8bxox</t>
  </si>
  <si>
    <t>Californication</t>
  </si>
  <si>
    <t>0.00165</t>
  </si>
  <si>
    <t>2Y9IRtehByVkegoD7TcLfi</t>
  </si>
  <si>
    <t>0.0021</t>
  </si>
  <si>
    <t>0.952</t>
  </si>
  <si>
    <t>0.445</t>
  </si>
  <si>
    <t>0.112</t>
  </si>
  <si>
    <t>0.624</t>
  </si>
  <si>
    <t>Guns N' Roses</t>
  </si>
  <si>
    <t>0.0522</t>
  </si>
  <si>
    <t>https://api.spotify.com/v1/tracks/7snQQk1zcKl8gZ92AnueZW</t>
  </si>
  <si>
    <t>spotify:track:7snQQk1zcKl8gZ92AnueZW</t>
  </si>
  <si>
    <t>Appetite For Destruction</t>
  </si>
  <si>
    <t>https://api.spotify.com/v1/audio-analysis/7snQQk1zcKl8gZ92AnueZW</t>
  </si>
  <si>
    <t>7snQQk1zcKl8gZ92AnueZW</t>
  </si>
  <si>
    <t>Sweet Child O' Mine</t>
  </si>
  <si>
    <t>0.0843</t>
  </si>
  <si>
    <t>28yHV3Gdg30AiB8h8em1eW</t>
  </si>
  <si>
    <t>0.09</t>
  </si>
  <si>
    <t>0.795</t>
  </si>
  <si>
    <t>0.464</t>
  </si>
  <si>
    <t>0.399</t>
  </si>
  <si>
    <t>The Rolling Stones</t>
  </si>
  <si>
    <t>0.0926</t>
  </si>
  <si>
    <t>https://api.spotify.com/v1/tracks/63T7DJ1AFDD6Bn8VzG6JE8</t>
  </si>
  <si>
    <t>spotify:track:63T7DJ1AFDD6Bn8VzG6JE8</t>
  </si>
  <si>
    <t>Aftermath</t>
  </si>
  <si>
    <t>https://api.spotify.com/v1/audio-analysis/63T7DJ1AFDD6Bn8VzG6JE8</t>
  </si>
  <si>
    <t>63T7DJ1AFDD6Bn8VzG6JE8</t>
  </si>
  <si>
    <t>Paint It, Black</t>
  </si>
  <si>
    <t>0.00244</t>
  </si>
  <si>
    <t>72qrnM4yUNMDDlWiqKc8iY</t>
  </si>
  <si>
    <t>0.0493</t>
  </si>
  <si>
    <t>0.828</t>
  </si>
  <si>
    <t>0.128</t>
  </si>
  <si>
    <t>0.789</t>
  </si>
  <si>
    <t>Fleetwood Mac</t>
  </si>
  <si>
    <t>0.0276</t>
  </si>
  <si>
    <t>https://api.spotify.com/v1/tracks/0ofHAoxe9vBkTCp2UQIavz</t>
  </si>
  <si>
    <t>spotify:track:0ofHAoxe9vBkTCp2UQIavz</t>
  </si>
  <si>
    <t>Rumours (Super Deluxe)</t>
  </si>
  <si>
    <t>https://api.spotify.com/v1/audio-analysis/0ofHAoxe9vBkTCp2UQIavz</t>
  </si>
  <si>
    <t>0ofHAoxe9vBkTCp2UQIavz</t>
  </si>
  <si>
    <t>Dreams - 2004 Remaster</t>
  </si>
  <si>
    <t>0.00428</t>
  </si>
  <si>
    <t>0BwWUstDMUbgq2NYONRqlu</t>
  </si>
  <si>
    <t>0.0644</t>
  </si>
  <si>
    <t>0.881</t>
  </si>
  <si>
    <t>0.413</t>
  </si>
  <si>
    <t>0.0805</t>
  </si>
  <si>
    <t>0.364</t>
  </si>
  <si>
    <t>Foo Fighters</t>
  </si>
  <si>
    <t>0.0367</t>
  </si>
  <si>
    <t>https://api.spotify.com/v1/tracks/5UWwZ5lm5PKu6eKsHAGxOk</t>
  </si>
  <si>
    <t>spotify:track:5UWwZ5lm5PKu6eKsHAGxOk</t>
  </si>
  <si>
    <t>The Colour And The Shape</t>
  </si>
  <si>
    <t>https://api.spotify.com/v1/audio-analysis/5UWwZ5lm5PKu6eKsHAGxOk</t>
  </si>
  <si>
    <t>5UWwZ5lm5PKu6eKsHAGxOk</t>
  </si>
  <si>
    <t>Everlong</t>
  </si>
  <si>
    <t>0.000308</t>
  </si>
  <si>
    <t>30ly6F6Xl0TKmyBCU50Khv</t>
  </si>
  <si>
    <t>5.99e-05</t>
  </si>
  <si>
    <t>0.716</t>
  </si>
  <si>
    <t>0.659</t>
  </si>
  <si>
    <t>0.901</t>
  </si>
  <si>
    <t>Joan Jett &amp; the Blackhearts</t>
  </si>
  <si>
    <t>https://api.spotify.com/v1/tracks/2Cdvbe2G4hZsnhNMKyGrie</t>
  </si>
  <si>
    <t>spotify:track:2Cdvbe2G4hZsnhNMKyGrie</t>
  </si>
  <si>
    <t>I Love Rock 'N' Roll (Expanded Edition)</t>
  </si>
  <si>
    <t>https://api.spotify.com/v1/audio-analysis/2Cdvbe2G4hZsnhNMKyGrie</t>
  </si>
  <si>
    <t>2Cdvbe2G4hZsnhNMKyGrie</t>
  </si>
  <si>
    <t>I Love Rock 'N Roll</t>
  </si>
  <si>
    <t>555qwe1qUgLdee80TZ2CQt</t>
  </si>
  <si>
    <t>0.326</t>
  </si>
  <si>
    <t>0.322</t>
  </si>
  <si>
    <t>0.387</t>
  </si>
  <si>
    <t>Kansas</t>
  </si>
  <si>
    <t>https://api.spotify.com/v1/tracks/6zeE5tKyr8Nu882DQhhSQI</t>
  </si>
  <si>
    <t>spotify:track:6zeE5tKyr8Nu882DQhhSQI</t>
  </si>
  <si>
    <t>Point Of Know Return (Expanded Edition)</t>
  </si>
  <si>
    <t>https://api.spotify.com/v1/audio-analysis/6zeE5tKyr8Nu882DQhhSQI</t>
  </si>
  <si>
    <t>6zeE5tKyr8Nu882DQhhSQI</t>
  </si>
  <si>
    <t>Dust in the Wind</t>
  </si>
  <si>
    <t>0.00056</t>
  </si>
  <si>
    <t>6oU298pdPTCQnMx1PYwyUA</t>
  </si>
  <si>
    <t>0.367</t>
  </si>
  <si>
    <t>0.394</t>
  </si>
  <si>
    <t>0.693</t>
  </si>
  <si>
    <t>0.721</t>
  </si>
  <si>
    <t>Pink Floyd</t>
  </si>
  <si>
    <t>0.0428</t>
  </si>
  <si>
    <t>https://api.spotify.com/v1/tracks/4gMgiXfqyzZLMhsksGmbQV</t>
  </si>
  <si>
    <t>spotify:track:4gMgiXfqyzZLMhsksGmbQV</t>
  </si>
  <si>
    <t>The Wall</t>
  </si>
  <si>
    <t>https://api.spotify.com/v1/audio-analysis/4gMgiXfqyzZLMhsksGmbQV</t>
  </si>
  <si>
    <t>4gMgiXfqyzZLMhsksGmbQV</t>
  </si>
  <si>
    <t>Another Brick in the Wall, Pt. 2</t>
  </si>
  <si>
    <t>0.000694</t>
  </si>
  <si>
    <t>5Dbax7G8SWrP9xyzkOvy2F</t>
  </si>
  <si>
    <t>0.0782</t>
  </si>
  <si>
    <t>0.899</t>
  </si>
  <si>
    <t>0.603</t>
  </si>
  <si>
    <t>Bon Jovi</t>
  </si>
  <si>
    <t>0.0637</t>
  </si>
  <si>
    <t>https://api.spotify.com/v1/tracks/0X1sqQ652p1sceKM2nJlIJ</t>
  </si>
  <si>
    <t>spotify:track:0X1sqQ652p1sceKM2nJlIJ</t>
  </si>
  <si>
    <t>https://api.spotify.com/v1/audio-analysis/0X1sqQ652p1sceKM2nJlIJ</t>
  </si>
  <si>
    <t>0X1sqQ652p1sceKM2nJlIJ</t>
  </si>
  <si>
    <t>Runaway</t>
  </si>
  <si>
    <t>1.91e-05</t>
  </si>
  <si>
    <t>1UUOBzIHw0noiRGRpbt3sz</t>
  </si>
  <si>
    <t>0.00375</t>
  </si>
  <si>
    <t>0.943</t>
  </si>
  <si>
    <t>0.442</t>
  </si>
  <si>
    <t>0.091</t>
  </si>
  <si>
    <t>0.781</t>
  </si>
  <si>
    <t>Green Day</t>
  </si>
  <si>
    <t>0.0602</t>
  </si>
  <si>
    <t>https://api.spotify.com/v1/tracks/6L89mwZXSOwYl76YXfX13s</t>
  </si>
  <si>
    <t>spotify:track:6L89mwZXSOwYl76YXfX13s</t>
  </si>
  <si>
    <t>Dookie</t>
  </si>
  <si>
    <t>https://api.spotify.com/v1/audio-analysis/6L89mwZXSOwYl76YXfX13s</t>
  </si>
  <si>
    <t>6L89mwZXSOwYl76YXfX13s</t>
  </si>
  <si>
    <t>Basket Case</t>
  </si>
  <si>
    <t>8.71e-06</t>
  </si>
  <si>
    <t>4uG8q3GPuWHQlRbswMIRS6</t>
  </si>
  <si>
    <t>0.00293</t>
  </si>
  <si>
    <t>0.345</t>
  </si>
  <si>
    <t>0.559</t>
  </si>
  <si>
    <t>0.458</t>
  </si>
  <si>
    <t>0.0459</t>
  </si>
  <si>
    <t>https://api.spotify.com/v1/tracks/3d9DChrdc6BOeFsbrZ3Is0</t>
  </si>
  <si>
    <t>spotify:track:3d9DChrdc6BOeFsbrZ3Is0</t>
  </si>
  <si>
    <t>Blood Sugar Sex Magik (Deluxe Edition)</t>
  </si>
  <si>
    <t>https://api.spotify.com/v1/audio-analysis/3d9DChrdc6BOeFsbrZ3Is0</t>
  </si>
  <si>
    <t>3d9DChrdc6BOeFsbrZ3Is0</t>
  </si>
  <si>
    <t>Under the Bridge</t>
  </si>
  <si>
    <t>0.000105</t>
  </si>
  <si>
    <t>30Perjew8HyGkdSmqguYyg</t>
  </si>
  <si>
    <t>0.0576</t>
  </si>
  <si>
    <t>0.814</t>
  </si>
  <si>
    <t>0.673</t>
  </si>
  <si>
    <t>0.728</t>
  </si>
  <si>
    <t>Billy Idol</t>
  </si>
  <si>
    <t>https://api.spotify.com/v1/tracks/1gzIbdFnGJ226LTl0Cn2SX</t>
  </si>
  <si>
    <t>spotify:track:1gzIbdFnGJ226LTl0Cn2SX</t>
  </si>
  <si>
    <t>https://api.spotify.com/v1/audio-analysis/1gzIbdFnGJ226LTl0Cn2SX</t>
  </si>
  <si>
    <t>1gzIbdFnGJ226LTl0Cn2SX</t>
  </si>
  <si>
    <t>White Wedding - Pt. 1</t>
  </si>
  <si>
    <t>5ebh0MxkqELmk50xHj2b4k</t>
  </si>
  <si>
    <t>0.0134</t>
  </si>
  <si>
    <t>0.532</t>
  </si>
  <si>
    <t>0.39</t>
  </si>
  <si>
    <t>0.755</t>
  </si>
  <si>
    <t>0.0574</t>
  </si>
  <si>
    <t>https://api.spotify.com/v1/tracks/2SiXAy7TuUkycRVbbWDEpo</t>
  </si>
  <si>
    <t>spotify:track:2SiXAy7TuUkycRVbbWDEpo</t>
  </si>
  <si>
    <t>Back In Black</t>
  </si>
  <si>
    <t>https://api.spotify.com/v1/audio-analysis/2SiXAy7TuUkycRVbbWDEpo</t>
  </si>
  <si>
    <t>2SiXAy7TuUkycRVbbWDEpo</t>
  </si>
  <si>
    <t>You Shook Me All Night Long</t>
  </si>
  <si>
    <t>0.000513</t>
  </si>
  <si>
    <t>6mUdeDZCsExyJLMdAfDuwh</t>
  </si>
  <si>
    <t>0.00287</t>
  </si>
  <si>
    <t>0.863</t>
  </si>
  <si>
    <t>0.723</t>
  </si>
  <si>
    <t>-7.89</t>
  </si>
  <si>
    <t>0.931</t>
  </si>
  <si>
    <t>0.0338</t>
  </si>
  <si>
    <t>https://api.spotify.com/v1/tracks/2PzU4IB8Dr6mxV3lHuaG34</t>
  </si>
  <si>
    <t>spotify:track:2PzU4IB8Dr6mxV3lHuaG34</t>
  </si>
  <si>
    <t>Out Of Our Heads</t>
  </si>
  <si>
    <t>https://api.spotify.com/v1/audio-analysis/2PzU4IB8Dr6mxV3lHuaG34</t>
  </si>
  <si>
    <t>2PzU4IB8Dr6mxV3lHuaG34</t>
  </si>
  <si>
    <t>(I Can't Get No) Satisfaction - Mono Version</t>
  </si>
  <si>
    <t>0.0317</t>
  </si>
  <si>
    <t>2Q5MwpTmtjscaS34mJFXQQ</t>
  </si>
  <si>
    <t>0.0383</t>
  </si>
  <si>
    <t>0.449</t>
  </si>
  <si>
    <t>0.486</t>
  </si>
  <si>
    <t>0.54</t>
  </si>
  <si>
    <t>David Bowie</t>
  </si>
  <si>
    <t>0.0267</t>
  </si>
  <si>
    <t>https://api.spotify.com/v1/tracks/0pQskrTITgmCMyr85tb9qq</t>
  </si>
  <si>
    <t>spotify:track:0pQskrTITgmCMyr85tb9qq</t>
  </si>
  <si>
    <t>The Rise and Fall of Ziggy Stardust and the Spiders from Mars (2012 Remaster)</t>
  </si>
  <si>
    <t>https://api.spotify.com/v1/audio-analysis/0pQskrTITgmCMyr85tb9qq</t>
  </si>
  <si>
    <t>0pQskrTITgmCMyr85tb9qq</t>
  </si>
  <si>
    <t>Starman - 2012 Remaster</t>
  </si>
  <si>
    <t>2.23e-06</t>
  </si>
  <si>
    <t>48D1hRORqJq52qsnUYZX56</t>
  </si>
  <si>
    <t>0.166</t>
  </si>
  <si>
    <t>0.902</t>
  </si>
  <si>
    <t>89.74</t>
  </si>
  <si>
    <t>0.412</t>
  </si>
  <si>
    <t>-11.6</t>
  </si>
  <si>
    <t>0.405</t>
  </si>
  <si>
    <t>0.422</t>
  </si>
  <si>
    <t>Led Zeppelin</t>
  </si>
  <si>
    <t>https://api.spotify.com/v1/tracks/0hCB0YR03f6AmQaHbwWDe8</t>
  </si>
  <si>
    <t>spotify:track:0hCB0YR03f6AmQaHbwWDe8</t>
  </si>
  <si>
    <t>Led Zeppelin II (1994 Remaster)</t>
  </si>
  <si>
    <t>https://api.spotify.com/v1/audio-analysis/0hCB0YR03f6AmQaHbwWDe8</t>
  </si>
  <si>
    <t>0hCB0YR03f6AmQaHbwWDe8</t>
  </si>
  <si>
    <t>Whole Lotta Love - 1990 Remaster</t>
  </si>
  <si>
    <t>0.131</t>
  </si>
  <si>
    <t>70lQYZtypdCALtFVlQAcvx</t>
  </si>
  <si>
    <t>0.0484</t>
  </si>
  <si>
    <t>0.55</t>
  </si>
  <si>
    <t>The Doors</t>
  </si>
  <si>
    <t>https://api.spotify.com/v1/tracks/14XWXWv5FoCbFzLksawpEe</t>
  </si>
  <si>
    <t>spotify:track:14XWXWv5FoCbFzLksawpEe</t>
  </si>
  <si>
    <t>L.A. Woman</t>
  </si>
  <si>
    <t>https://api.spotify.com/v1/audio-analysis/14XWXWv5FoCbFzLksawpEe</t>
  </si>
  <si>
    <t>14XWXWv5FoCbFzLksawpEe</t>
  </si>
  <si>
    <t>Riders on the Storm</t>
  </si>
  <si>
    <t>0.0129</t>
  </si>
  <si>
    <t>7IKUTIc9UWuVngyGPtqNHS</t>
  </si>
  <si>
    <t>0.25</t>
  </si>
  <si>
    <t>0.944</t>
  </si>
  <si>
    <t>0.298</t>
  </si>
  <si>
    <t>0.265</t>
  </si>
  <si>
    <t>Pearl Jam</t>
  </si>
  <si>
    <t>https://api.spotify.com/v1/tracks/6QewNVIDKdSl8Y3ycuHIei</t>
  </si>
  <si>
    <t>spotify:track:6QewNVIDKdSl8Y3ycuHIei</t>
  </si>
  <si>
    <t>Ten</t>
  </si>
  <si>
    <t>https://api.spotify.com/v1/audio-analysis/6QewNVIDKdSl8Y3ycuHIei</t>
  </si>
  <si>
    <t>6QewNVIDKdSl8Y3ycuHIei</t>
  </si>
  <si>
    <t>Even Flow</t>
  </si>
  <si>
    <t>4.54e-06</t>
  </si>
  <si>
    <t>5B4PYA7wNN4WdEXdIJu58a</t>
  </si>
  <si>
    <t>0.00178</t>
  </si>
  <si>
    <t>0.398</t>
  </si>
  <si>
    <t>0.1</t>
  </si>
  <si>
    <t>0.584</t>
  </si>
  <si>
    <t>Bruce Springsteen</t>
  </si>
  <si>
    <t>0.061</t>
  </si>
  <si>
    <t>https://api.spotify.com/v1/tracks/0dOg1ySSI7NkpAe89Zo0b9</t>
  </si>
  <si>
    <t>spotify:track:0dOg1ySSI7NkpAe89Zo0b9</t>
  </si>
  <si>
    <t>Born In The U.S.A.</t>
  </si>
  <si>
    <t>https://api.spotify.com/v1/audio-analysis/0dOg1ySSI7NkpAe89Zo0b9</t>
  </si>
  <si>
    <t>0dOg1ySSI7NkpAe89Zo0b9</t>
  </si>
  <si>
    <t>Born in the U.S.A.</t>
  </si>
  <si>
    <t>7.75e-05</t>
  </si>
  <si>
    <t>0PMasrHdpaoIRuHuhHp72O</t>
  </si>
  <si>
    <t>0.000373</t>
  </si>
  <si>
    <t>0.356</t>
  </si>
  <si>
    <t>0.518</t>
  </si>
  <si>
    <t>The Verve</t>
  </si>
  <si>
    <t>0.0479</t>
  </si>
  <si>
    <t>https://api.spotify.com/v1/tracks/57iDDD9N9tTWe75x6qhStw</t>
  </si>
  <si>
    <t>spotify:track:57iDDD9N9tTWe75x6qhStw</t>
  </si>
  <si>
    <t>Urban Hymns (Remastered 2016)</t>
  </si>
  <si>
    <t>https://api.spotify.com/v1/audio-analysis/57iDDD9N9tTWe75x6qhStw</t>
  </si>
  <si>
    <t>57iDDD9N9tTWe75x6qhStw</t>
  </si>
  <si>
    <t>Bitter Sweet Symphony - Remastered 2016</t>
  </si>
  <si>
    <t>52AeC4gwbxDfFlLHgK1ByD</t>
  </si>
  <si>
    <t>0.0335</t>
  </si>
  <si>
    <t>0.589</t>
  </si>
  <si>
    <t>0.455</t>
  </si>
  <si>
    <t>-8.64</t>
  </si>
  <si>
    <t>0.254</t>
  </si>
  <si>
    <t>0.0328</t>
  </si>
  <si>
    <t>https://api.spotify.com/v1/tracks/2N2yrmodOnVF10mKvItC9P</t>
  </si>
  <si>
    <t>spotify:track:2N2yrmodOnVF10mKvItC9P</t>
  </si>
  <si>
    <t>Use Your Illusion I</t>
  </si>
  <si>
    <t>https://api.spotify.com/v1/audio-analysis/2N2yrmodOnVF10mKvItC9P</t>
  </si>
  <si>
    <t>2N2yrmodOnVF10mKvItC9P</t>
  </si>
  <si>
    <t>Don't Cry (Original)</t>
  </si>
  <si>
    <t>0.00358</t>
  </si>
  <si>
    <t>0CxPbTRARqKUYighiEY9Sz</t>
  </si>
  <si>
    <t>0.00184</t>
  </si>
  <si>
    <t>0.805</t>
  </si>
  <si>
    <t>0.0842</t>
  </si>
  <si>
    <t>0.564</t>
  </si>
  <si>
    <t>Jimi Hendrix</t>
  </si>
  <si>
    <t>0.0624</t>
  </si>
  <si>
    <t>https://api.spotify.com/v1/tracks/2aoo2jlRnM3A0NyLQqMN2f</t>
  </si>
  <si>
    <t>spotify:track:2aoo2jlRnM3A0NyLQqMN2f</t>
  </si>
  <si>
    <t>Electric Ladyland</t>
  </si>
  <si>
    <t>https://api.spotify.com/v1/audio-analysis/2aoo2jlRnM3A0NyLQqMN2f</t>
  </si>
  <si>
    <t>2aoo2jlRnM3A0NyLQqMN2f</t>
  </si>
  <si>
    <t>All Along the Watchtower</t>
  </si>
  <si>
    <t>5.69e-05</t>
  </si>
  <si>
    <t>5z090LQztiqh13wYspQvKQ</t>
  </si>
  <si>
    <t>0.00255</t>
  </si>
  <si>
    <t>0.239</t>
  </si>
  <si>
    <t>0.0697</t>
  </si>
  <si>
    <t>Phil Collins</t>
  </si>
  <si>
    <t>0.0316</t>
  </si>
  <si>
    <t>https://api.spotify.com/v1/tracks/18AXbzPzBS8Y3AkgSxzJPb</t>
  </si>
  <si>
    <t>spotify:track:18AXbzPzBS8Y3AkgSxzJPb</t>
  </si>
  <si>
    <t>Face Value (Deluxe Editon)</t>
  </si>
  <si>
    <t>https://api.spotify.com/v1/audio-analysis/18AXbzPzBS8Y3AkgSxzJPb</t>
  </si>
  <si>
    <t>18AXbzPzBS8Y3AkgSxzJPb</t>
  </si>
  <si>
    <t>In The Air Tonight - 2015 Remastered</t>
  </si>
  <si>
    <t>4.1e-06</t>
  </si>
  <si>
    <t>1cM3r0WQZWNkCpEbmFjLln</t>
  </si>
  <si>
    <t>0.551</t>
  </si>
  <si>
    <t>0.942</t>
  </si>
  <si>
    <t>Talking Heads</t>
  </si>
  <si>
    <t>0.0613</t>
  </si>
  <si>
    <t>https://api.spotify.com/v1/tracks/1i6N76fftMZhijOzFQ5ZtL</t>
  </si>
  <si>
    <t>spotify:track:1i6N76fftMZhijOzFQ5ZtL</t>
  </si>
  <si>
    <t>Talking Heads '77 (Deluxe Version)</t>
  </si>
  <si>
    <t>https://api.spotify.com/v1/audio-analysis/1i6N76fftMZhijOzFQ5ZtL</t>
  </si>
  <si>
    <t>1i6N76fftMZhijOzFQ5ZtL</t>
  </si>
  <si>
    <t>Psycho Killer - 2005 Remaster</t>
  </si>
  <si>
    <t>0.00545</t>
  </si>
  <si>
    <t>5eqcF7pWzHgWpGdEmHgeSN</t>
  </si>
  <si>
    <t>0.0708</t>
  </si>
  <si>
    <t>0.331</t>
  </si>
  <si>
    <t>Lenny Kravitz</t>
  </si>
  <si>
    <t>0.0353</t>
  </si>
  <si>
    <t>https://api.spotify.com/v1/tracks/45Ia1U4KtIjAPPU7Wv1Sea</t>
  </si>
  <si>
    <t>spotify:track:45Ia1U4KtIjAPPU7Wv1Sea</t>
  </si>
  <si>
    <t>Are You Gonna Go My Way</t>
  </si>
  <si>
    <t>https://api.spotify.com/v1/audio-analysis/45Ia1U4KtIjAPPU7Wv1Sea</t>
  </si>
  <si>
    <t>45Ia1U4KtIjAPPU7Wv1Sea</t>
  </si>
  <si>
    <t>0.0109</t>
  </si>
  <si>
    <t>35LzZH7Fgog8lf1hfcdoMQ</t>
  </si>
  <si>
    <t>105.25</t>
  </si>
  <si>
    <t>0.154</t>
  </si>
  <si>
    <t>Metallica</t>
  </si>
  <si>
    <t>0.035</t>
  </si>
  <si>
    <t>https://api.spotify.com/v1/tracks/54bm2e3tk8cliUz3VSdCPZ</t>
  </si>
  <si>
    <t>spotify:track:54bm2e3tk8cliUz3VSdCPZ</t>
  </si>
  <si>
    <t>Master of Puppets (Remastered Deluxe Box Set)</t>
  </si>
  <si>
    <t>https://api.spotify.com/v1/audio-analysis/54bm2e3tk8cliUz3VSdCPZ</t>
  </si>
  <si>
    <t>54bm2e3tk8cliUz3VSdCPZ</t>
  </si>
  <si>
    <t>Master of Puppets (Remastered)</t>
  </si>
  <si>
    <t>0.421</t>
  </si>
  <si>
    <t>7CGhx630DIjdJqaBDVKc5j</t>
  </si>
  <si>
    <t>0.00067</t>
  </si>
  <si>
    <t>0.73</t>
  </si>
  <si>
    <t>0.0852</t>
  </si>
  <si>
    <t>0.0303</t>
  </si>
  <si>
    <t>https://api.spotify.com/v1/tracks/254bXAqt3zP6P50BdQvEsq</t>
  </si>
  <si>
    <t>spotify:track:254bXAqt3zP6P50BdQvEsq</t>
  </si>
  <si>
    <t>Tango In the Night (Deluxe Edition)</t>
  </si>
  <si>
    <t>https://api.spotify.com/v1/audio-analysis/254bXAqt3zP6P50BdQvEsq</t>
  </si>
  <si>
    <t>254bXAqt3zP6P50BdQvEsq</t>
  </si>
  <si>
    <t>Everywhere - 2017 Remaster</t>
  </si>
  <si>
    <t>0.01</t>
  </si>
  <si>
    <t>4AsXQ17Arq1cUVoa9dKJ3F</t>
  </si>
  <si>
    <t>0.258</t>
  </si>
  <si>
    <t>0.697</t>
  </si>
  <si>
    <t>0.774</t>
  </si>
  <si>
    <t>Creedence Clearwater Revival</t>
  </si>
  <si>
    <t>0.0277</t>
  </si>
  <si>
    <t>https://api.spotify.com/v1/tracks/2LawezPeJhN4AWuSB0GtAU</t>
  </si>
  <si>
    <t>spotify:track:2LawezPeJhN4AWuSB0GtAU</t>
  </si>
  <si>
    <t>Pendulum (Expanded Edition)</t>
  </si>
  <si>
    <t>https://api.spotify.com/v1/audio-analysis/2LawezPeJhN4AWuSB0GtAU</t>
  </si>
  <si>
    <t>2LawezPeJhN4AWuSB0GtAU</t>
  </si>
  <si>
    <t>Have You Ever Seen The Rain</t>
  </si>
  <si>
    <t>2.28e-05</t>
  </si>
  <si>
    <t>372cMadhAGlNuDnc8TssqF</t>
  </si>
  <si>
    <t>0.0664</t>
  </si>
  <si>
    <t>0.0858</t>
  </si>
  <si>
    <t>The Cars</t>
  </si>
  <si>
    <t>0.0473</t>
  </si>
  <si>
    <t>https://api.spotify.com/v1/tracks/4alHo6RGd0D3OUbTPExTHN</t>
  </si>
  <si>
    <t>spotify:track:4alHo6RGd0D3OUbTPExTHN</t>
  </si>
  <si>
    <t>https://api.spotify.com/v1/audio-analysis/4alHo6RGd0D3OUbTPExTHN</t>
  </si>
  <si>
    <t>4alHo6RGd0D3OUbTPExTHN</t>
  </si>
  <si>
    <t>Just What I Needed</t>
  </si>
  <si>
    <t>6.4e-05</t>
  </si>
  <si>
    <t>4tJPWT4r4FSKwy784Qs1Fq</t>
  </si>
  <si>
    <t>0.0152</t>
  </si>
  <si>
    <t>0.72</t>
  </si>
  <si>
    <t>0.0564</t>
  </si>
  <si>
    <t>https://api.spotify.com/v1/tracks/5ghIJDpPoe3CfHMGu71E6T</t>
  </si>
  <si>
    <t>spotify:track:5ghIJDpPoe3CfHMGu71E6T</t>
  </si>
  <si>
    <t>https://api.spotify.com/v1/audio-analysis/5ghIJDpPoe3CfHMGu71E6T</t>
  </si>
  <si>
    <t>5ghIJDpPoe3CfHMGu71E6T</t>
  </si>
  <si>
    <t>Smells Like Teen Spirit</t>
  </si>
  <si>
    <t>0.000173</t>
  </si>
  <si>
    <t>2.55e-05</t>
  </si>
  <si>
    <t>0.0327</t>
  </si>
  <si>
    <t>0.661</t>
  </si>
  <si>
    <t>Rage Against The Machine</t>
  </si>
  <si>
    <t>https://api.spotify.com/v1/tracks/59WN2psjkt1tyaxjspN8fp</t>
  </si>
  <si>
    <t>spotify:track:59WN2psjkt1tyaxjspN8fp</t>
  </si>
  <si>
    <t>Rage Against The Machine - XX (20th Anniversary Special Edition)</t>
  </si>
  <si>
    <t>https://api.spotify.com/v1/audio-analysis/59WN2psjkt1tyaxjspN8fp</t>
  </si>
  <si>
    <t>59WN2psjkt1tyaxjspN8fp</t>
  </si>
  <si>
    <t>Killing In The Name</t>
  </si>
  <si>
    <t>4Io5vWtmV1rFj4yirKb4y4</t>
  </si>
  <si>
    <t>0.0266</t>
  </si>
  <si>
    <t>0.376</t>
  </si>
  <si>
    <t>0.188</t>
  </si>
  <si>
    <t>The Beatles</t>
  </si>
  <si>
    <t>0.04</t>
  </si>
  <si>
    <t>https://api.spotify.com/v1/tracks/2EqlS6tkEnglzr7tkKAAYD</t>
  </si>
  <si>
    <t>spotify:track:2EqlS6tkEnglzr7tkKAAYD</t>
  </si>
  <si>
    <t>Abbey Road (Remastered)</t>
  </si>
  <si>
    <t>https://api.spotify.com/v1/audio-analysis/2EqlS6tkEnglzr7tkKAAYD</t>
  </si>
  <si>
    <t>2EqlS6tkEnglzr7tkKAAYD</t>
  </si>
  <si>
    <t>Come Together - Remastered 2009</t>
  </si>
  <si>
    <t>0ETFjACtuP2ADo6LFhL6HN</t>
  </si>
  <si>
    <t>0.482</t>
  </si>
  <si>
    <t>0.793</t>
  </si>
  <si>
    <t>https://api.spotify.com/v1/tracks/4DMKwE2E2iYDKY01C335Uw</t>
  </si>
  <si>
    <t>spotify:track:4DMKwE2E2iYDKY01C335Uw</t>
  </si>
  <si>
    <t>Leftoverture (Expanded Edition)</t>
  </si>
  <si>
    <t>https://api.spotify.com/v1/audio-analysis/4DMKwE2E2iYDKY01C335Uw</t>
  </si>
  <si>
    <t>4DMKwE2E2iYDKY01C335Uw</t>
  </si>
  <si>
    <t>Carry on Wayward Son</t>
  </si>
  <si>
    <t>8.88e-05</t>
  </si>
  <si>
    <t>7MejfRSNnrpcLZIxkeZDqR</t>
  </si>
  <si>
    <t>0.00321</t>
  </si>
  <si>
    <t>0.674</t>
  </si>
  <si>
    <t>0.0753</t>
  </si>
  <si>
    <t>0.918</t>
  </si>
  <si>
    <t>Blur</t>
  </si>
  <si>
    <t>0.0676</t>
  </si>
  <si>
    <t>https://api.spotify.com/v1/tracks/1FTSo4v6BOZH9QxKc3MbVM</t>
  </si>
  <si>
    <t>spotify:track:1FTSo4v6BOZH9QxKc3MbVM</t>
  </si>
  <si>
    <t>Blur (Special Edition)</t>
  </si>
  <si>
    <t>https://api.spotify.com/v1/audio-analysis/1FTSo4v6BOZH9QxKc3MbVM</t>
  </si>
  <si>
    <t>1FTSo4v6BOZH9QxKc3MbVM</t>
  </si>
  <si>
    <t>Song 2 - 2012 Remaster</t>
  </si>
  <si>
    <t>0.00708</t>
  </si>
  <si>
    <t>7HvIrSkKGJCzd8AKyjTJ6Q</t>
  </si>
  <si>
    <t>0.441</t>
  </si>
  <si>
    <t>0.519</t>
  </si>
  <si>
    <t>0.076</t>
  </si>
  <si>
    <t>Pixies</t>
  </si>
  <si>
    <t>https://api.spotify.com/v1/tracks/7wCmS9TTVUcIhRalDYFgPy</t>
  </si>
  <si>
    <t>spotify:track:7wCmS9TTVUcIhRalDYFgPy</t>
  </si>
  <si>
    <t>Surfer Rosa (2007 Remaster)</t>
  </si>
  <si>
    <t>https://api.spotify.com/v1/audio-analysis/7wCmS9TTVUcIhRalDYFgPy</t>
  </si>
  <si>
    <t>7wCmS9TTVUcIhRalDYFgPy</t>
  </si>
  <si>
    <t>Where Is My Mind? - 2007 Remaster</t>
  </si>
  <si>
    <t>0.000453</t>
  </si>
  <si>
    <t>50j4Wm1b9hLpSpPIA39Vp9</t>
  </si>
  <si>
    <t>0.0204</t>
  </si>
  <si>
    <t>0.384</t>
  </si>
  <si>
    <t>0.82</t>
  </si>
  <si>
    <t>The Clash</t>
  </si>
  <si>
    <t>https://api.spotify.com/v1/tracks/39shmbIHICJ2Wxnk1fPSdz</t>
  </si>
  <si>
    <t>spotify:track:39shmbIHICJ2Wxnk1fPSdz</t>
  </si>
  <si>
    <t>Combat Rock (Remastered)</t>
  </si>
  <si>
    <t>https://api.spotify.com/v1/audio-analysis/39shmbIHICJ2Wxnk1fPSdz</t>
  </si>
  <si>
    <t>39shmbIHICJ2Wxnk1fPSdz</t>
  </si>
  <si>
    <t>Should I Stay or Should I Go - Remastered</t>
  </si>
  <si>
    <t>1ZH5g1RDq3GY1OvyD0w0s2</t>
  </si>
  <si>
    <t>0.932</t>
  </si>
  <si>
    <t>0.163</t>
  </si>
  <si>
    <t>Queen</t>
  </si>
  <si>
    <t>0.161</t>
  </si>
  <si>
    <t>https://api.spotify.com/v1/tracks/57JVGBtBLCfHw2muk5416J</t>
  </si>
  <si>
    <t>spotify:track:57JVGBtBLCfHw2muk5416J</t>
  </si>
  <si>
    <t>The Game (Deluxe Remastered Version)</t>
  </si>
  <si>
    <t>https://api.spotify.com/v1/audio-analysis/57JVGBtBLCfHw2muk5416J</t>
  </si>
  <si>
    <t>57JVGBtBLCfHw2muk5416J</t>
  </si>
  <si>
    <t>Another One Bites The Dust - Remastered 2011</t>
  </si>
  <si>
    <t>0.329</t>
  </si>
  <si>
    <t>6wPXUmYJ9mOWrKlLzZ5cCa</t>
  </si>
  <si>
    <t>0.115</t>
  </si>
  <si>
    <t>0.905</t>
  </si>
  <si>
    <t>0.602</t>
  </si>
  <si>
    <t>0.411</t>
  </si>
  <si>
    <t>Muse</t>
  </si>
  <si>
    <t>0.0775</t>
  </si>
  <si>
    <t>https://api.spotify.com/v1/tracks/4VqPOruhp5EdPBeR92t6lQ</t>
  </si>
  <si>
    <t>spotify:track:4VqPOruhp5EdPBeR92t6lQ</t>
  </si>
  <si>
    <t>The Resistance</t>
  </si>
  <si>
    <t>https://api.spotify.com/v1/audio-analysis/4VqPOruhp5EdPBeR92t6lQ</t>
  </si>
  <si>
    <t>4VqPOruhp5EdPBeR92t6lQ</t>
  </si>
  <si>
    <t>Uprising</t>
  </si>
  <si>
    <t>0.064</t>
  </si>
  <si>
    <t>0eFHYz8NmK75zSplL5qlfM</t>
  </si>
  <si>
    <t>0.000202</t>
  </si>
  <si>
    <t>0.653</t>
  </si>
  <si>
    <t>0.822</t>
  </si>
  <si>
    <t>Buffalo Springfield</t>
  </si>
  <si>
    <t>0.0497</t>
  </si>
  <si>
    <t>https://api.spotify.com/v1/tracks/1qRA5BS78u3gME0loMl9AA</t>
  </si>
  <si>
    <t>spotify:track:1qRA5BS78u3gME0loMl9AA</t>
  </si>
  <si>
    <t>https://api.spotify.com/v1/audio-analysis/1qRA5BS78u3gME0loMl9AA</t>
  </si>
  <si>
    <t>1qRA5BS78u3gME0loMl9AA</t>
  </si>
  <si>
    <t>For What It's Worth</t>
  </si>
  <si>
    <t>3PkdGRruLnJ9zCtANiDrpB</t>
  </si>
  <si>
    <t>0.946</t>
  </si>
  <si>
    <t>138.18</t>
  </si>
  <si>
    <t>0.173</t>
  </si>
  <si>
    <t>0.647</t>
  </si>
  <si>
    <t>Van Halen</t>
  </si>
  <si>
    <t>0.13</t>
  </si>
  <si>
    <t>https://api.spotify.com/v1/tracks/0upLyFR8Rr52ZpMp5esQoq</t>
  </si>
  <si>
    <t>spotify:track:0upLyFR8Rr52ZpMp5esQoq</t>
  </si>
  <si>
    <t>Van Halen (Remastered)</t>
  </si>
  <si>
    <t>https://api.spotify.com/v1/audio-analysis/0upLyFR8Rr52ZpMp5esQoq</t>
  </si>
  <si>
    <t>0upLyFR8Rr52ZpMp5esQoq</t>
  </si>
  <si>
    <t>You Really Got Me - 2015 Remaster</t>
  </si>
  <si>
    <t>7DdEbYFPKTZ8KB4z6L4UnQ</t>
  </si>
  <si>
    <t>0.0223</t>
  </si>
  <si>
    <t>0.35</t>
  </si>
  <si>
    <t>0.0774</t>
  </si>
  <si>
    <t>0.147</t>
  </si>
  <si>
    <t>Soundgarden</t>
  </si>
  <si>
    <t>0.041</t>
  </si>
  <si>
    <t>https://api.spotify.com/v1/tracks/2EoOZnxNgtmZaD8uUmz2nD</t>
  </si>
  <si>
    <t>spotify:track:2EoOZnxNgtmZaD8uUmz2nD</t>
  </si>
  <si>
    <t>Superunknown (Deluxe Edition)</t>
  </si>
  <si>
    <t>https://api.spotify.com/v1/audio-analysis/2EoOZnxNgtmZaD8uUmz2nD</t>
  </si>
  <si>
    <t>2EoOZnxNgtmZaD8uUmz2nD</t>
  </si>
  <si>
    <t>Black Hole Sun</t>
  </si>
  <si>
    <t>0.000161</t>
  </si>
  <si>
    <t>29sTacnS0qA9xri6YS8xLA</t>
  </si>
  <si>
    <t>0.000217</t>
  </si>
  <si>
    <t>0.349</t>
  </si>
  <si>
    <t>0.489</t>
  </si>
  <si>
    <t>0.0866</t>
  </si>
  <si>
    <t>0.622</t>
  </si>
  <si>
    <t>Santana</t>
  </si>
  <si>
    <t>0.0323</t>
  </si>
  <si>
    <t>https://api.spotify.com/v1/tracks/4YMQXzscifAREG0a7KNGhB</t>
  </si>
  <si>
    <t>spotify:track:4YMQXzscifAREG0a7KNGhB</t>
  </si>
  <si>
    <t>Santana's Greatest Hits</t>
  </si>
  <si>
    <t>https://api.spotify.com/v1/audio-analysis/4YMQXzscifAREG0a7KNGhB</t>
  </si>
  <si>
    <t>4YMQXzscifAREG0a7KNGhB</t>
  </si>
  <si>
    <t>Black Magic Woman - Single Version</t>
  </si>
  <si>
    <t>0.0789</t>
  </si>
  <si>
    <t>1YrdGK2y2Edq2R5gFja2ai</t>
  </si>
  <si>
    <t>0.676</t>
  </si>
  <si>
    <t>0.735</t>
  </si>
  <si>
    <t>https://api.spotify.com/v1/tracks/1OxcIUqVmVYxT6427tbhDW</t>
  </si>
  <si>
    <t>spotify:track:1OxcIUqVmVYxT6427tbhDW</t>
  </si>
  <si>
    <t>https://api.spotify.com/v1/audio-analysis/1OxcIUqVmVYxT6427tbhDW</t>
  </si>
  <si>
    <t>1OxcIUqVmVYxT6427tbhDW</t>
  </si>
  <si>
    <t>Fly Away</t>
  </si>
  <si>
    <t>6MCNMOCRsh6nxs7PNzc0zN</t>
  </si>
  <si>
    <t>0.018</t>
  </si>
  <si>
    <t>0.577</t>
  </si>
  <si>
    <t>-7.04</t>
  </si>
  <si>
    <t>0.869</t>
  </si>
  <si>
    <t>The Police</t>
  </si>
  <si>
    <t>0.039</t>
  </si>
  <si>
    <t>https://api.spotify.com/v1/tracks/1oYYd2gnWZYrt89EBXdFiO</t>
  </si>
  <si>
    <t>spotify:track:1oYYd2gnWZYrt89EBXdFiO</t>
  </si>
  <si>
    <t>Reggatta De Blanc (Remastered 2003)</t>
  </si>
  <si>
    <t>https://api.spotify.com/v1/audio-analysis/1oYYd2gnWZYrt89EBXdFiO</t>
  </si>
  <si>
    <t>1oYYd2gnWZYrt89EBXdFiO</t>
  </si>
  <si>
    <t>Message In A Bottle</t>
  </si>
  <si>
    <t>1.33e-05</t>
  </si>
  <si>
    <t>2EpuND32cO7CX0gXZl2NB6</t>
  </si>
  <si>
    <t>0.758</t>
  </si>
  <si>
    <t>0.092</t>
  </si>
  <si>
    <t>0.435</t>
  </si>
  <si>
    <t>0.0297</t>
  </si>
  <si>
    <t>https://api.spotify.com/v1/tracks/7Jh1bpe76CNTCgdgAdBw4Z</t>
  </si>
  <si>
    <t>spotify:track:7Jh1bpe76CNTCgdgAdBw4Z</t>
  </si>
  <si>
    <t>"Heroes" (2017 Remaster)</t>
  </si>
  <si>
    <t>https://api.spotify.com/v1/audio-analysis/7Jh1bpe76CNTCgdgAdBw4Z</t>
  </si>
  <si>
    <t>7Jh1bpe76CNTCgdgAdBw4Z</t>
  </si>
  <si>
    <t>Heroes - 2017 Remaster</t>
  </si>
  <si>
    <t>0.49</t>
  </si>
  <si>
    <t>4I5zzKYd2SKDgZ9DRf5LVk</t>
  </si>
  <si>
    <t>0.000678</t>
  </si>
  <si>
    <t>0.0554</t>
  </si>
  <si>
    <t>https://api.spotify.com/v1/tracks/78lgmZwycJ3nzsdgmPPGNx</t>
  </si>
  <si>
    <t>spotify:track:78lgmZwycJ3nzsdgmPPGNx</t>
  </si>
  <si>
    <t>Led Zeppelin III (Remaster)</t>
  </si>
  <si>
    <t>https://api.spotify.com/v1/audio-analysis/78lgmZwycJ3nzsdgmPPGNx</t>
  </si>
  <si>
    <t>78lgmZwycJ3nzsdgmPPGNx</t>
  </si>
  <si>
    <t>Immigrant Song - Remaster</t>
  </si>
  <si>
    <t>0.169</t>
  </si>
  <si>
    <t>6P5QHz4XtxOmS5EuiGIPut</t>
  </si>
  <si>
    <t>0.013</t>
  </si>
  <si>
    <t>0.248</t>
  </si>
  <si>
    <t>0.478</t>
  </si>
  <si>
    <t>Electric Light Orchestra</t>
  </si>
  <si>
    <t>0.0329</t>
  </si>
  <si>
    <t>https://api.spotify.com/v1/tracks/2RlgNHKcydI9sayD2Df2xp</t>
  </si>
  <si>
    <t>spotify:track:2RlgNHKcydI9sayD2Df2xp</t>
  </si>
  <si>
    <t>Out of the Blue</t>
  </si>
  <si>
    <t>https://api.spotify.com/v1/audio-analysis/2RlgNHKcydI9sayD2Df2xp</t>
  </si>
  <si>
    <t>2RlgNHKcydI9sayD2Df2xp</t>
  </si>
  <si>
    <t>Mr. Blue Sky</t>
  </si>
  <si>
    <t>3.73e-06</t>
  </si>
  <si>
    <t>3usnShwygMXVZB4IV5dwnU</t>
  </si>
  <si>
    <t>0.652</t>
  </si>
  <si>
    <t>0.31</t>
  </si>
  <si>
    <t>0.0828</t>
  </si>
  <si>
    <t>0.763</t>
  </si>
  <si>
    <t>0.047</t>
  </si>
  <si>
    <t>https://api.spotify.com/v1/tracks/08mG3Y1vljYA6bvDt4Wqkj</t>
  </si>
  <si>
    <t>spotify:track:08mG3Y1vljYA6bvDt4Wqkj</t>
  </si>
  <si>
    <t>https://api.spotify.com/v1/audio-analysis/08mG3Y1vljYA6bvDt4Wqkj</t>
  </si>
  <si>
    <t>08mG3Y1vljYA6bvDt4Wqkj</t>
  </si>
  <si>
    <t>0.00965</t>
  </si>
  <si>
    <t>0.011</t>
  </si>
  <si>
    <t>0.548</t>
  </si>
  <si>
    <t>0.144</t>
  </si>
  <si>
    <t>Heart</t>
  </si>
  <si>
    <t>0.0369</t>
  </si>
  <si>
    <t>https://api.spotify.com/v1/tracks/4KfSdst7rW39C0sfhArdrz</t>
  </si>
  <si>
    <t>spotify:track:4KfSdst7rW39C0sfhArdrz</t>
  </si>
  <si>
    <t>Little Queen</t>
  </si>
  <si>
    <t>https://api.spotify.com/v1/audio-analysis/4KfSdst7rW39C0sfhArdrz</t>
  </si>
  <si>
    <t>4KfSdst7rW39C0sfhArdrz</t>
  </si>
  <si>
    <t>Barracuda</t>
  </si>
  <si>
    <t>1LaeNhiUpL3X6N0LcFvuDF</t>
  </si>
  <si>
    <t>0.015</t>
  </si>
  <si>
    <t>0.0925</t>
  </si>
  <si>
    <t>0.342</t>
  </si>
  <si>
    <t>Elton John</t>
  </si>
  <si>
    <t>0.0286</t>
  </si>
  <si>
    <t>https://api.spotify.com/v1/tracks/3gdewACMIVMEWVbyb8O9sY</t>
  </si>
  <si>
    <t>spotify:track:3gdewACMIVMEWVbyb8O9sY</t>
  </si>
  <si>
    <t>Honky Chateau</t>
  </si>
  <si>
    <t>https://api.spotify.com/v1/audio-analysis/3gdewACMIVMEWVbyb8O9sY</t>
  </si>
  <si>
    <t>3gdewACMIVMEWVbyb8O9sY</t>
  </si>
  <si>
    <t>Rocket Man (I Think It's Going To Be A Long, Long Time)</t>
  </si>
  <si>
    <t>5.95e-06</t>
  </si>
  <si>
    <t>2ei2X6ghPnw7YRwQtAH075</t>
  </si>
  <si>
    <t>0.433</t>
  </si>
  <si>
    <t>0.641</t>
  </si>
  <si>
    <t>0.256</t>
  </si>
  <si>
    <t>0.0853</t>
  </si>
  <si>
    <t>0.382</t>
  </si>
  <si>
    <t>0.0552</t>
  </si>
  <si>
    <t>https://api.spotify.com/v1/tracks/11LmqTE2naFULdEP94AUBa</t>
  </si>
  <si>
    <t>spotify:track:11LmqTE2naFULdEP94AUBa</t>
  </si>
  <si>
    <t>In Utero (Deluxe Edition)</t>
  </si>
  <si>
    <t>https://api.spotify.com/v1/audio-analysis/11LmqTE2naFULdEP94AUBa</t>
  </si>
  <si>
    <t>11LmqTE2naFULdEP94AUBa</t>
  </si>
  <si>
    <t>Heart-Shaped Box</t>
  </si>
  <si>
    <t>6ohX7moZZnF1FwYrli1OJ6</t>
  </si>
  <si>
    <t>0.0523</t>
  </si>
  <si>
    <t>0.883</t>
  </si>
  <si>
    <t>0.069</t>
  </si>
  <si>
    <t>https://api.spotify.com/v1/tracks/6gXrEUzibufX9xYPk3HD5p</t>
  </si>
  <si>
    <t>spotify:track:6gXrEUzibufX9xYPk3HD5p</t>
  </si>
  <si>
    <t>https://api.spotify.com/v1/audio-analysis/6gXrEUzibufX9xYPk3HD5p</t>
  </si>
  <si>
    <t>6gXrEUzibufX9xYPk3HD5p</t>
  </si>
  <si>
    <t>Life in the Fast Lane - 2013 Remaster</t>
  </si>
  <si>
    <t>6.94e-05</t>
  </si>
  <si>
    <t>0.0966</t>
  </si>
  <si>
    <t>0.373</t>
  </si>
  <si>
    <t>0.671</t>
  </si>
  <si>
    <t>0.0481</t>
  </si>
  <si>
    <t>0.732</t>
  </si>
  <si>
    <t>TOTO</t>
  </si>
  <si>
    <t>https://api.spotify.com/v1/tracks/2374M0fQpWi3dLnB54qaLX</t>
  </si>
  <si>
    <t>spotify:track:2374M0fQpWi3dLnB54qaLX</t>
  </si>
  <si>
    <t>Toto IV</t>
  </si>
  <si>
    <t>https://api.spotify.com/v1/audio-analysis/2374M0fQpWi3dLnB54qaLX</t>
  </si>
  <si>
    <t>2374M0fQpWi3dLnB54qaLX</t>
  </si>
  <si>
    <t>Africa</t>
  </si>
  <si>
    <t>8.01e-05</t>
  </si>
  <si>
    <t>62U7xIHcID94o20Of5ea4D</t>
  </si>
  <si>
    <t>0.257</t>
  </si>
  <si>
    <t>0.927</t>
  </si>
  <si>
    <t>0.333</t>
  </si>
  <si>
    <t>-8.55</t>
  </si>
  <si>
    <t>0.385</t>
  </si>
  <si>
    <t>Blue √ñyster Cult</t>
  </si>
  <si>
    <t>0.0733</t>
  </si>
  <si>
    <t>https://api.spotify.com/v1/tracks/5QTxFnGygVM4jFQiBovmRo</t>
  </si>
  <si>
    <t>spotify:track:5QTxFnGygVM4jFQiBovmRo</t>
  </si>
  <si>
    <t>Agents Of Fortune</t>
  </si>
  <si>
    <t>https://api.spotify.com/v1/audio-analysis/5QTxFnGygVM4jFQiBovmRo</t>
  </si>
  <si>
    <t>5QTxFnGygVM4jFQiBovmRo</t>
  </si>
  <si>
    <t>(Don't Fear) The Reaper</t>
  </si>
  <si>
    <t>0.000208</t>
  </si>
  <si>
    <t>6C9WzlQANeoD0GW5B41YJt</t>
  </si>
  <si>
    <t>0.0029</t>
  </si>
  <si>
    <t>0.964</t>
  </si>
  <si>
    <t>The Smashing Pumpkins</t>
  </si>
  <si>
    <t>0.0331</t>
  </si>
  <si>
    <t>https://api.spotify.com/v1/tracks/5QLHGv0DfpeXLNFo7SFEy1</t>
  </si>
  <si>
    <t>spotify:track:5QLHGv0DfpeXLNFo7SFEy1</t>
  </si>
  <si>
    <t>Mellon Collie And The Infinite Sadness (Deluxe Edition)</t>
  </si>
  <si>
    <t>https://api.spotify.com/v1/audio-analysis/5QLHGv0DfpeXLNFo7SFEy1</t>
  </si>
  <si>
    <t>5QLHGv0DfpeXLNFo7SFEy1</t>
  </si>
  <si>
    <t>1979 - Remastered 2012</t>
  </si>
  <si>
    <t>0.583</t>
  </si>
  <si>
    <t>55RhFRyQFihIyGf61MgcfV</t>
  </si>
  <si>
    <t>0.0163</t>
  </si>
  <si>
    <t>0.366</t>
  </si>
  <si>
    <t>0.0837</t>
  </si>
  <si>
    <t>0.171</t>
  </si>
  <si>
    <t>https://api.spotify.com/v1/tracks/5HNCy40Ni5BZJFw1TKzRsC</t>
  </si>
  <si>
    <t>spotify:track:5HNCy40Ni5BZJFw1TKzRsC</t>
  </si>
  <si>
    <t>https://api.spotify.com/v1/audio-analysis/5HNCy40Ni5BZJFw1TKzRsC</t>
  </si>
  <si>
    <t>5HNCy40Ni5BZJFw1TKzRsC</t>
  </si>
  <si>
    <t>Comfortably Numb</t>
  </si>
  <si>
    <t>0.15</t>
  </si>
  <si>
    <t>0.864</t>
  </si>
  <si>
    <t>0.437</t>
  </si>
  <si>
    <t>0.749</t>
  </si>
  <si>
    <t>0.0904</t>
  </si>
  <si>
    <t>https://api.spotify.com/v1/tracks/3qT4bUD1MaWpGrTwcvguhb</t>
  </si>
  <si>
    <t>spotify:track:3qT4bUD1MaWpGrTwcvguhb</t>
  </si>
  <si>
    <t>Led Zeppelin IV (Deluxe Edition)</t>
  </si>
  <si>
    <t>https://api.spotify.com/v1/audio-analysis/3qT4bUD1MaWpGrTwcvguhb</t>
  </si>
  <si>
    <t>3qT4bUD1MaWpGrTwcvguhb</t>
  </si>
  <si>
    <t>Black Dog - Remaster</t>
  </si>
  <si>
    <t>0.0314</t>
  </si>
  <si>
    <t>44Ig8dzqOkvkGDzaUof9lK</t>
  </si>
  <si>
    <t>0.396</t>
  </si>
  <si>
    <t>0.509</t>
  </si>
  <si>
    <t>0.685</t>
  </si>
  <si>
    <t>Queens of the Stone Age</t>
  </si>
  <si>
    <t>https://api.spotify.com/v1/tracks/6y20BV5L33R8YXM0YuI38N</t>
  </si>
  <si>
    <t>spotify:track:6y20BV5L33R8YXM0YuI38N</t>
  </si>
  <si>
    <t>Songs For The Deaf</t>
  </si>
  <si>
    <t>https://api.spotify.com/v1/audio-analysis/6y20BV5L33R8YXM0YuI38N</t>
  </si>
  <si>
    <t>6y20BV5L33R8YXM0YuI38N</t>
  </si>
  <si>
    <t>No One Knows</t>
  </si>
  <si>
    <t>9.96e-05</t>
  </si>
  <si>
    <t>4w3NeXtywU398NYW4903rY</t>
  </si>
  <si>
    <t>0.575</t>
  </si>
  <si>
    <t>0.0562</t>
  </si>
  <si>
    <t>The Doobie Brothers</t>
  </si>
  <si>
    <t>0.0393</t>
  </si>
  <si>
    <t>https://api.spotify.com/v1/tracks/4nXkbcTj3nyww1cHkw5RAP</t>
  </si>
  <si>
    <t>spotify:track:4nXkbcTj3nyww1cHkw5RAP</t>
  </si>
  <si>
    <t>The Captain and Me</t>
  </si>
  <si>
    <t>https://api.spotify.com/v1/audio-analysis/4nXkbcTj3nyww1cHkw5RAP</t>
  </si>
  <si>
    <t>4nXkbcTj3nyww1cHkw5RAP</t>
  </si>
  <si>
    <t>Long Train Runnin'</t>
  </si>
  <si>
    <t>0.00211</t>
  </si>
  <si>
    <t>0M2KWMbvY5x1sUnIKNpyUt</t>
  </si>
  <si>
    <t>0.611</t>
  </si>
  <si>
    <t>0.654</t>
  </si>
  <si>
    <t>-10.45</t>
  </si>
  <si>
    <t>Beck</t>
  </si>
  <si>
    <t>0.119</t>
  </si>
  <si>
    <t>https://api.spotify.com/v1/tracks/5PntSbMHC1ud6Vvl8x56qd</t>
  </si>
  <si>
    <t>spotify:track:5PntSbMHC1ud6Vvl8x56qd</t>
  </si>
  <si>
    <t>Mellow Gold</t>
  </si>
  <si>
    <t>https://api.spotify.com/v1/audio-analysis/5PntSbMHC1ud6Vvl8x56qd</t>
  </si>
  <si>
    <t>5PntSbMHC1ud6Vvl8x56qd</t>
  </si>
  <si>
    <t>Loser</t>
  </si>
  <si>
    <t>0.000178</t>
  </si>
  <si>
    <t>0iIGP4Sxw3KR4OCFv2yvz8</t>
  </si>
  <si>
    <t>0.529</t>
  </si>
  <si>
    <t>Don McLean</t>
  </si>
  <si>
    <t>0.0599</t>
  </si>
  <si>
    <t>https://api.spotify.com/v1/tracks/1fDsrQ23eTAVFElUMaf38X</t>
  </si>
  <si>
    <t>spotify:track:1fDsrQ23eTAVFElUMaf38X</t>
  </si>
  <si>
    <t>American Pie</t>
  </si>
  <si>
    <t>https://api.spotify.com/v1/audio-analysis/1fDsrQ23eTAVFElUMaf38X</t>
  </si>
  <si>
    <t>1fDsrQ23eTAVFElUMaf38X</t>
  </si>
  <si>
    <t>10jsW2NYd9blCrDITMh2zS</t>
  </si>
  <si>
    <t>0.748</t>
  </si>
  <si>
    <t>0.663</t>
  </si>
  <si>
    <t>0.358</t>
  </si>
  <si>
    <t>https://api.spotify.com/v1/tracks/3EYOJ48Et32uATr9ZmLnAo</t>
  </si>
  <si>
    <t>spotify:track:3EYOJ48Et32uATr9ZmLnAo</t>
  </si>
  <si>
    <t>Outlandos D'Amour (Remastered 2003)</t>
  </si>
  <si>
    <t>https://api.spotify.com/v1/audio-analysis/3EYOJ48Et32uATr9ZmLnAo</t>
  </si>
  <si>
    <t>3EYOJ48Et32uATr9ZmLnAo</t>
  </si>
  <si>
    <t>Roxanne</t>
  </si>
  <si>
    <t>1H9g6j4Wwj6wh6p8YHVtkf</t>
  </si>
  <si>
    <t>0.0384</t>
  </si>
  <si>
    <t>0.0318</t>
  </si>
  <si>
    <t>0.897</t>
  </si>
  <si>
    <t>The Knack</t>
  </si>
  <si>
    <t>0.0363</t>
  </si>
  <si>
    <t>https://api.spotify.com/v1/tracks/1HOMkjp0nHMaTnfAkslCQj</t>
  </si>
  <si>
    <t>spotify:track:1HOMkjp0nHMaTnfAkslCQj</t>
  </si>
  <si>
    <t>Get The Knack</t>
  </si>
  <si>
    <t>https://api.spotify.com/v1/audio-analysis/1HOMkjp0nHMaTnfAkslCQj</t>
  </si>
  <si>
    <t>1HOMkjp0nHMaTnfAkslCQj</t>
  </si>
  <si>
    <t>My Sharona</t>
  </si>
  <si>
    <t>0.00125</t>
  </si>
  <si>
    <t>6H0wsYDvFlATzXHn0IqVpi</t>
  </si>
  <si>
    <t>0.0589</t>
  </si>
  <si>
    <t>0.318</t>
  </si>
  <si>
    <t>0.0934</t>
  </si>
  <si>
    <t>Lou Reed</t>
  </si>
  <si>
    <t>0.109</t>
  </si>
  <si>
    <t>https://api.spotify.com/v1/tracks/5p3JunprHCxClJjOmcLV8G</t>
  </si>
  <si>
    <t>spotify:track:5p3JunprHCxClJjOmcLV8G</t>
  </si>
  <si>
    <t>Transformer</t>
  </si>
  <si>
    <t>https://api.spotify.com/v1/audio-analysis/5p3JunprHCxClJjOmcLV8G</t>
  </si>
  <si>
    <t>5p3JunprHCxClJjOmcLV8G</t>
  </si>
  <si>
    <t>Walk On the Wild Side</t>
  </si>
  <si>
    <t>5SqbMEyAt8332ISGiLX0St</t>
  </si>
  <si>
    <t>0.683</t>
  </si>
  <si>
    <t>0.706</t>
  </si>
  <si>
    <t>0.205</t>
  </si>
  <si>
    <t>0.768</t>
  </si>
  <si>
    <t>Thin Lizzy</t>
  </si>
  <si>
    <t>0.0461</t>
  </si>
  <si>
    <t>https://api.spotify.com/v1/tracks/43DeSV93pJPT4lCZaWZ6b1</t>
  </si>
  <si>
    <t>spotify:track:43DeSV93pJPT4lCZaWZ6b1</t>
  </si>
  <si>
    <t>Jailbreak (Deluxe Edition)</t>
  </si>
  <si>
    <t>https://api.spotify.com/v1/audio-analysis/43DeSV93pJPT4lCZaWZ6b1</t>
  </si>
  <si>
    <t>43DeSV93pJPT4lCZaWZ6b1</t>
  </si>
  <si>
    <t>The Boys Are Back In Town</t>
  </si>
  <si>
    <t>0.000252</t>
  </si>
  <si>
    <t>6Cf545T4jkaiyvMnTRPOB2</t>
  </si>
  <si>
    <t>0.234</t>
  </si>
  <si>
    <t>0.913</t>
  </si>
  <si>
    <t>0.574</t>
  </si>
  <si>
    <t>0.156</t>
  </si>
  <si>
    <t>0.423</t>
  </si>
  <si>
    <t>https://api.spotify.com/v1/tracks/2zYzyRzz6pRmhPzyfMEC8s</t>
  </si>
  <si>
    <t>spotify:track:2zYzyRzz6pRmhPzyfMEC8s</t>
  </si>
  <si>
    <t>Highway to Hell</t>
  </si>
  <si>
    <t>https://api.spotify.com/v1/audio-analysis/2zYzyRzz6pRmhPzyfMEC8s</t>
  </si>
  <si>
    <t>2zYzyRzz6pRmhPzyfMEC8s</t>
  </si>
  <si>
    <t>0.00158</t>
  </si>
  <si>
    <t>10v912xgTZbjAtYfyKWJCS</t>
  </si>
  <si>
    <t>0.0754</t>
  </si>
  <si>
    <t>Billy Joel</t>
  </si>
  <si>
    <t>0.0343</t>
  </si>
  <si>
    <t>https://api.spotify.com/v1/tracks/4U45aEWtQhrm8A5mxPaFZ7</t>
  </si>
  <si>
    <t>spotify:track:4U45aEWtQhrm8A5mxPaFZ7</t>
  </si>
  <si>
    <t>The Stranger (Legacy Edition)</t>
  </si>
  <si>
    <t>https://api.spotify.com/v1/audio-analysis/4U45aEWtQhrm8A5mxPaFZ7</t>
  </si>
  <si>
    <t>4U45aEWtQhrm8A5mxPaFZ7</t>
  </si>
  <si>
    <t>Vienna</t>
  </si>
  <si>
    <t>1Mhn9VosyjtWn4dMPFlna6</t>
  </si>
  <si>
    <t>0.875</t>
  </si>
  <si>
    <t>0.402</t>
  </si>
  <si>
    <t>0.595</t>
  </si>
  <si>
    <t>0.0422</t>
  </si>
  <si>
    <t>https://api.spotify.com/v1/tracks/1L94M3KIu7QluZe63g64rv</t>
  </si>
  <si>
    <t>spotify:track:1L94M3KIu7QluZe63g64rv</t>
  </si>
  <si>
    <t>https://api.spotify.com/v1/audio-analysis/1L94M3KIu7QluZe63g64rv</t>
  </si>
  <si>
    <t>1L94M3KIu7QluZe63g64rv</t>
  </si>
  <si>
    <t>Alive</t>
  </si>
  <si>
    <t>0.000461</t>
  </si>
  <si>
    <t>0.00752</t>
  </si>
  <si>
    <t>0.737</t>
  </si>
  <si>
    <t>0.662</t>
  </si>
  <si>
    <t>-9.54</t>
  </si>
  <si>
    <t>Tina Turner</t>
  </si>
  <si>
    <t>0.0296</t>
  </si>
  <si>
    <t>https://api.spotify.com/v1/tracks/6pPWRBubXOBAHnjl5ZIujB</t>
  </si>
  <si>
    <t>spotify:track:6pPWRBubXOBAHnjl5ZIujB</t>
  </si>
  <si>
    <t>Foreign Affair</t>
  </si>
  <si>
    <t>https://api.spotify.com/v1/audio-analysis/6pPWRBubXOBAHnjl5ZIujB</t>
  </si>
  <si>
    <t>6pPWRBubXOBAHnjl5ZIujB</t>
  </si>
  <si>
    <t>The Best</t>
  </si>
  <si>
    <t>0.0191</t>
  </si>
  <si>
    <t>3hgAoHSmany3EiKL0Aqh3G</t>
  </si>
  <si>
    <t>0.108</t>
  </si>
  <si>
    <t>0.936</t>
  </si>
  <si>
    <t>0.666</t>
  </si>
  <si>
    <t>0.153</t>
  </si>
  <si>
    <t>0.0476</t>
  </si>
  <si>
    <t>https://api.spotify.com/v1/tracks/0uppYCG86ajpV2hSR3dJJ0</t>
  </si>
  <si>
    <t>spotify:track:0uppYCG86ajpV2hSR3dJJ0</t>
  </si>
  <si>
    <t>https://api.spotify.com/v1/audio-analysis/0uppYCG86ajpV2hSR3dJJ0</t>
  </si>
  <si>
    <t>0uppYCG86ajpV2hSR3dJJ0</t>
  </si>
  <si>
    <t>Give It Away</t>
  </si>
  <si>
    <t>0.086</t>
  </si>
  <si>
    <t>0.432</t>
  </si>
  <si>
    <t>0.648</t>
  </si>
  <si>
    <t>0.0302</t>
  </si>
  <si>
    <t>https://api.spotify.com/v1/tracks/6ORqU0bHbVCRjXm9AjyHyZ</t>
  </si>
  <si>
    <t>spotify:track:6ORqU0bHbVCRjXm9AjyHyZ</t>
  </si>
  <si>
    <t>Nimrod</t>
  </si>
  <si>
    <t>https://api.spotify.com/v1/audio-analysis/6ORqU0bHbVCRjXm9AjyHyZ</t>
  </si>
  <si>
    <t>6ORqU0bHbVCRjXm9AjyHyZ</t>
  </si>
  <si>
    <t>Good Riddance (Time of Your Life)</t>
  </si>
  <si>
    <t>3x2uer6Xh0d5rF8toWpRDA</t>
  </si>
  <si>
    <t>0.183</t>
  </si>
  <si>
    <t>0.516</t>
  </si>
  <si>
    <t>0.184</t>
  </si>
  <si>
    <t>0.907</t>
  </si>
  <si>
    <t>Don Henley</t>
  </si>
  <si>
    <t>0.0373</t>
  </si>
  <si>
    <t>https://api.spotify.com/v1/tracks/4gvea7UlDkAvsJBPZAd4oB</t>
  </si>
  <si>
    <t>spotify:track:4gvea7UlDkAvsJBPZAd4oB</t>
  </si>
  <si>
    <t>Building The Perfect Beast</t>
  </si>
  <si>
    <t>https://api.spotify.com/v1/audio-analysis/4gvea7UlDkAvsJBPZAd4oB</t>
  </si>
  <si>
    <t>4gvea7UlDkAvsJBPZAd4oB</t>
  </si>
  <si>
    <t>The Boys Of Summer</t>
  </si>
  <si>
    <t>0.00572</t>
  </si>
  <si>
    <t>2x1s5aVQ01ylPs5nUdeA2i</t>
  </si>
  <si>
    <t>0.751</t>
  </si>
  <si>
    <t>0.0472</t>
  </si>
  <si>
    <t>https://api.spotify.com/v1/tracks/6ToM0uwxtPKo9CMpbPGYvM</t>
  </si>
  <si>
    <t>spotify:track:6ToM0uwxtPKo9CMpbPGYvM</t>
  </si>
  <si>
    <t>https://api.spotify.com/v1/audio-analysis/6ToM0uwxtPKo9CMpbPGYvM</t>
  </si>
  <si>
    <t>6ToM0uwxtPKo9CMpbPGYvM</t>
  </si>
  <si>
    <t>Break on Through (To the Other Side)</t>
  </si>
  <si>
    <t>1jWmEhn3ggaL6isoyLfwBn</t>
  </si>
  <si>
    <t>0.938</t>
  </si>
  <si>
    <t>0.324</t>
  </si>
  <si>
    <t>0.543</t>
  </si>
  <si>
    <t>Beastie Boys</t>
  </si>
  <si>
    <t>0.102</t>
  </si>
  <si>
    <t>https://api.spotify.com/v1/tracks/0Puj4YlTm6xNzDDADXHMI9</t>
  </si>
  <si>
    <t>spotify:track:0Puj4YlTm6xNzDDADXHMI9</t>
  </si>
  <si>
    <t>Ill Communication</t>
  </si>
  <si>
    <t>https://api.spotify.com/v1/audio-analysis/0Puj4YlTm6xNzDDADXHMI9</t>
  </si>
  <si>
    <t>0Puj4YlTm6xNzDDADXHMI9</t>
  </si>
  <si>
    <t>Sabotage</t>
  </si>
  <si>
    <t>0.0321</t>
  </si>
  <si>
    <t>6lfjbwFGzQ6aSNP1N3JlT8</t>
  </si>
  <si>
    <t>0.953</t>
  </si>
  <si>
    <t>0.267</t>
  </si>
  <si>
    <t>0.283</t>
  </si>
  <si>
    <t>0.568</t>
  </si>
  <si>
    <t>Def Leppard</t>
  </si>
  <si>
    <t>0.096</t>
  </si>
  <si>
    <t>https://api.spotify.com/v1/tracks/0PdM2a6oIjqepoEfcJo0RO</t>
  </si>
  <si>
    <t>spotify:track:0PdM2a6oIjqepoEfcJo0RO</t>
  </si>
  <si>
    <t>Hysteria (Super Deluxe)</t>
  </si>
  <si>
    <t>https://api.spotify.com/v1/audio-analysis/0PdM2a6oIjqepoEfcJo0RO</t>
  </si>
  <si>
    <t>0PdM2a6oIjqepoEfcJo0RO</t>
  </si>
  <si>
    <t>Pour Some Sugar On Me - Remastered 2017</t>
  </si>
  <si>
    <t>31oeDyCOLhgeZyktfxo0pE</t>
  </si>
  <si>
    <t>0.919</t>
  </si>
  <si>
    <t>0.465</t>
  </si>
  <si>
    <t>0.262</t>
  </si>
  <si>
    <t>0.537</t>
  </si>
  <si>
    <t>0.0408</t>
  </si>
  <si>
    <t>https://api.spotify.com/v1/tracks/5OQsiBsky2k2kDKy2bX2eT</t>
  </si>
  <si>
    <t>spotify:track:5OQsiBsky2k2kDKy2bX2eT</t>
  </si>
  <si>
    <t>There Is Nothing Left To Lose</t>
  </si>
  <si>
    <t>https://api.spotify.com/v1/audio-analysis/5OQsiBsky2k2kDKy2bX2eT</t>
  </si>
  <si>
    <t>5OQsiBsky2k2kDKy2bX2eT</t>
  </si>
  <si>
    <t>Learn to Fly</t>
  </si>
  <si>
    <t>2.07e-05</t>
  </si>
  <si>
    <t>28q2N44ocJECgf8sbHEDfY</t>
  </si>
  <si>
    <t>1.83e-05</t>
  </si>
  <si>
    <t>0.58</t>
  </si>
  <si>
    <t>-9.05</t>
  </si>
  <si>
    <t>Pat Benatar</t>
  </si>
  <si>
    <t>https://api.spotify.com/v1/tracks/0vOkmmJEtjuFZDzrQSFzEE</t>
  </si>
  <si>
    <t>spotify:track:0vOkmmJEtjuFZDzrQSFzEE</t>
  </si>
  <si>
    <t>Crimes Of Passion</t>
  </si>
  <si>
    <t>https://api.spotify.com/v1/audio-analysis/0vOkmmJEtjuFZDzrQSFzEE</t>
  </si>
  <si>
    <t>0vOkmmJEtjuFZDzrQSFzEE</t>
  </si>
  <si>
    <t>Hit Me With Your Best Shot</t>
  </si>
  <si>
    <t>3.61e-05</t>
  </si>
  <si>
    <t>7HlWbMlmhASeeZ61ZiHpWJ</t>
  </si>
  <si>
    <t>0.404</t>
  </si>
  <si>
    <t>-9.18</t>
  </si>
  <si>
    <t>0.0466</t>
  </si>
  <si>
    <t>0.0623</t>
  </si>
  <si>
    <t>https://api.spotify.com/v1/tracks/6GtX0jaNL8IjVQfrDBx81z</t>
  </si>
  <si>
    <t>spotify:track:6GtX0jaNL8IjVQfrDBx81z</t>
  </si>
  <si>
    <t>https://api.spotify.com/v1/audio-analysis/6GtX0jaNL8IjVQfrDBx81z</t>
  </si>
  <si>
    <t>6GtX0jaNL8IjVQfrDBx81z</t>
  </si>
  <si>
    <t>Bullet With Butterfly Wings - Remastered 2012</t>
  </si>
  <si>
    <t>5.59e-05</t>
  </si>
  <si>
    <t>0.215</t>
  </si>
  <si>
    <t>Stone Temple Pilots</t>
  </si>
  <si>
    <t>0.0452</t>
  </si>
  <si>
    <t>https://api.spotify.com/v1/tracks/6qLEOZvf5gI7kWE63JE7p3</t>
  </si>
  <si>
    <t>spotify:track:6qLEOZvf5gI7kWE63JE7p3</t>
  </si>
  <si>
    <t>Purple (2019 Remaster)</t>
  </si>
  <si>
    <t>https://api.spotify.com/v1/audio-analysis/6qLEOZvf5gI7kWE63JE7p3</t>
  </si>
  <si>
    <t>6qLEOZvf5gI7kWE63JE7p3</t>
  </si>
  <si>
    <t>Interstate Love Song - 2019 Remaster</t>
  </si>
  <si>
    <t>0.00661</t>
  </si>
  <si>
    <t>57lcTrUlYgfMIPvBUsVU6h</t>
  </si>
  <si>
    <t>0.000273</t>
  </si>
  <si>
    <t>0.801</t>
  </si>
  <si>
    <t>-7.34</t>
  </si>
  <si>
    <t>0.0825</t>
  </si>
  <si>
    <t>0.0514</t>
  </si>
  <si>
    <t>https://api.spotify.com/v1/tracks/5jzma6gCzYtKB1DbEwFZKH</t>
  </si>
  <si>
    <t>spotify:track:5jzma6gCzYtKB1DbEwFZKH</t>
  </si>
  <si>
    <t>London Calling (Remastered)</t>
  </si>
  <si>
    <t>https://api.spotify.com/v1/audio-analysis/5jzma6gCzYtKB1DbEwFZKH</t>
  </si>
  <si>
    <t>5jzma6gCzYtKB1DbEwFZKH</t>
  </si>
  <si>
    <t>London Calling - Remastered</t>
  </si>
  <si>
    <t>6FCzvataOZh68j8OKzOt9a</t>
  </si>
  <si>
    <t>0.123</t>
  </si>
  <si>
    <t>0.481</t>
  </si>
  <si>
    <t>-15.73</t>
  </si>
  <si>
    <t>0.832</t>
  </si>
  <si>
    <t>0.375</t>
  </si>
  <si>
    <t>0.0414</t>
  </si>
  <si>
    <t>https://api.spotify.com/v1/tracks/6mFkJmJqdDVQ1REhVfGgd1</t>
  </si>
  <si>
    <t>spotify:track:6mFkJmJqdDVQ1REhVfGgd1</t>
  </si>
  <si>
    <t>Wish You Were Here</t>
  </si>
  <si>
    <t>https://api.spotify.com/v1/audio-analysis/6mFkJmJqdDVQ1REhVfGgd1</t>
  </si>
  <si>
    <t>6mFkJmJqdDVQ1REhVfGgd1</t>
  </si>
  <si>
    <t>0.0114</t>
  </si>
  <si>
    <t>0bCAjiUamIFqKJsekOYuRw</t>
  </si>
  <si>
    <t>0.623</t>
  </si>
  <si>
    <t>0.573</t>
  </si>
  <si>
    <t>Tom Petty</t>
  </si>
  <si>
    <t>0.0253</t>
  </si>
  <si>
    <t>https://api.spotify.com/v1/tracks/5tVA6TkbaAH9QMITTQRrNv</t>
  </si>
  <si>
    <t>spotify:track:5tVA6TkbaAH9QMITTQRrNv</t>
  </si>
  <si>
    <t>Full Moon Fever</t>
  </si>
  <si>
    <t>https://api.spotify.com/v1/audio-analysis/5tVA6TkbaAH9QMITTQRrNv</t>
  </si>
  <si>
    <t>5tVA6TkbaAH9QMITTQRrNv</t>
  </si>
  <si>
    <t>Free Fallin'</t>
  </si>
  <si>
    <t>5d71Imt5CIb7LpQwDMQ093</t>
  </si>
  <si>
    <t>0.476</t>
  </si>
  <si>
    <t>0.389</t>
  </si>
  <si>
    <t>0.255</t>
  </si>
  <si>
    <t>0.566</t>
  </si>
  <si>
    <t>Blind Melon</t>
  </si>
  <si>
    <t>https://api.spotify.com/v1/tracks/6txWz9UapYHVxEd7dDIHXT</t>
  </si>
  <si>
    <t>spotify:track:6txWz9UapYHVxEd7dDIHXT</t>
  </si>
  <si>
    <t>https://api.spotify.com/v1/audio-analysis/6txWz9UapYHVxEd7dDIHXT</t>
  </si>
  <si>
    <t>6txWz9UapYHVxEd7dDIHXT</t>
  </si>
  <si>
    <t>No Rain</t>
  </si>
  <si>
    <t>5.09e-05</t>
  </si>
  <si>
    <t>55jET4vDioHHd7ztX7OX3h</t>
  </si>
  <si>
    <t>0.978</t>
  </si>
  <si>
    <t>0.526</t>
  </si>
  <si>
    <t>0.0744</t>
  </si>
  <si>
    <t>0.451</t>
  </si>
  <si>
    <t>https://api.spotify.com/v1/tracks/05RgAMGypEvqhNs5hPCbMS</t>
  </si>
  <si>
    <t>spotify:track:05RgAMGypEvqhNs5hPCbMS</t>
  </si>
  <si>
    <t>1984 (Remastered)</t>
  </si>
  <si>
    <t>https://api.spotify.com/v1/audio-analysis/05RgAMGypEvqhNs5hPCbMS</t>
  </si>
  <si>
    <t>05RgAMGypEvqhNs5hPCbMS</t>
  </si>
  <si>
    <t>Panama - 2015 Remaster</t>
  </si>
  <si>
    <t>4.75e-05</t>
  </si>
  <si>
    <t>3REUXdj5OPKhuDTrTtCBU0</t>
  </si>
  <si>
    <t>0.00122</t>
  </si>
  <si>
    <t>0.842</t>
  </si>
  <si>
    <t>0.0848</t>
  </si>
  <si>
    <t>Alice In Chains</t>
  </si>
  <si>
    <t>0.0488</t>
  </si>
  <si>
    <t>https://api.spotify.com/v1/tracks/5sFDReWLrZHLFZFjHsjUTS</t>
  </si>
  <si>
    <t>spotify:track:5sFDReWLrZHLFZFjHsjUTS</t>
  </si>
  <si>
    <t>Dirt (2022 Remaster)</t>
  </si>
  <si>
    <t>https://api.spotify.com/v1/audio-analysis/5sFDReWLrZHLFZFjHsjUTS</t>
  </si>
  <si>
    <t>5sFDReWLrZHLFZFjHsjUTS</t>
  </si>
  <si>
    <t>Would? (2022 Remaster)</t>
  </si>
  <si>
    <t>9.1e-06</t>
  </si>
  <si>
    <t>58NXIEYqmq5dQHg9nV9duM</t>
  </si>
  <si>
    <t>0.000286</t>
  </si>
  <si>
    <t>0.27</t>
  </si>
  <si>
    <t>0.606</t>
  </si>
  <si>
    <t>0.0975</t>
  </si>
  <si>
    <t>https://api.spotify.com/v1/tracks/6hTcuIQa0sxrrByu9wTD7s</t>
  </si>
  <si>
    <t>spotify:track:6hTcuIQa0sxrrByu9wTD7s</t>
  </si>
  <si>
    <t>Born To Run</t>
  </si>
  <si>
    <t>https://api.spotify.com/v1/audio-analysis/6hTcuIQa0sxrrByu9wTD7s</t>
  </si>
  <si>
    <t>6hTcuIQa0sxrrByu9wTD7s</t>
  </si>
  <si>
    <t>Born to Run</t>
  </si>
  <si>
    <t>2.05e-05</t>
  </si>
  <si>
    <t>43YIoHKSrEw2GJsWmhZIpu</t>
  </si>
  <si>
    <t>0.00501</t>
  </si>
  <si>
    <t>0.182</t>
  </si>
  <si>
    <t>jazz</t>
  </si>
  <si>
    <t>0.143</t>
  </si>
  <si>
    <t>0.178</t>
  </si>
  <si>
    <t>Nat King Cole</t>
  </si>
  <si>
    <t>0.031</t>
  </si>
  <si>
    <t>https://api.spotify.com/v1/tracks/648TTtYB0bH0P8Hfy0FmkL</t>
  </si>
  <si>
    <t>spotify:track:648TTtYB0bH0P8Hfy0FmkL</t>
  </si>
  <si>
    <t>Unforgettable</t>
  </si>
  <si>
    <t>Jazz Classics</t>
  </si>
  <si>
    <t>https://api.spotify.com/v1/audio-analysis/648TTtYB0bH0P8Hfy0FmkL</t>
  </si>
  <si>
    <t>648TTtYB0bH0P8Hfy0FmkL</t>
  </si>
  <si>
    <t>7GBvXtxnvBluo2f4xBVNkm</t>
  </si>
  <si>
    <t>0.92</t>
  </si>
  <si>
    <t>37i9dQZF1DXbITWG1ZJKYt</t>
  </si>
  <si>
    <t>0.136</t>
  </si>
  <si>
    <t>classical</t>
  </si>
  <si>
    <t>0.071</t>
  </si>
  <si>
    <t>Pyotr Ilyich Tchaikovsky, Andr√© Previn, London Symphony Orchestra</t>
  </si>
  <si>
    <t>https://api.spotify.com/v1/tracks/2xizRhme7pYeITbH1NLLGt</t>
  </si>
  <si>
    <t>spotify:track:2xizRhme7pYeITbH1NLLGt</t>
  </si>
  <si>
    <t>Tchaikovsky: Swan Lake</t>
  </si>
  <si>
    <t>Classical Essentials</t>
  </si>
  <si>
    <t>https://api.spotify.com/v1/audio-analysis/2xizRhme7pYeITbH1NLLGt</t>
  </si>
  <si>
    <t>2xizRhme7pYeITbH1NLLGt</t>
  </si>
  <si>
    <t>Tchaikovsky: Swan Lake, Op. 20, Act 2: No. 10, Scene. Moderato</t>
  </si>
  <si>
    <t>0.916</t>
  </si>
  <si>
    <t>7dVA06E7AP7P7VzPyNxQVO</t>
  </si>
  <si>
    <t>0.911</t>
  </si>
  <si>
    <t>essential</t>
  </si>
  <si>
    <t>37i9dQZF1DWWEJlAGA9gs0</t>
  </si>
  <si>
    <t>0.00527</t>
  </si>
  <si>
    <t>Ludwig van Beethoven, Paul Lewis</t>
  </si>
  <si>
    <t>https://api.spotify.com/v1/tracks/3DNRdudZ2SstnDCVKFdXxG</t>
  </si>
  <si>
    <t>spotify:track:3DNRdudZ2SstnDCVKFdXxG</t>
  </si>
  <si>
    <t>Beethoven: Piano Sonatas, Vol.3</t>
  </si>
  <si>
    <t>https://api.spotify.com/v1/audio-analysis/3DNRdudZ2SstnDCVKFdXxG</t>
  </si>
  <si>
    <t>3DNRdudZ2SstnDCVKFdXxG</t>
  </si>
  <si>
    <t>Sonata No. 14 "Moonlight" in C-Sharp Minor", Op. 27 No. 2: I. Adagio sostenuto</t>
  </si>
  <si>
    <t>0.887</t>
  </si>
  <si>
    <t>4bNwPPpk01D8pVV9IFSBde</t>
  </si>
  <si>
    <t>0.995</t>
  </si>
  <si>
    <t>0.447</t>
  </si>
  <si>
    <t>0.036</t>
  </si>
  <si>
    <t>Ludovico Einaudi, Daniel Hope, I Virtuosi Italiani</t>
  </si>
  <si>
    <t>0.0376</t>
  </si>
  <si>
    <t>https://api.spotify.com/v1/tracks/1BncfTJAWxrsxyT9culBrj</t>
  </si>
  <si>
    <t>spotify:track:1BncfTJAWxrsxyT9culBrj</t>
  </si>
  <si>
    <t>In A Time Lapse</t>
  </si>
  <si>
    <t>https://api.spotify.com/v1/audio-analysis/1BncfTJAWxrsxyT9culBrj</t>
  </si>
  <si>
    <t>1BncfTJAWxrsxyT9culBrj</t>
  </si>
  <si>
    <t>Experience</t>
  </si>
  <si>
    <t>0.961</t>
  </si>
  <si>
    <t>3uJ6D2WOPdjwJ0SrsH9EiG</t>
  </si>
  <si>
    <t>hip-hop</t>
  </si>
  <si>
    <t>RapCaviar</t>
  </si>
  <si>
    <t>modern</t>
  </si>
  <si>
    <t>37i9dQZF1DX0XUsuxWHRQd</t>
  </si>
  <si>
    <t>0.506</t>
  </si>
  <si>
    <t>Gunna</t>
  </si>
  <si>
    <t>0.072</t>
  </si>
  <si>
    <t>https://api.spotify.com/v1/tracks/2EKL77lwxvo615Ga7VjEUl</t>
  </si>
  <si>
    <t>spotify:track:2EKL77lwxvo615Ga7VjEUl</t>
  </si>
  <si>
    <t>HIM ALL ALONG</t>
  </si>
  <si>
    <t>https://api.spotify.com/v1/audio-analysis/2EKL77lwxvo615Ga7VjEUl</t>
  </si>
  <si>
    <t>2EKL77lwxvo615Ga7VjEUl</t>
  </si>
  <si>
    <t>5HoNV9xqGbGufrIFH271dR</t>
  </si>
  <si>
    <t>0.195</t>
  </si>
  <si>
    <t>0.802</t>
  </si>
  <si>
    <t>0.835</t>
  </si>
  <si>
    <t>0.0882</t>
  </si>
  <si>
    <t>0.374</t>
  </si>
  <si>
    <t>BigXthaPlug</t>
  </si>
  <si>
    <t>0.243</t>
  </si>
  <si>
    <t>https://api.spotify.com/v1/tracks/4CkbpelT92r4dVkceDX9g1</t>
  </si>
  <si>
    <t>spotify:track:4CkbpelT92r4dVkceDX9g1</t>
  </si>
  <si>
    <t>TAKE CARE</t>
  </si>
  <si>
    <t>https://api.spotify.com/v1/audio-analysis/4CkbpelT92r4dVkceDX9g1</t>
  </si>
  <si>
    <t>4CkbpelT92r4dVkceDX9g1</t>
  </si>
  <si>
    <t>Leave Me Alone</t>
  </si>
  <si>
    <t>7.33e-06</t>
  </si>
  <si>
    <t>6LU7SYL9BWAt3TgEK4DdAc</t>
  </si>
  <si>
    <t>0.0311</t>
  </si>
  <si>
    <t>0.533</t>
  </si>
  <si>
    <t>0.794</t>
  </si>
  <si>
    <t>0.207</t>
  </si>
  <si>
    <t>Future</t>
  </si>
  <si>
    <t>0.0591</t>
  </si>
  <si>
    <t>https://api.spotify.com/v1/tracks/2t4H61OtTYgmDe61KxkjKH</t>
  </si>
  <si>
    <t>spotify:track:2t4H61OtTYgmDe61KxkjKH</t>
  </si>
  <si>
    <t>MIXTAPE PLUTO</t>
  </si>
  <si>
    <t>https://api.spotify.com/v1/audio-analysis/2t4H61OtTYgmDe61KxkjKH</t>
  </si>
  <si>
    <t>2t4H61OtTYgmDe61KxkjKH</t>
  </si>
  <si>
    <t>PLUTOSKI</t>
  </si>
  <si>
    <t>2.76e-05</t>
  </si>
  <si>
    <t>4Zoxsc06EUHRf5GrJPJZ54</t>
  </si>
  <si>
    <t>0.684</t>
  </si>
  <si>
    <t>0.229</t>
  </si>
  <si>
    <t>0.68</t>
  </si>
  <si>
    <t>0.359</t>
  </si>
  <si>
    <t>https://api.spotify.com/v1/tracks/5xeSd4HgzrYpNLEf3LfYLK</t>
  </si>
  <si>
    <t>spotify:track:5xeSd4HgzrYpNLEf3LfYLK</t>
  </si>
  <si>
    <t>GLORIOUS</t>
  </si>
  <si>
    <t>https://api.spotify.com/v1/audio-analysis/5xeSd4HgzrYpNLEf3LfYLK</t>
  </si>
  <si>
    <t>5xeSd4HgzrYpNLEf3LfYLK</t>
  </si>
  <si>
    <t>WHATCHU KNO ABOUT ME (feat. Sexyy Red)</t>
  </si>
  <si>
    <t>4dUAojdnh5Bcho1n8bPSO0</t>
  </si>
  <si>
    <t>0.00449</t>
  </si>
  <si>
    <t>0.642</t>
  </si>
  <si>
    <t>0.65</t>
  </si>
  <si>
    <t>0.0855</t>
  </si>
  <si>
    <t>0.186</t>
  </si>
  <si>
    <t>Lil Baby</t>
  </si>
  <si>
    <t>https://api.spotify.com/v1/tracks/6afQ4fJDJ9QqU5BKIH99Ej</t>
  </si>
  <si>
    <t>spotify:track:6afQ4fJDJ9QqU5BKIH99Ej</t>
  </si>
  <si>
    <t>Insecurities</t>
  </si>
  <si>
    <t>https://api.spotify.com/v1/audio-analysis/6afQ4fJDJ9QqU5BKIH99Ej</t>
  </si>
  <si>
    <t>6afQ4fJDJ9QqU5BKIH99Ej</t>
  </si>
  <si>
    <t>2g28Q65tnnBD8TaCAFpdQi</t>
  </si>
  <si>
    <t>0.00502</t>
  </si>
  <si>
    <t>0.699</t>
  </si>
  <si>
    <t>0.0745</t>
  </si>
  <si>
    <t>0.484</t>
  </si>
  <si>
    <t>NLE Choppa</t>
  </si>
  <si>
    <t>https://api.spotify.com/v1/tracks/76Ku9OBFK1NjMylR8r4WLK</t>
  </si>
  <si>
    <t>spotify:track:76Ku9OBFK1NjMylR8r4WLK</t>
  </si>
  <si>
    <t>SLUT SZN</t>
  </si>
  <si>
    <t>https://api.spotify.com/v1/audio-analysis/76Ku9OBFK1NjMylR8r4WLK</t>
  </si>
  <si>
    <t>76Ku9OBFK1NjMylR8r4WLK</t>
  </si>
  <si>
    <t>Gang Baby</t>
  </si>
  <si>
    <t>1oA2UN6nt7jhEuVtiCeCke</t>
  </si>
  <si>
    <t>0.00768</t>
  </si>
  <si>
    <t>78.53</t>
  </si>
  <si>
    <t>Real Boston Richey</t>
  </si>
  <si>
    <t>https://api.spotify.com/v1/tracks/487JCvAXVblflZyDJn3fSp</t>
  </si>
  <si>
    <t>spotify:track:487JCvAXVblflZyDJn3fSp</t>
  </si>
  <si>
    <t>Help Me</t>
  </si>
  <si>
    <t>https://api.spotify.com/v1/audio-analysis/487JCvAXVblflZyDJn3fSp</t>
  </si>
  <si>
    <t>487JCvAXVblflZyDJn3fSp</t>
  </si>
  <si>
    <t>01JuX8fEX5ACudymzCB3O3</t>
  </si>
  <si>
    <t>0.155</t>
  </si>
  <si>
    <t>0.853</t>
  </si>
  <si>
    <t>0.0835</t>
  </si>
  <si>
    <t>Drake</t>
  </si>
  <si>
    <t>0.0647</t>
  </si>
  <si>
    <t>https://api.spotify.com/v1/tracks/1560osUcXrnov6yuOjXvc1</t>
  </si>
  <si>
    <t>spotify:track:1560osUcXrnov6yuOjXvc1</t>
  </si>
  <si>
    <t>No Face</t>
  </si>
  <si>
    <t>https://api.spotify.com/v1/audio-analysis/1560osUcXrnov6yuOjXvc1</t>
  </si>
  <si>
    <t>1560osUcXrnov6yuOjXvc1</t>
  </si>
  <si>
    <t>78NIQe42qKXahAeZAb3w0h</t>
  </si>
  <si>
    <t>0.0771</t>
  </si>
  <si>
    <t>0.754</t>
  </si>
  <si>
    <t>0.0913</t>
  </si>
  <si>
    <t>0.301</t>
  </si>
  <si>
    <t>0.0611</t>
  </si>
  <si>
    <t>https://api.spotify.com/v1/tracks/3aCPResPDNae3pXTocGpYe</t>
  </si>
  <si>
    <t>spotify:track:3aCPResPDNae3pXTocGpYe</t>
  </si>
  <si>
    <t>https://api.spotify.com/v1/audio-analysis/3aCPResPDNae3pXTocGpYe</t>
  </si>
  <si>
    <t>3aCPResPDNae3pXTocGpYe</t>
  </si>
  <si>
    <t>LIL DEMON</t>
  </si>
  <si>
    <t>0.4</t>
  </si>
  <si>
    <t>0.089</t>
  </si>
  <si>
    <t>Luh Tyler, BossMan Dlow</t>
  </si>
  <si>
    <t>0.32</t>
  </si>
  <si>
    <t>https://api.spotify.com/v1/tracks/62oLxos6R04SVYL1lXidvu</t>
  </si>
  <si>
    <t>spotify:track:62oLxos6R04SVYL1lXidvu</t>
  </si>
  <si>
    <t>Mr. Skii</t>
  </si>
  <si>
    <t>https://api.spotify.com/v1/audio-analysis/62oLxos6R04SVYL1lXidvu</t>
  </si>
  <si>
    <t>62oLxos6R04SVYL1lXidvu</t>
  </si>
  <si>
    <t>2 Slippery (feat. BossMan Dlow)</t>
  </si>
  <si>
    <t>0.000327</t>
  </si>
  <si>
    <t>4XqpSvwcjnoR5YP5lBLuTi</t>
  </si>
  <si>
    <t>0.029</t>
  </si>
  <si>
    <t>157.94</t>
  </si>
  <si>
    <t>0.266</t>
  </si>
  <si>
    <t>Lil Yachty, Veeze</t>
  </si>
  <si>
    <t>https://api.spotify.com/v1/tracks/4lwfqyQXSDJ7kELpMErMih</t>
  </si>
  <si>
    <t>spotify:track:4lwfqyQXSDJ7kELpMErMih</t>
  </si>
  <si>
    <t>Sorry Not Sorry</t>
  </si>
  <si>
    <t>https://api.spotify.com/v1/audio-analysis/4lwfqyQXSDJ7kELpMErMih</t>
  </si>
  <si>
    <t>4lwfqyQXSDJ7kELpMErMih</t>
  </si>
  <si>
    <t>2Wu6YPeXdwiyqV5YulLf1W</t>
  </si>
  <si>
    <t>0.209</t>
  </si>
  <si>
    <t>Playboi Carti</t>
  </si>
  <si>
    <t>0.0551</t>
  </si>
  <si>
    <t>https://api.spotify.com/v1/tracks/2cZOYofOX4d6g0OXxkaIjA</t>
  </si>
  <si>
    <t>spotify:track:2cZOYofOX4d6g0OXxkaIjA</t>
  </si>
  <si>
    <t>ALL RED</t>
  </si>
  <si>
    <t>https://api.spotify.com/v1/audio-analysis/2cZOYofOX4d6g0OXxkaIjA</t>
  </si>
  <si>
    <t>2cZOYofOX4d6g0OXxkaIjA</t>
  </si>
  <si>
    <t>3cdcIcidzGHVQW5e9qQgtx</t>
  </si>
  <si>
    <t>0.761</t>
  </si>
  <si>
    <t>0.649</t>
  </si>
  <si>
    <t>0.313</t>
  </si>
  <si>
    <t>Lil Tecca, Don Toliver</t>
  </si>
  <si>
    <t>https://api.spotify.com/v1/tracks/1Ftb0PK0Qqwax3gofiMd2X</t>
  </si>
  <si>
    <t>spotify:track:1Ftb0PK0Qqwax3gofiMd2X</t>
  </si>
  <si>
    <t>PLAN A</t>
  </si>
  <si>
    <t>https://api.spotify.com/v1/audio-analysis/1Ftb0PK0Qqwax3gofiMd2X</t>
  </si>
  <si>
    <t>1Ftb0PK0Qqwax3gofiMd2X</t>
  </si>
  <si>
    <t>I CAN‚ÄôT LET GO</t>
  </si>
  <si>
    <t>6uWva3kfeqqVIsNAJ2MmeL</t>
  </si>
  <si>
    <t>0.00694</t>
  </si>
  <si>
    <t>0.134</t>
  </si>
  <si>
    <t>0.381</t>
  </si>
  <si>
    <t>Lil Uzi Vert</t>
  </si>
  <si>
    <t>https://api.spotify.com/v1/tracks/4ppKM7xnkSAwSyKqD4QTY4</t>
  </si>
  <si>
    <t>spotify:track:4ppKM7xnkSAwSyKqD4QTY4</t>
  </si>
  <si>
    <t>Eternal Atake 2</t>
  </si>
  <si>
    <t>https://api.spotify.com/v1/audio-analysis/4ppKM7xnkSAwSyKqD4QTY4</t>
  </si>
  <si>
    <t>4ppKM7xnkSAwSyKqD4QTY4</t>
  </si>
  <si>
    <t>Chill Bae</t>
  </si>
  <si>
    <t>7awBKnBq0qRLNyD5lI47R0</t>
  </si>
  <si>
    <t>0.884</t>
  </si>
  <si>
    <t>0.277</t>
  </si>
  <si>
    <t>0.149</t>
  </si>
  <si>
    <t>https://api.spotify.com/v1/tracks/26TX1oZbaDeKxfTYDclSAo</t>
  </si>
  <si>
    <t>spotify:track:26TX1oZbaDeKxfTYDclSAo</t>
  </si>
  <si>
    <t>https://api.spotify.com/v1/audio-analysis/26TX1oZbaDeKxfTYDclSAo</t>
  </si>
  <si>
    <t>26TX1oZbaDeKxfTYDclSAo</t>
  </si>
  <si>
    <t>2AM</t>
  </si>
  <si>
    <t>0.0439</t>
  </si>
  <si>
    <t>0.294</t>
  </si>
  <si>
    <t>Drake, Young Thug, 21 Savage</t>
  </si>
  <si>
    <t>0.135</t>
  </si>
  <si>
    <t>https://api.spotify.com/v1/tracks/1qIwin7JMVuX70qN6wD8ww</t>
  </si>
  <si>
    <t>spotify:track:1qIwin7JMVuX70qN6wD8ww</t>
  </si>
  <si>
    <t>100 GIGS</t>
  </si>
  <si>
    <t>https://api.spotify.com/v1/audio-analysis/1qIwin7JMVuX70qN6wD8ww</t>
  </si>
  <si>
    <t>1qIwin7JMVuX70qN6wD8ww</t>
  </si>
  <si>
    <t>It's Up (feat. Young Thug &amp; 21 Savage)</t>
  </si>
  <si>
    <t>5oT8PMXGWiPlhcl930fkII</t>
  </si>
  <si>
    <t>0.831</t>
  </si>
  <si>
    <t>0.269</t>
  </si>
  <si>
    <t>BabyChiefDoit</t>
  </si>
  <si>
    <t>0.264</t>
  </si>
  <si>
    <t>https://api.spotify.com/v1/tracks/2JapCT0xikq6Fy1PQiJz1C</t>
  </si>
  <si>
    <t>spotify:track:2JapCT0xikq6Fy1PQiJz1C</t>
  </si>
  <si>
    <t>The Viper</t>
  </si>
  <si>
    <t>https://api.spotify.com/v1/audio-analysis/2JapCT0xikq6Fy1PQiJz1C</t>
  </si>
  <si>
    <t>2JapCT0xikq6Fy1PQiJz1C</t>
  </si>
  <si>
    <t>3cQR7hyzZEbwAESuPEu8qR</t>
  </si>
  <si>
    <t>0.0111</t>
  </si>
  <si>
    <t>0.525</t>
  </si>
  <si>
    <t>Latto</t>
  </si>
  <si>
    <t>0.137</t>
  </si>
  <si>
    <t>https://api.spotify.com/v1/tracks/1JF8LkQWZ8grXb2emqrNKn</t>
  </si>
  <si>
    <t>spotify:track:1JF8LkQWZ8grXb2emqrNKn</t>
  </si>
  <si>
    <t>Sugar Honey Iced Tea</t>
  </si>
  <si>
    <t>https://api.spotify.com/v1/audio-analysis/1JF8LkQWZ8grXb2emqrNKn</t>
  </si>
  <si>
    <t>1JF8LkQWZ8grXb2emqrNKn</t>
  </si>
  <si>
    <t>Brokey</t>
  </si>
  <si>
    <t>1S9LGRodo5jsXGsMeVaYNp</t>
  </si>
  <si>
    <t>0.0366</t>
  </si>
  <si>
    <t>0.427</t>
  </si>
  <si>
    <t>Rod Wave</t>
  </si>
  <si>
    <t>https://api.spotify.com/v1/tracks/0U60hgxzGit7juEuHul2y3</t>
  </si>
  <si>
    <t>spotify:track:0U60hgxzGit7juEuHul2y3</t>
  </si>
  <si>
    <t>Last Lap</t>
  </si>
  <si>
    <t>https://api.spotify.com/v1/audio-analysis/0U60hgxzGit7juEuHul2y3</t>
  </si>
  <si>
    <t>0U60hgxzGit7juEuHul2y3</t>
  </si>
  <si>
    <t>4ffJTc6OVVJ7rr65r5CGbq</t>
  </si>
  <si>
    <t>0.286</t>
  </si>
  <si>
    <t>0.0987</t>
  </si>
  <si>
    <t>NLE Choppa, 41, Kyle Richh</t>
  </si>
  <si>
    <t>0.172</t>
  </si>
  <si>
    <t>https://api.spotify.com/v1/tracks/3lUYO6zvXI88sNDpyKvIJ2</t>
  </si>
  <si>
    <t>spotify:track:3lUYO6zvXI88sNDpyKvIJ2</t>
  </si>
  <si>
    <t>Or What</t>
  </si>
  <si>
    <t>https://api.spotify.com/v1/audio-analysis/3lUYO6zvXI88sNDpyKvIJ2</t>
  </si>
  <si>
    <t>3lUYO6zvXI88sNDpyKvIJ2</t>
  </si>
  <si>
    <t>0O5WgUe2bObIlk6R0nwOs2</t>
  </si>
  <si>
    <t>Future, Metro Boomin, Travis Scott, Playboi Carti</t>
  </si>
  <si>
    <t>https://api.spotify.com/v1/tracks/28drn6tQo95MRvO0jQEo5C</t>
  </si>
  <si>
    <t>spotify:track:28drn6tQo95MRvO0jQEo5C</t>
  </si>
  <si>
    <t>WE DON'T TRUST YOU</t>
  </si>
  <si>
    <t>https://api.spotify.com/v1/audio-analysis/28drn6tQo95MRvO0jQEo5C</t>
  </si>
  <si>
    <t>28drn6tQo95MRvO0jQEo5C</t>
  </si>
  <si>
    <t>Type Shit</t>
  </si>
  <si>
    <t>4iqbFIdGOTzXeDtt9owjQn</t>
  </si>
  <si>
    <t>0.0215</t>
  </si>
  <si>
    <t>0.859</t>
  </si>
  <si>
    <t>129.77</t>
  </si>
  <si>
    <t>0.77</t>
  </si>
  <si>
    <t>Tyler, The Creator, ScHoolboy Q, Santigold</t>
  </si>
  <si>
    <t>0.275</t>
  </si>
  <si>
    <t>https://api.spotify.com/v1/tracks/2aYHxnMF2umAavtgBvmkY1</t>
  </si>
  <si>
    <t>spotify:track:2aYHxnMF2umAavtgBvmkY1</t>
  </si>
  <si>
    <t>https://api.spotify.com/v1/audio-analysis/2aYHxnMF2umAavtgBvmkY1</t>
  </si>
  <si>
    <t>2aYHxnMF2umAavtgBvmkY1</t>
  </si>
  <si>
    <t>Thought I Was Dead (feat. ScHoolboy Q &amp; Santigold)</t>
  </si>
  <si>
    <t>0.362</t>
  </si>
  <si>
    <t>0.0865</t>
  </si>
  <si>
    <t>¬•$, Playboi Carti, Don Toliver, Kodak Black</t>
  </si>
  <si>
    <t>https://api.spotify.com/v1/tracks/3lCb7ZYE3Fvie4JOPqpXfY</t>
  </si>
  <si>
    <t>spotify:track:3lCb7ZYE3Fvie4JOPqpXfY</t>
  </si>
  <si>
    <t>FIELD TRIP</t>
  </si>
  <si>
    <t>https://api.spotify.com/v1/audio-analysis/3lCb7ZYE3Fvie4JOPqpXfY</t>
  </si>
  <si>
    <t>3lCb7ZYE3Fvie4JOPqpXfY</t>
  </si>
  <si>
    <t>73RJkZAkpUFHyGw4gTUQjK</t>
  </si>
  <si>
    <t>0.578</t>
  </si>
  <si>
    <t>0.113</t>
  </si>
  <si>
    <t>0.192</t>
  </si>
  <si>
    <t>0.124</t>
  </si>
  <si>
    <t>https://api.spotify.com/v1/tracks/2jnezASa7o0lP6aif6VrIf</t>
  </si>
  <si>
    <t>spotify:track:2jnezASa7o0lP6aif6VrIf</t>
  </si>
  <si>
    <t>https://api.spotify.com/v1/audio-analysis/2jnezASa7o0lP6aif6VrIf</t>
  </si>
  <si>
    <t>2jnezASa7o0lP6aif6VrIf</t>
  </si>
  <si>
    <t>TEFLON DON</t>
  </si>
  <si>
    <t>0.00402</t>
  </si>
  <si>
    <t>0.00349</t>
  </si>
  <si>
    <t>0.082</t>
  </si>
  <si>
    <t>0.0483</t>
  </si>
  <si>
    <t>https://api.spotify.com/v1/tracks/1eroCliWpJrEu1V7VSObcO</t>
  </si>
  <si>
    <t>spotify:track:1eroCliWpJrEu1V7VSObcO</t>
  </si>
  <si>
    <t>https://api.spotify.com/v1/audio-analysis/1eroCliWpJrEu1V7VSObcO</t>
  </si>
  <si>
    <t>1eroCliWpJrEu1V7VSObcO</t>
  </si>
  <si>
    <t>Circadian Rhythm</t>
  </si>
  <si>
    <t>0.867</t>
  </si>
  <si>
    <t>0.142</t>
  </si>
  <si>
    <t>0.799</t>
  </si>
  <si>
    <t>https://api.spotify.com/v1/tracks/1F5Qp0SJS0QUfqIoQggrLz</t>
  </si>
  <si>
    <t>spotify:track:1F5Qp0SJS0QUfqIoQggrLz</t>
  </si>
  <si>
    <t>The Largest</t>
  </si>
  <si>
    <t>https://api.spotify.com/v1/audio-analysis/1F5Qp0SJS0QUfqIoQggrLz</t>
  </si>
  <si>
    <t>1F5Qp0SJS0QUfqIoQggrLz</t>
  </si>
  <si>
    <t>1pJj4lszz7C87NmizpZ144</t>
  </si>
  <si>
    <t>0.637</t>
  </si>
  <si>
    <t>https://api.spotify.com/v1/tracks/3NE6g9h77FZbQqCLzUpGRt</t>
  </si>
  <si>
    <t>spotify:track:3NE6g9h77FZbQqCLzUpGRt</t>
  </si>
  <si>
    <t>https://api.spotify.com/v1/audio-analysis/3NE6g9h77FZbQqCLzUpGRt</t>
  </si>
  <si>
    <t>3NE6g9h77FZbQqCLzUpGRt</t>
  </si>
  <si>
    <t>Light Year (Practice)</t>
  </si>
  <si>
    <t>0.0153</t>
  </si>
  <si>
    <t>0.675</t>
  </si>
  <si>
    <t>Tee Grizzley, J. Cole</t>
  </si>
  <si>
    <t>0.512</t>
  </si>
  <si>
    <t>https://api.spotify.com/v1/tracks/3rXlcLZk3MCaRPND5g9QiW</t>
  </si>
  <si>
    <t>spotify:track:3rXlcLZk3MCaRPND5g9QiW</t>
  </si>
  <si>
    <t>Blow for Blow (feat. J. Cole)</t>
  </si>
  <si>
    <t>https://api.spotify.com/v1/audio-analysis/3rXlcLZk3MCaRPND5g9QiW</t>
  </si>
  <si>
    <t>3rXlcLZk3MCaRPND5g9QiW</t>
  </si>
  <si>
    <t>7.8e-06</t>
  </si>
  <si>
    <t>3X327wwUvZhYQYlA6cfk9S</t>
  </si>
  <si>
    <t>0.0731</t>
  </si>
  <si>
    <t>0.878</t>
  </si>
  <si>
    <t>0.514</t>
  </si>
  <si>
    <t>Tyler, The Creator</t>
  </si>
  <si>
    <t>https://api.spotify.com/v1/tracks/5RePVWy39tLpHH0WwXgBsK</t>
  </si>
  <si>
    <t>spotify:track:5RePVWy39tLpHH0WwXgBsK</t>
  </si>
  <si>
    <t>https://api.spotify.com/v1/audio-analysis/5RePVWy39tLpHH0WwXgBsK</t>
  </si>
  <si>
    <t>5RePVWy39tLpHH0WwXgBsK</t>
  </si>
  <si>
    <t>Rah Tah Tah</t>
  </si>
  <si>
    <t>0.726</t>
  </si>
  <si>
    <t>0.527</t>
  </si>
  <si>
    <t>Juice WRLD</t>
  </si>
  <si>
    <t>https://api.spotify.com/v1/tracks/2FRc9wqgIjg2E3bH13ww6U</t>
  </si>
  <si>
    <t>spotify:track:2FRc9wqgIjg2E3bH13ww6U</t>
  </si>
  <si>
    <t>The Pre-Party (Extended)</t>
  </si>
  <si>
    <t>https://api.spotify.com/v1/audio-analysis/2FRc9wqgIjg2E3bH13ww6U</t>
  </si>
  <si>
    <t>2FRc9wqgIjg2E3bH13ww6U</t>
  </si>
  <si>
    <t>Both Ways</t>
  </si>
  <si>
    <t>51ojViy1d9Siz28EF08d49</t>
  </si>
  <si>
    <t>0.974</t>
  </si>
  <si>
    <t>0.0888</t>
  </si>
  <si>
    <t>Doechii</t>
  </si>
  <si>
    <t>0.194</t>
  </si>
  <si>
    <t>https://api.spotify.com/v1/tracks/2dKkVF2m160z0RNDN2dddc</t>
  </si>
  <si>
    <t>spotify:track:2dKkVF2m160z0RNDN2dddc</t>
  </si>
  <si>
    <t>Alligator Bites Never Heal</t>
  </si>
  <si>
    <t>https://api.spotify.com/v1/audio-analysis/2dKkVF2m160z0RNDN2dddc</t>
  </si>
  <si>
    <t>2dKkVF2m160z0RNDN2dddc</t>
  </si>
  <si>
    <t>NISSAN ALTIMA</t>
  </si>
  <si>
    <t>3.92e-05</t>
  </si>
  <si>
    <t>60UzB8mOCMpc7xkuJE6Bwc</t>
  </si>
  <si>
    <t>0.0988</t>
  </si>
  <si>
    <t>0.368</t>
  </si>
  <si>
    <t>A$AP Rocky</t>
  </si>
  <si>
    <t>https://api.spotify.com/v1/tracks/5xMjhZKSo8yh5r9b5vrYRr</t>
  </si>
  <si>
    <t>spotify:track:5xMjhZKSo8yh5r9b5vrYRr</t>
  </si>
  <si>
    <t>Tailor Swif</t>
  </si>
  <si>
    <t>https://api.spotify.com/v1/audio-analysis/5xMjhZKSo8yh5r9b5vrYRr</t>
  </si>
  <si>
    <t>5xMjhZKSo8yh5r9b5vrYRr</t>
  </si>
  <si>
    <t>5r4bE2O6LCLBTjT42RBXwg</t>
  </si>
  <si>
    <t>0.752</t>
  </si>
  <si>
    <t>Yeat</t>
  </si>
  <si>
    <t>0.0385</t>
  </si>
  <si>
    <t>https://api.spotify.com/v1/tracks/32ioWMgkyA6mFcXJMggBoz</t>
  </si>
  <si>
    <t>spotify:track:32ioWMgkyA6mFcXJMggBoz</t>
  </si>
  <si>
    <t>LYFESTYLE</t>
  </si>
  <si>
    <t>https://api.spotify.com/v1/audio-analysis/32ioWMgkyA6mFcXJMggBoz</t>
  </si>
  <si>
    <t>32ioWMgkyA6mFcXJMggBoz</t>
  </si>
  <si>
    <t>GEEK TIM√ã</t>
  </si>
  <si>
    <t>70CmTAk7pocCYr4lwuDtOc</t>
  </si>
  <si>
    <t>0.0066</t>
  </si>
  <si>
    <t>0.826</t>
  </si>
  <si>
    <t>108.52</t>
  </si>
  <si>
    <t>-2.93</t>
  </si>
  <si>
    <t>0.417</t>
  </si>
  <si>
    <t>50 Cent</t>
  </si>
  <si>
    <t>0.354</t>
  </si>
  <si>
    <t>https://api.spotify.com/v1/tracks/2I9foKseoFQh07p6sD2voE</t>
  </si>
  <si>
    <t>spotify:track:2I9foKseoFQh07p6sD2voE</t>
  </si>
  <si>
    <t>Get Rich Or Die Tryin'</t>
  </si>
  <si>
    <t>Gangster Rap</t>
  </si>
  <si>
    <t>https://api.spotify.com/v1/audio-analysis/2I9foKseoFQh07p6sD2voE</t>
  </si>
  <si>
    <t>2I9foKseoFQh07p6sD2voE</t>
  </si>
  <si>
    <t>Many Men (Wish Death)</t>
  </si>
  <si>
    <t>0.00146</t>
  </si>
  <si>
    <t>4ycNE7y1rp5215g1kkqk1P</t>
  </si>
  <si>
    <t>gangster</t>
  </si>
  <si>
    <t>6mODZNt8CYYEBrWAyS5vs4</t>
  </si>
  <si>
    <t>0.764</t>
  </si>
  <si>
    <t>0.886</t>
  </si>
  <si>
    <t>Central Cee, Lil Baby</t>
  </si>
  <si>
    <t>https://api.spotify.com/v1/tracks/7iabz12vAuVQYyekFIWJxD</t>
  </si>
  <si>
    <t>spotify:track:7iabz12vAuVQYyekFIWJxD</t>
  </si>
  <si>
    <t>BAND4BAND (feat. Lil Baby)</t>
  </si>
  <si>
    <t>https://api.spotify.com/v1/audio-analysis/7iabz12vAuVQYyekFIWJxD</t>
  </si>
  <si>
    <t>7iabz12vAuVQYyekFIWJxD</t>
  </si>
  <si>
    <t>4AzPr5SUpNF553eC1d3aRy</t>
  </si>
  <si>
    <t>0.632</t>
  </si>
  <si>
    <t>0.253</t>
  </si>
  <si>
    <t>41, Kyle Richh, Jenn Carter, TaTa</t>
  </si>
  <si>
    <t>https://api.spotify.com/v1/tracks/1haa8GXT0cl9wzRnpZG0YH</t>
  </si>
  <si>
    <t>spotify:track:1haa8GXT0cl9wzRnpZG0YH</t>
  </si>
  <si>
    <t>41 World: Not The Album</t>
  </si>
  <si>
    <t>https://api.spotify.com/v1/audio-analysis/1haa8GXT0cl9wzRnpZG0YH</t>
  </si>
  <si>
    <t>1haa8GXT0cl9wzRnpZG0YH</t>
  </si>
  <si>
    <t>Bent (with Kyle Richh, Jenn Carter &amp; TaTa)</t>
  </si>
  <si>
    <t>1xfZEllNKEGORjebzxus4t</t>
  </si>
  <si>
    <t>0.408</t>
  </si>
  <si>
    <t>Pop Smoke</t>
  </si>
  <si>
    <t>0.351</t>
  </si>
  <si>
    <t>https://api.spotify.com/v1/tracks/79s5XnCN4TJKTVMSmOx8Ep</t>
  </si>
  <si>
    <t>spotify:track:79s5XnCN4TJKTVMSmOx8Ep</t>
  </si>
  <si>
    <t>Meet The Woo</t>
  </si>
  <si>
    <t>https://api.spotify.com/v1/audio-analysis/79s5XnCN4TJKTVMSmOx8Ep</t>
  </si>
  <si>
    <t>79s5XnCN4TJKTVMSmOx8Ep</t>
  </si>
  <si>
    <t>Dior</t>
  </si>
  <si>
    <t>0.000405</t>
  </si>
  <si>
    <t>6d1vGZsr6Uy3h9IigBpPAf</t>
  </si>
  <si>
    <t>0.631</t>
  </si>
  <si>
    <t>0.772</t>
  </si>
  <si>
    <t>Offset, Travis Scott</t>
  </si>
  <si>
    <t>https://api.spotify.com/v1/tracks/2Gk6fi0dqt91NKvlzGsmm7</t>
  </si>
  <si>
    <t>spotify:track:2Gk6fi0dqt91NKvlzGsmm7</t>
  </si>
  <si>
    <t>SET IT OFF</t>
  </si>
  <si>
    <t>https://api.spotify.com/v1/audio-analysis/2Gk6fi0dqt91NKvlzGsmm7</t>
  </si>
  <si>
    <t>2Gk6fi0dqt91NKvlzGsmm7</t>
  </si>
  <si>
    <t>SAY MY GRACE (feat. Travis Scott)</t>
  </si>
  <si>
    <t>1D1hLipjrdB6pnxurMtC3E</t>
  </si>
  <si>
    <t>0.0648</t>
  </si>
  <si>
    <t>0.702</t>
  </si>
  <si>
    <t>0.871</t>
  </si>
  <si>
    <t>0.0912</t>
  </si>
  <si>
    <t>Lil Loaded</t>
  </si>
  <si>
    <t>https://api.spotify.com/v1/tracks/3WCXvxgQ7U3mznWsQjiEMu</t>
  </si>
  <si>
    <t>spotify:track:3WCXvxgQ7U3mznWsQjiEMu</t>
  </si>
  <si>
    <t>6locc 6a6y</t>
  </si>
  <si>
    <t>https://api.spotify.com/v1/audio-analysis/3WCXvxgQ7U3mznWsQjiEMu</t>
  </si>
  <si>
    <t>3WCXvxgQ7U3mznWsQjiEMu</t>
  </si>
  <si>
    <t>6E3aLqi7SbbT7O78TNRtLP</t>
  </si>
  <si>
    <t>0.296</t>
  </si>
  <si>
    <t>0.733</t>
  </si>
  <si>
    <t>Lil Durk, J. Cole</t>
  </si>
  <si>
    <t>https://api.spotify.com/v1/tracks/6HgWWaMu31KdOpEG5l28BG</t>
  </si>
  <si>
    <t>spotify:track:6HgWWaMu31KdOpEG5l28BG</t>
  </si>
  <si>
    <t>All My Life (feat. J. Cole)</t>
  </si>
  <si>
    <t>https://api.spotify.com/v1/audio-analysis/6HgWWaMu31KdOpEG5l28BG</t>
  </si>
  <si>
    <t>6HgWWaMu31KdOpEG5l28BG</t>
  </si>
  <si>
    <t>0lZQagJ5r0crB35zphSD4A</t>
  </si>
  <si>
    <t>0.0449</t>
  </si>
  <si>
    <t>Metro Boomin, Future, Chris Brown</t>
  </si>
  <si>
    <t>https://api.spotify.com/v1/tracks/0vjeOZ3Ft5jvAi9SBFJm1j</t>
  </si>
  <si>
    <t>spotify:track:0vjeOZ3Ft5jvAi9SBFJm1j</t>
  </si>
  <si>
    <t>HEROES &amp; VILLAINS</t>
  </si>
  <si>
    <t>https://api.spotify.com/v1/audio-analysis/0vjeOZ3Ft5jvAi9SBFJm1j</t>
  </si>
  <si>
    <t>0vjeOZ3Ft5jvAi9SBFJm1j</t>
  </si>
  <si>
    <t>Superhero (Heroes &amp; Villains) [with Future &amp; Chris Brown]</t>
  </si>
  <si>
    <t>2.97e-06</t>
  </si>
  <si>
    <t>7txGsnDSqVMoRl6RQ9XyZP</t>
  </si>
  <si>
    <t>0.138</t>
  </si>
  <si>
    <t>159.98</t>
  </si>
  <si>
    <t>King Von</t>
  </si>
  <si>
    <t>0.29</t>
  </si>
  <si>
    <t>https://api.spotify.com/v1/tracks/7fEoXCZTZFosUFvFQg1BmW</t>
  </si>
  <si>
    <t>spotify:track:7fEoXCZTZFosUFvFQg1BmW</t>
  </si>
  <si>
    <t>Levon James</t>
  </si>
  <si>
    <t>https://api.spotify.com/v1/audio-analysis/7fEoXCZTZFosUFvFQg1BmW</t>
  </si>
  <si>
    <t>7fEoXCZTZFosUFvFQg1BmW</t>
  </si>
  <si>
    <t>Took Her To The O</t>
  </si>
  <si>
    <t>4.71e-06</t>
  </si>
  <si>
    <t>1ZRAeQ6zsPJ5W1K3DvpRpP</t>
  </si>
  <si>
    <t>0.0149</t>
  </si>
  <si>
    <t>0.85</t>
  </si>
  <si>
    <t>-6.18</t>
  </si>
  <si>
    <t>0.0964</t>
  </si>
  <si>
    <t>Central Cee</t>
  </si>
  <si>
    <t>https://api.spotify.com/v1/tracks/4vzJrkfHbCGaodPA5RY5BV</t>
  </si>
  <si>
    <t>spotify:track:4vzJrkfHbCGaodPA5RY5BV</t>
  </si>
  <si>
    <t>Wild West</t>
  </si>
  <si>
    <t>https://api.spotify.com/v1/audio-analysis/4vzJrkfHbCGaodPA5RY5BV</t>
  </si>
  <si>
    <t>4vzJrkfHbCGaodPA5RY5BV</t>
  </si>
  <si>
    <t>Loading</t>
  </si>
  <si>
    <t>0aAVMtHuK9wX1mQozWvdSZ</t>
  </si>
  <si>
    <t>0.555</t>
  </si>
  <si>
    <t>21 Savage, Travis Scott, Metro Boomin</t>
  </si>
  <si>
    <t>https://api.spotify.com/v1/tracks/2yUzr8Sr6ldG8vmHhZwTnz</t>
  </si>
  <si>
    <t>spotify:track:2yUzr8Sr6ldG8vmHhZwTnz</t>
  </si>
  <si>
    <t>american dream</t>
  </si>
  <si>
    <t>https://api.spotify.com/v1/audio-analysis/2yUzr8Sr6ldG8vmHhZwTnz</t>
  </si>
  <si>
    <t>2yUzr8Sr6ldG8vmHhZwTnz</t>
  </si>
  <si>
    <t>n√©e-nah</t>
  </si>
  <si>
    <t>2RRYaYHY7fIIdvFlvgb5vq</t>
  </si>
  <si>
    <t>0.00465</t>
  </si>
  <si>
    <t>0.211</t>
  </si>
  <si>
    <t>Chief Keef</t>
  </si>
  <si>
    <t>0.0891</t>
  </si>
  <si>
    <t>https://api.spotify.com/v1/tracks/01Lr5YepbgjXAWR9iOEyH1</t>
  </si>
  <si>
    <t>spotify:track:01Lr5YepbgjXAWR9iOEyH1</t>
  </si>
  <si>
    <t>Finally Rich</t>
  </si>
  <si>
    <t>https://api.spotify.com/v1/audio-analysis/01Lr5YepbgjXAWR9iOEyH1</t>
  </si>
  <si>
    <t>01Lr5YepbgjXAWR9iOEyH1</t>
  </si>
  <si>
    <t>Love Sosa</t>
  </si>
  <si>
    <t>2B4y3j02ho6XNF8BEzx3JF</t>
  </si>
  <si>
    <t>0.0361</t>
  </si>
  <si>
    <t>0.658</t>
  </si>
  <si>
    <t>0.0927</t>
  </si>
  <si>
    <t>Future, Lil Uzi Vert</t>
  </si>
  <si>
    <t>https://api.spotify.com/v1/tracks/0k7wmahjkn389wAZdz19Cv</t>
  </si>
  <si>
    <t>spotify:track:0k7wmahjkn389wAZdz19Cv</t>
  </si>
  <si>
    <t>Pluto x Baby Pluto</t>
  </si>
  <si>
    <t>https://api.spotify.com/v1/audio-analysis/0k7wmahjkn389wAZdz19Cv</t>
  </si>
  <si>
    <t>0k7wmahjkn389wAZdz19Cv</t>
  </si>
  <si>
    <t>Drankin N Smokin</t>
  </si>
  <si>
    <t>48xpWR8K6CGpy3ETAym3pt</t>
  </si>
  <si>
    <t>https://api.spotify.com/v1/tracks/792HwhrdO3ErRKL5yRe4Ge</t>
  </si>
  <si>
    <t>spotify:track:792HwhrdO3ErRKL5yRe4Ge</t>
  </si>
  <si>
    <t>Meet The Woo 2</t>
  </si>
  <si>
    <t>https://api.spotify.com/v1/audio-analysis/792HwhrdO3ErRKL5yRe4Ge</t>
  </si>
  <si>
    <t>792HwhrdO3ErRKL5yRe4Ge</t>
  </si>
  <si>
    <t>Invincible</t>
  </si>
  <si>
    <t>4MZnolldq7ciKKlbVDzLm5</t>
  </si>
  <si>
    <t>0.125</t>
  </si>
  <si>
    <t>0.594</t>
  </si>
  <si>
    <t>JACKBOYS, Pop Smoke, Travis Scott</t>
  </si>
  <si>
    <t>0.344</t>
  </si>
  <si>
    <t>https://api.spotify.com/v1/tracks/40mjsnRjCpycdUw3xhS20g</t>
  </si>
  <si>
    <t>spotify:track:40mjsnRjCpycdUw3xhS20g</t>
  </si>
  <si>
    <t>JACKBOYS</t>
  </si>
  <si>
    <t>https://api.spotify.com/v1/audio-analysis/40mjsnRjCpycdUw3xhS20g</t>
  </si>
  <si>
    <t>40mjsnRjCpycdUw3xhS20g</t>
  </si>
  <si>
    <t>GATTI</t>
  </si>
  <si>
    <t>1Sf8GsXG32t0jNrX11xqWx</t>
  </si>
  <si>
    <t>99.7</t>
  </si>
  <si>
    <t>Pop Smoke, 50 Cent, Roddy Ricch</t>
  </si>
  <si>
    <t>https://api.spotify.com/v1/tracks/1H7KnK26kc1YyellpbINEn</t>
  </si>
  <si>
    <t>spotify:track:1H7KnK26kc1YyellpbINEn</t>
  </si>
  <si>
    <t>Shoot For The Stars Aim For The Moon</t>
  </si>
  <si>
    <t>https://api.spotify.com/v1/audio-analysis/1H7KnK26kc1YyellpbINEn</t>
  </si>
  <si>
    <t>1H7KnK26kc1YyellpbINEn</t>
  </si>
  <si>
    <t>The Woo (feat. 50 Cent &amp; Roddy Ricch)</t>
  </si>
  <si>
    <t>3.77e-06</t>
  </si>
  <si>
    <t>7e7t0MCrNDcJZsPwUKjmOc</t>
  </si>
  <si>
    <t>0.0221</t>
  </si>
  <si>
    <t>0.0757</t>
  </si>
  <si>
    <t>0.346</t>
  </si>
  <si>
    <t>Polo G</t>
  </si>
  <si>
    <t>https://api.spotify.com/v1/tracks/3UnYMo1aeD0o8VtHy3R8cs</t>
  </si>
  <si>
    <t>spotify:track:3UnYMo1aeD0o8VtHy3R8cs</t>
  </si>
  <si>
    <t>Neva Cared</t>
  </si>
  <si>
    <t>https://api.spotify.com/v1/audio-analysis/3UnYMo1aeD0o8VtHy3R8cs</t>
  </si>
  <si>
    <t>3UnYMo1aeD0o8VtHy3R8cs</t>
  </si>
  <si>
    <t>46MjqBDVvTxenDxf79Ta5S</t>
  </si>
  <si>
    <t>0.0213</t>
  </si>
  <si>
    <t>0.804</t>
  </si>
  <si>
    <t>0.745</t>
  </si>
  <si>
    <t>Key Glock</t>
  </si>
  <si>
    <t>0.352</t>
  </si>
  <si>
    <t>https://api.spotify.com/v1/tracks/1ipSpQfzBbhPFhYm6tfVIz</t>
  </si>
  <si>
    <t>spotify:track:1ipSpQfzBbhPFhYm6tfVIz</t>
  </si>
  <si>
    <t>Yellow Tape</t>
  </si>
  <si>
    <t>https://api.spotify.com/v1/audio-analysis/1ipSpQfzBbhPFhYm6tfVIz</t>
  </si>
  <si>
    <t>1ipSpQfzBbhPFhYm6tfVIz</t>
  </si>
  <si>
    <t>Mr. Glock</t>
  </si>
  <si>
    <t>12GZ5ewBjyylguigbdmqJ9</t>
  </si>
  <si>
    <t>0.002</t>
  </si>
  <si>
    <t>0.626</t>
  </si>
  <si>
    <t>143.01</t>
  </si>
  <si>
    <t>0.819</t>
  </si>
  <si>
    <t>0.167</t>
  </si>
  <si>
    <t>0.415</t>
  </si>
  <si>
    <t>21 Savage, Metro Boomin</t>
  </si>
  <si>
    <t>0.202</t>
  </si>
  <si>
    <t>https://api.spotify.com/v1/tracks/5SWnsxjhdcEDc7LJjq9UHk</t>
  </si>
  <si>
    <t>spotify:track:5SWnsxjhdcEDc7LJjq9UHk</t>
  </si>
  <si>
    <t>SAVAGE MODE II</t>
  </si>
  <si>
    <t>https://api.spotify.com/v1/audio-analysis/5SWnsxjhdcEDc7LJjq9UHk</t>
  </si>
  <si>
    <t>5SWnsxjhdcEDc7LJjq9UHk</t>
  </si>
  <si>
    <t>Runnin</t>
  </si>
  <si>
    <t>6wTyGUWGCilBFZ837k5aRi</t>
  </si>
  <si>
    <t>0.00748</t>
  </si>
  <si>
    <t>0.696</t>
  </si>
  <si>
    <t>0.232</t>
  </si>
  <si>
    <t>0.319</t>
  </si>
  <si>
    <t>https://api.spotify.com/v1/tracks/2297mxrYLBAC4XkhXs39If</t>
  </si>
  <si>
    <t>spotify:track:2297mxrYLBAC4XkhXs39If</t>
  </si>
  <si>
    <t>Welcome to O'Block</t>
  </si>
  <si>
    <t>https://api.spotify.com/v1/audio-analysis/2297mxrYLBAC4XkhXs39If</t>
  </si>
  <si>
    <t>2297mxrYLBAC4XkhXs39If</t>
  </si>
  <si>
    <t>Armed &amp; Dangerous</t>
  </si>
  <si>
    <t>7gGJ9rNtigRF53dsFo48Wp</t>
  </si>
  <si>
    <t>0.547</t>
  </si>
  <si>
    <t>138.05</t>
  </si>
  <si>
    <t>-4.98</t>
  </si>
  <si>
    <t>0.0998</t>
  </si>
  <si>
    <t>Lil Yachty</t>
  </si>
  <si>
    <t>0.272</t>
  </si>
  <si>
    <t>https://api.spotify.com/v1/tracks/5vDNippoMr52KpXBO9b9KQ</t>
  </si>
  <si>
    <t>spotify:track:5vDNippoMr52KpXBO9b9KQ</t>
  </si>
  <si>
    <t>Lil Boat 3.5</t>
  </si>
  <si>
    <t>https://api.spotify.com/v1/audio-analysis/5vDNippoMr52KpXBO9b9KQ</t>
  </si>
  <si>
    <t>5vDNippoMr52KpXBO9b9KQ</t>
  </si>
  <si>
    <t>Coffin</t>
  </si>
  <si>
    <t>1.45e-06</t>
  </si>
  <si>
    <t>6ufaA5YvSGK3E9KnRFYvvo</t>
  </si>
  <si>
    <t>0.0241</t>
  </si>
  <si>
    <t>0.395</t>
  </si>
  <si>
    <t>Lil Baby, Gunna</t>
  </si>
  <si>
    <t>https://api.spotify.com/v1/tracks/4F6yN5FsFW10Ucx7cLCzBh</t>
  </si>
  <si>
    <t>spotify:track:4F6yN5FsFW10Ucx7cLCzBh</t>
  </si>
  <si>
    <t>Street Gossip</t>
  </si>
  <si>
    <t>https://api.spotify.com/v1/audio-analysis/4F6yN5FsFW10Ucx7cLCzBh</t>
  </si>
  <si>
    <t>4F6yN5FsFW10Ucx7cLCzBh</t>
  </si>
  <si>
    <t>Ready (feat. Gunna)</t>
  </si>
  <si>
    <t>1.4e-05</t>
  </si>
  <si>
    <t>4iF44RCCybJtkBkMoqrLW2</t>
  </si>
  <si>
    <t>0.157</t>
  </si>
  <si>
    <t>0.315</t>
  </si>
  <si>
    <t>https://api.spotify.com/v1/tracks/03ThZweiBWFP8tOGsk6QMO</t>
  </si>
  <si>
    <t>spotify:track:03ThZweiBWFP8tOGsk6QMO</t>
  </si>
  <si>
    <t>Glock Bond</t>
  </si>
  <si>
    <t>https://api.spotify.com/v1/audio-analysis/03ThZweiBWFP8tOGsk6QMO</t>
  </si>
  <si>
    <t>03ThZweiBWFP8tOGsk6QMO</t>
  </si>
  <si>
    <t>Russian Cream</t>
  </si>
  <si>
    <t>1J4REuUZfX1OjjQhi9whzA</t>
  </si>
  <si>
    <t>Drake, Lil Baby</t>
  </si>
  <si>
    <t>https://api.spotify.com/v1/tracks/65OVbaJR5O1RmwOQx0875b</t>
  </si>
  <si>
    <t>spotify:track:65OVbaJR5O1RmwOQx0875b</t>
  </si>
  <si>
    <t>Scary Hours 2</t>
  </si>
  <si>
    <t>https://api.spotify.com/v1/audio-analysis/65OVbaJR5O1RmwOQx0875b</t>
  </si>
  <si>
    <t>65OVbaJR5O1RmwOQx0875b</t>
  </si>
  <si>
    <t>Wants and Needs (feat. Lil Baby)</t>
  </si>
  <si>
    <t>2.17e-06</t>
  </si>
  <si>
    <t>5LuoozUhs2pl3glZeAJl89</t>
  </si>
  <si>
    <t>0.0618</t>
  </si>
  <si>
    <t>0.093</t>
  </si>
  <si>
    <t>Drake, 21 Savage</t>
  </si>
  <si>
    <t>0.175</t>
  </si>
  <si>
    <t>https://api.spotify.com/v1/tracks/3F5CgOj3wFlRv51JsHbxhe</t>
  </si>
  <si>
    <t>spotify:track:3F5CgOj3wFlRv51JsHbxhe</t>
  </si>
  <si>
    <t>Honestly, Nevermind</t>
  </si>
  <si>
    <t>https://api.spotify.com/v1/audio-analysis/3F5CgOj3wFlRv51JsHbxhe</t>
  </si>
  <si>
    <t>3F5CgOj3wFlRv51JsHbxhe</t>
  </si>
  <si>
    <t>Jimmy Cooks (feat. 21 Savage)</t>
  </si>
  <si>
    <t>2.41e-06</t>
  </si>
  <si>
    <t>3cf4iSSKd8ffTncbtKljXw</t>
  </si>
  <si>
    <t>0.000307</t>
  </si>
  <si>
    <t>0.729</t>
  </si>
  <si>
    <t>-5.14</t>
  </si>
  <si>
    <t>0.41</t>
  </si>
  <si>
    <t>0.261</t>
  </si>
  <si>
    <t>https://api.spotify.com/v1/tracks/23TwR29GSeJBfXnXhmDlwR</t>
  </si>
  <si>
    <t>spotify:track:23TwR29GSeJBfXnXhmDlwR</t>
  </si>
  <si>
    <t>Grandson, Vol. 1</t>
  </si>
  <si>
    <t>https://api.spotify.com/v1/audio-analysis/23TwR29GSeJBfXnXhmDlwR</t>
  </si>
  <si>
    <t>23TwR29GSeJBfXnXhmDlwR</t>
  </si>
  <si>
    <t>Crazy Story, Pt. 3</t>
  </si>
  <si>
    <t>4.33e-05</t>
  </si>
  <si>
    <t>5BAggP8hO7VWDSTKkNGyCi</t>
  </si>
  <si>
    <t>127.05</t>
  </si>
  <si>
    <t>https://api.spotify.com/v1/tracks/577YBGuskWkVDCxZrLRB4v</t>
  </si>
  <si>
    <t>spotify:track:577YBGuskWkVDCxZrLRB4v</t>
  </si>
  <si>
    <t>https://api.spotify.com/v1/audio-analysis/577YBGuskWkVDCxZrLRB4v</t>
  </si>
  <si>
    <t>577YBGuskWkVDCxZrLRB4v</t>
  </si>
  <si>
    <t>Pure Cocaine</t>
  </si>
  <si>
    <t>6.07e-06</t>
  </si>
  <si>
    <t>0.00127</t>
  </si>
  <si>
    <t>0.576</t>
  </si>
  <si>
    <t>0.19</t>
  </si>
  <si>
    <t>https://api.spotify.com/v1/tracks/4mIHgQ3ofK2RK34UdbqMbe</t>
  </si>
  <si>
    <t>spotify:track:4mIHgQ3ofK2RK34UdbqMbe</t>
  </si>
  <si>
    <t>Yellow Tape 2</t>
  </si>
  <si>
    <t>https://api.spotify.com/v1/audio-analysis/4mIHgQ3ofK2RK34UdbqMbe</t>
  </si>
  <si>
    <t>4mIHgQ3ofK2RK34UdbqMbe</t>
  </si>
  <si>
    <t>Ambition For Cash</t>
  </si>
  <si>
    <t>2.18e-05</t>
  </si>
  <si>
    <t>7snqOEQEtKqxJw3NTGml6i</t>
  </si>
  <si>
    <t>0.0115</t>
  </si>
  <si>
    <t>0.23</t>
  </si>
  <si>
    <t>Baby Keem, Kendrick Lamar</t>
  </si>
  <si>
    <t>0.33</t>
  </si>
  <si>
    <t>https://api.spotify.com/v1/tracks/3QFInJAm9eyaho5vBzxInN</t>
  </si>
  <si>
    <t>spotify:track:3QFInJAm9eyaho5vBzxInN</t>
  </si>
  <si>
    <t>The Melodic Blue</t>
  </si>
  <si>
    <t>https://api.spotify.com/v1/audio-analysis/3QFInJAm9eyaho5vBzxInN</t>
  </si>
  <si>
    <t>3QFInJAm9eyaho5vBzxInN</t>
  </si>
  <si>
    <t>family ties (with Kendrick Lamar)</t>
  </si>
  <si>
    <t>3r46DPIQeBQbjvjjV5mXGg</t>
  </si>
  <si>
    <t>0.00588</t>
  </si>
  <si>
    <t>0.847</t>
  </si>
  <si>
    <t>0.16</t>
  </si>
  <si>
    <t>https://api.spotify.com/v1/tracks/6pcywuOeGGWeOQzdUyti6k</t>
  </si>
  <si>
    <t>spotify:track:6pcywuOeGGWeOQzdUyti6k</t>
  </si>
  <si>
    <t>https://api.spotify.com/v1/audio-analysis/6pcywuOeGGWeOQzdUyti6k</t>
  </si>
  <si>
    <t>6pcywuOeGGWeOQzdUyti6k</t>
  </si>
  <si>
    <t>Glock In My Lap</t>
  </si>
  <si>
    <t>1.04e-05</t>
  </si>
  <si>
    <t>0.48</t>
  </si>
  <si>
    <t>0.846</t>
  </si>
  <si>
    <t>0.0989</t>
  </si>
  <si>
    <t>0.419</t>
  </si>
  <si>
    <t>Lil Durk, Lil Baby, Polo G</t>
  </si>
  <si>
    <t>https://api.spotify.com/v1/tracks/6Tguhaf2uAe6OjRLsR2Tql</t>
  </si>
  <si>
    <t>spotify:track:6Tguhaf2uAe6OjRLsR2Tql</t>
  </si>
  <si>
    <t>Just Cause Y'all Waited 2</t>
  </si>
  <si>
    <t>https://api.spotify.com/v1/audio-analysis/6Tguhaf2uAe6OjRLsR2Tql</t>
  </si>
  <si>
    <t>6Tguhaf2uAe6OjRLsR2Tql</t>
  </si>
  <si>
    <t>3 Headed Goat (feat. Lil Baby &amp; Polo G)</t>
  </si>
  <si>
    <t>3D4bwVn4Wp8Za0Amkyd5I5</t>
  </si>
  <si>
    <t>0.88</t>
  </si>
  <si>
    <t>Lil Tjay, Offset, Moneybagg Yo</t>
  </si>
  <si>
    <t>https://api.spotify.com/v1/tracks/1dg3qy5DjoJodawfOCgrTP</t>
  </si>
  <si>
    <t>spotify:track:1dg3qy5DjoJodawfOCgrTP</t>
  </si>
  <si>
    <t>Destined 2 Win</t>
  </si>
  <si>
    <t>https://api.spotify.com/v1/audio-analysis/1dg3qy5DjoJodawfOCgrTP</t>
  </si>
  <si>
    <t>1dg3qy5DjoJodawfOCgrTP</t>
  </si>
  <si>
    <t>Run It Up (feat. Offset &amp; Moneybagg Yo)</t>
  </si>
  <si>
    <t>3MEKpJ7wSSp6Z661ThjrUJ</t>
  </si>
  <si>
    <t>0.477</t>
  </si>
  <si>
    <t>0.227</t>
  </si>
  <si>
    <t>DJ Khaled, Lil Baby, Lil Durk</t>
  </si>
  <si>
    <t>https://api.spotify.com/v1/tracks/1EJIcDYXwSqipW5dFe4uJz</t>
  </si>
  <si>
    <t>spotify:track:1EJIcDYXwSqipW5dFe4uJz</t>
  </si>
  <si>
    <t>KHALED KHALED</t>
  </si>
  <si>
    <t>https://api.spotify.com/v1/audio-analysis/1EJIcDYXwSqipW5dFe4uJz</t>
  </si>
  <si>
    <t>1EJIcDYXwSqipW5dFe4uJz</t>
  </si>
  <si>
    <t>EVERY CHANCE I GET (feat. Lil Baby &amp; Lil Durk)</t>
  </si>
  <si>
    <t>5kE2OAuUYGBqqzscqgBXXf</t>
  </si>
  <si>
    <t>0.000866</t>
  </si>
  <si>
    <t>-14.63</t>
  </si>
  <si>
    <t>0.0844</t>
  </si>
  <si>
    <t>https://api.spotify.com/v1/tracks/4rmVZajAF7PkrCagGPHbqa</t>
  </si>
  <si>
    <t>spotify:track:4rmVZajAF7PkrCagGPHbqa</t>
  </si>
  <si>
    <t>https://api.spotify.com/v1/audio-analysis/4rmVZajAF7PkrCagGPHbqa</t>
  </si>
  <si>
    <t>4rmVZajAF7PkrCagGPHbqa</t>
  </si>
  <si>
    <t>Sticky</t>
  </si>
  <si>
    <t>0.0917</t>
  </si>
  <si>
    <t>0.434</t>
  </si>
  <si>
    <t>0.165</t>
  </si>
  <si>
    <t>0.431</t>
  </si>
  <si>
    <t>https://api.spotify.com/v1/tracks/0VgkVdmE4gld66l8iyGjgx</t>
  </si>
  <si>
    <t>spotify:track:0VgkVdmE4gld66l8iyGjgx</t>
  </si>
  <si>
    <t>FUTURE</t>
  </si>
  <si>
    <t>https://api.spotify.com/v1/audio-analysis/0VgkVdmE4gld66l8iyGjgx</t>
  </si>
  <si>
    <t>0VgkVdmE4gld66l8iyGjgx</t>
  </si>
  <si>
    <t>Mask Off</t>
  </si>
  <si>
    <t>0.0219</t>
  </si>
  <si>
    <t>17FBoXK1NU2rvJBbzdzw0r</t>
  </si>
  <si>
    <t>0.0102</t>
  </si>
  <si>
    <t>0.856</t>
  </si>
  <si>
    <t>0.483</t>
  </si>
  <si>
    <t>0.392</t>
  </si>
  <si>
    <t>https://api.spotify.com/v1/tracks/4Iedi94TIaB2GGb1nMB68v</t>
  </si>
  <si>
    <t>spotify:track:4Iedi94TIaB2GGb1nMB68v</t>
  </si>
  <si>
    <t>On Me</t>
  </si>
  <si>
    <t>https://api.spotify.com/v1/audio-analysis/4Iedi94TIaB2GGb1nMB68v</t>
  </si>
  <si>
    <t>4Iedi94TIaB2GGb1nMB68v</t>
  </si>
  <si>
    <t>25gJpQKgXxT5CrMitr0DQO</t>
  </si>
  <si>
    <t>0.00327</t>
  </si>
  <si>
    <t>0.79</t>
  </si>
  <si>
    <t>0.105</t>
  </si>
  <si>
    <t>https://api.spotify.com/v1/tracks/0fX4oNGBWO3dSGUZcVdVV2</t>
  </si>
  <si>
    <t>spotify:track:0fX4oNGBWO3dSGUZcVdVV2</t>
  </si>
  <si>
    <t>Mr. Morale &amp; The Big Steppers</t>
  </si>
  <si>
    <t>https://api.spotify.com/v1/audio-analysis/0fX4oNGBWO3dSGUZcVdVV2</t>
  </si>
  <si>
    <t>0fX4oNGBWO3dSGUZcVdVV2</t>
  </si>
  <si>
    <t>N95</t>
  </si>
  <si>
    <t>2.32e-06</t>
  </si>
  <si>
    <t>79ONNoS4M9tfIA1mYLBYVX</t>
  </si>
  <si>
    <t>0.377</t>
  </si>
  <si>
    <t>0.825</t>
  </si>
  <si>
    <t>21 Savage, Metro Boomin, Young Thug</t>
  </si>
  <si>
    <t>0.0969</t>
  </si>
  <si>
    <t>https://api.spotify.com/v1/tracks/3ruoIF2UnoXdzK8mR61ebq</t>
  </si>
  <si>
    <t>spotify:track:3ruoIF2UnoXdzK8mR61ebq</t>
  </si>
  <si>
    <t>https://api.spotify.com/v1/audio-analysis/3ruoIF2UnoXdzK8mR61ebq</t>
  </si>
  <si>
    <t>3ruoIF2UnoXdzK8mR61ebq</t>
  </si>
  <si>
    <t>Rich Nigga Shit (feat. Young Thug)</t>
  </si>
  <si>
    <t>0.567</t>
  </si>
  <si>
    <t>JID, 21 Savage, Baby Tate</t>
  </si>
  <si>
    <t>https://api.spotify.com/v1/tracks/1udwFobQ1JoOdWPQrp2b6u</t>
  </si>
  <si>
    <t>spotify:track:1udwFobQ1JoOdWPQrp2b6u</t>
  </si>
  <si>
    <t>The Forever Story (Extended Version)</t>
  </si>
  <si>
    <t>https://api.spotify.com/v1/audio-analysis/1udwFobQ1JoOdWPQrp2b6u</t>
  </si>
  <si>
    <t>1udwFobQ1JoOdWPQrp2b6u</t>
  </si>
  <si>
    <t>Surround Sound (feat. 21 Savage &amp; Baby Tate)</t>
  </si>
  <si>
    <t>4rJDCELWL0fjdmN9Gn4f4g</t>
  </si>
  <si>
    <t>Trap</t>
  </si>
  <si>
    <t>trap</t>
  </si>
  <si>
    <t>37i9dQZF1EIhshGKK0SEkb</t>
  </si>
  <si>
    <t>0.665</t>
  </si>
  <si>
    <t>0.463</t>
  </si>
  <si>
    <t>Matu√™, Veigh</t>
  </si>
  <si>
    <t>0.18</t>
  </si>
  <si>
    <t>https://api.spotify.com/v1/tracks/2fjqfFUq64thFsqfKN01kS</t>
  </si>
  <si>
    <t>spotify:track:2fjqfFUq64thFsqfKN01kS</t>
  </si>
  <si>
    <t>https://api.spotify.com/v1/audio-analysis/2fjqfFUq64thFsqfKN01kS</t>
  </si>
  <si>
    <t>2fjqfFUq64thFsqfKN01kS</t>
  </si>
  <si>
    <t>Imagina esse Cen√°rio</t>
  </si>
  <si>
    <t>5CP84pfi4AFe95UTACFWrk</t>
  </si>
  <si>
    <t>0.314</t>
  </si>
  <si>
    <t>0.963</t>
  </si>
  <si>
    <t>Lil Baby, Drake</t>
  </si>
  <si>
    <t>https://api.spotify.com/v1/tracks/6vN77lE9LK6HP2DewaN6HZ</t>
  </si>
  <si>
    <t>spotify:track:6vN77lE9LK6HP2DewaN6HZ</t>
  </si>
  <si>
    <t>Harder Than Ever</t>
  </si>
  <si>
    <t>https://api.spotify.com/v1/audio-analysis/6vN77lE9LK6HP2DewaN6HZ</t>
  </si>
  <si>
    <t>6vN77lE9LK6HP2DewaN6HZ</t>
  </si>
  <si>
    <t>Yes Indeed</t>
  </si>
  <si>
    <t>7yf9ZJyHRbp8sHtpDKfPpt</t>
  </si>
  <si>
    <t>0.0355</t>
  </si>
  <si>
    <t>0.797</t>
  </si>
  <si>
    <t>Duki, Wiz Khalifa, Arc√°ngel</t>
  </si>
  <si>
    <t>https://api.spotify.com/v1/tracks/7MBHncxZXB7fzf5cAx8C05</t>
  </si>
  <si>
    <t>spotify:track:7MBHncxZXB7fzf5cAx8C05</t>
  </si>
  <si>
    <t>AMERI</t>
  </si>
  <si>
    <t>https://api.spotify.com/v1/audio-analysis/7MBHncxZXB7fzf5cAx8C05</t>
  </si>
  <si>
    <t>7MBHncxZXB7fzf5cAx8C05</t>
  </si>
  <si>
    <t>Wake Up &amp; Bake Up</t>
  </si>
  <si>
    <t>3rVk419T7ct4qoW52h2q2d</t>
  </si>
  <si>
    <t>0.0174</t>
  </si>
  <si>
    <t>0.59</t>
  </si>
  <si>
    <t>119.97</t>
  </si>
  <si>
    <t>Teto, Matu√™</t>
  </si>
  <si>
    <t>https://api.spotify.com/v1/tracks/07AQkmp456NpEnT8HR7WLy</t>
  </si>
  <si>
    <t>spotify:track:07AQkmp456NpEnT8HR7WLy</t>
  </si>
  <si>
    <t>M4</t>
  </si>
  <si>
    <t>https://api.spotify.com/v1/audio-analysis/07AQkmp456NpEnT8HR7WLy</t>
  </si>
  <si>
    <t>07AQkmp456NpEnT8HR7WLy</t>
  </si>
  <si>
    <t>0yqUVjjoQFD1wtu4OJSNM3</t>
  </si>
  <si>
    <t>0.08</t>
  </si>
  <si>
    <t>0.807</t>
  </si>
  <si>
    <t>Trap Capos, Noriel, Anuel AA, Baby Rasta</t>
  </si>
  <si>
    <t>https://api.spotify.com/v1/tracks/62NeZ2Vtrz5HgtQibleMNs</t>
  </si>
  <si>
    <t>spotify:track:62NeZ2Vtrz5HgtQibleMNs</t>
  </si>
  <si>
    <t>Trap Capos: Season 1</t>
  </si>
  <si>
    <t>https://api.spotify.com/v1/audio-analysis/62NeZ2Vtrz5HgtQibleMNs</t>
  </si>
  <si>
    <t>62NeZ2Vtrz5HgtQibleMNs</t>
  </si>
  <si>
    <t>Diablita (feat. Anuel AA &amp; Baby Rasta)</t>
  </si>
  <si>
    <t>74vYzfJqytyzhahNopSwtg</t>
  </si>
  <si>
    <t>0.407</t>
  </si>
  <si>
    <t>0.513</t>
  </si>
  <si>
    <t>-4.51</t>
  </si>
  <si>
    <t>Night Skinny, Nerissima Serpe, Papa V</t>
  </si>
  <si>
    <t>0.383</t>
  </si>
  <si>
    <t>https://api.spotify.com/v1/tracks/5JgTIfS7FfSE9tuebzX8HC</t>
  </si>
  <si>
    <t>spotify:track:5JgTIfS7FfSE9tuebzX8HC</t>
  </si>
  <si>
    <t>Containers</t>
  </si>
  <si>
    <t>https://api.spotify.com/v1/audio-analysis/5JgTIfS7FfSE9tuebzX8HC</t>
  </si>
  <si>
    <t>5JgTIfS7FfSE9tuebzX8HC</t>
  </si>
  <si>
    <t>Tessera sanitaria (feat. Nerissima Serpe &amp; Papa V)</t>
  </si>
  <si>
    <t>4gjJj6UCG1hitjAk1CdgDc</t>
  </si>
  <si>
    <t>0.926</t>
  </si>
  <si>
    <t>0.168</t>
  </si>
  <si>
    <t>Migos, Lil Uzi Vert</t>
  </si>
  <si>
    <t>https://api.spotify.com/v1/tracks/0M9ydKzuF3oZTfYYPfaGX1</t>
  </si>
  <si>
    <t>spotify:track:0M9ydKzuF3oZTfYYPfaGX1</t>
  </si>
  <si>
    <t>Culture</t>
  </si>
  <si>
    <t>https://api.spotify.com/v1/audio-analysis/0M9ydKzuF3oZTfYYPfaGX1</t>
  </si>
  <si>
    <t>0M9ydKzuF3oZTfYYPfaGX1</t>
  </si>
  <si>
    <t>Bad and Boujee (feat. Lil Uzi Vert)</t>
  </si>
  <si>
    <t>4JTOxuvM2jcSqAvEZtZsOO</t>
  </si>
  <si>
    <t>145.95</t>
  </si>
  <si>
    <t>0.713</t>
  </si>
  <si>
    <t>Young Stoner Life, Young Thug, Meek Mill, T-Shyne</t>
  </si>
  <si>
    <t>https://api.spotify.com/v1/tracks/6rUmUJ2drFemHTH73bFAKQ</t>
  </si>
  <si>
    <t>spotify:track:6rUmUJ2drFemHTH73bFAKQ</t>
  </si>
  <si>
    <t>Slime Language 2</t>
  </si>
  <si>
    <t>https://api.spotify.com/v1/audio-analysis/6rUmUJ2drFemHTH73bFAKQ</t>
  </si>
  <si>
    <t>6rUmUJ2drFemHTH73bFAKQ</t>
  </si>
  <si>
    <t>That Go! (feat. T-Shyne)</t>
  </si>
  <si>
    <t>3ihwKkIMJWmmp1huNH0iWC</t>
  </si>
  <si>
    <t>0.00669</t>
  </si>
  <si>
    <t>Arc√°ngel, Bad Bunny</t>
  </si>
  <si>
    <t>https://api.spotify.com/v1/tracks/2FIm6YsSGL5acOqSuJDh5s</t>
  </si>
  <si>
    <t>spotify:track:2FIm6YsSGL5acOqSuJDh5s</t>
  </si>
  <si>
    <t>Me Acostumbre (feat. Bad Bunny)</t>
  </si>
  <si>
    <t>https://api.spotify.com/v1/audio-analysis/2FIm6YsSGL5acOqSuJDh5s</t>
  </si>
  <si>
    <t>2FIm6YsSGL5acOqSuJDh5s</t>
  </si>
  <si>
    <t>4yE7L5RhMkjX7KkweWjFYk</t>
  </si>
  <si>
    <t>-4.67</t>
  </si>
  <si>
    <t>Future, Metro Boomin, Kendrick Lamar</t>
  </si>
  <si>
    <t>0.231</t>
  </si>
  <si>
    <t>https://api.spotify.com/v1/tracks/2tudvzsrR56uom6smgOcSf</t>
  </si>
  <si>
    <t>spotify:track:2tudvzsrR56uom6smgOcSf</t>
  </si>
  <si>
    <t>https://api.spotify.com/v1/audio-analysis/2tudvzsrR56uom6smgOcSf</t>
  </si>
  <si>
    <t>2tudvzsrR56uom6smgOcSf</t>
  </si>
  <si>
    <t>Like That</t>
  </si>
  <si>
    <t>1.28e-05</t>
  </si>
  <si>
    <t>0.00709</t>
  </si>
  <si>
    <t>0.928</t>
  </si>
  <si>
    <t>0.616</t>
  </si>
  <si>
    <t>-2.34</t>
  </si>
  <si>
    <t>Matu√™</t>
  </si>
  <si>
    <t>0.043</t>
  </si>
  <si>
    <t>https://api.spotify.com/v1/tracks/3Kh5a6vXMiJtC35jMEfmyy</t>
  </si>
  <si>
    <t>spotify:track:3Kh5a6vXMiJtC35jMEfmyy</t>
  </si>
  <si>
    <t>https://api.spotify.com/v1/audio-analysis/3Kh5a6vXMiJtC35jMEfmyy</t>
  </si>
  <si>
    <t>3Kh5a6vXMiJtC35jMEfmyy</t>
  </si>
  <si>
    <t>Castlevania</t>
  </si>
  <si>
    <t>0.0168</t>
  </si>
  <si>
    <t>0.542</t>
  </si>
  <si>
    <t>135.14</t>
  </si>
  <si>
    <t>0.0877</t>
  </si>
  <si>
    <t>Lil Baby, 42 Dugg</t>
  </si>
  <si>
    <t>0.293</t>
  </si>
  <si>
    <t>https://api.spotify.com/v1/tracks/6gxKUmycQX7uyMwJcweFjp</t>
  </si>
  <si>
    <t>spotify:track:6gxKUmycQX7uyMwJcweFjp</t>
  </si>
  <si>
    <t>My Turn (Deluxe)</t>
  </si>
  <si>
    <t>https://api.spotify.com/v1/audio-analysis/6gxKUmycQX7uyMwJcweFjp</t>
  </si>
  <si>
    <t>6gxKUmycQX7uyMwJcweFjp</t>
  </si>
  <si>
    <t>We Paid (feat. 42 Dugg)</t>
  </si>
  <si>
    <t>6uhEg4ASZYLIilZFCBFy1r</t>
  </si>
  <si>
    <t>0.851</t>
  </si>
  <si>
    <t>Duki, Headie One</t>
  </si>
  <si>
    <t>https://api.spotify.com/v1/tracks/1Bb422wJR14f7sA77gGs0V</t>
  </si>
  <si>
    <t>spotify:track:1Bb422wJR14f7sA77gGs0V</t>
  </si>
  <si>
    <t>https://api.spotify.com/v1/audio-analysis/1Bb422wJR14f7sA77gGs0V</t>
  </si>
  <si>
    <t>1Bb422wJR14f7sA77gGs0V</t>
  </si>
  <si>
    <t>Brindis</t>
  </si>
  <si>
    <t>0.718</t>
  </si>
  <si>
    <t>128.14</t>
  </si>
  <si>
    <t>0.0982</t>
  </si>
  <si>
    <t>0.557</t>
  </si>
  <si>
    <t>Bad Bunny, Bryant Myers</t>
  </si>
  <si>
    <t>https://api.spotify.com/v1/tracks/2QrGCbW0ylj94JfkgLZFlA</t>
  </si>
  <si>
    <t>spotify:track:2QrGCbW0ylj94JfkgLZFlA</t>
  </si>
  <si>
    <t>Pa Ti</t>
  </si>
  <si>
    <t>https://api.spotify.com/v1/audio-analysis/2QrGCbW0ylj94JfkgLZFlA</t>
  </si>
  <si>
    <t>2QrGCbW0ylj94JfkgLZFlA</t>
  </si>
  <si>
    <t>7t1OLE6jYXpJBRBDhgrG6A</t>
  </si>
  <si>
    <t>0.348</t>
  </si>
  <si>
    <t>115.01</t>
  </si>
  <si>
    <t>0.497</t>
  </si>
  <si>
    <t>Trap Capos, Noriel, Bad Bunny, Almighty</t>
  </si>
  <si>
    <t>0.0895</t>
  </si>
  <si>
    <t>https://api.spotify.com/v1/tracks/2sA4woGW5KgEgGXXxOKPAZ</t>
  </si>
  <si>
    <t>spotify:track:2sA4woGW5KgEgGXXxOKPAZ</t>
  </si>
  <si>
    <t>Amigos y Enemigos (Remix)</t>
  </si>
  <si>
    <t>https://api.spotify.com/v1/audio-analysis/2sA4woGW5KgEgGXXxOKPAZ</t>
  </si>
  <si>
    <t>2sA4woGW5KgEgGXXxOKPAZ</t>
  </si>
  <si>
    <t>Amigos y Enemigos (feat. Bad Bunny &amp; Almighty) - Remix</t>
  </si>
  <si>
    <t>3pUkjrzOZhiaipOiANpLuF</t>
  </si>
  <si>
    <t>0.289</t>
  </si>
  <si>
    <t>0.536</t>
  </si>
  <si>
    <t>Lary Over, Anuel, Bryant Myers, Almighty, Brytiago</t>
  </si>
  <si>
    <t>0.174</t>
  </si>
  <si>
    <t>https://api.spotify.com/v1/tracks/7b6QP0Pz2sqyW7yyXodpm6</t>
  </si>
  <si>
    <t>spotify:track:7b6QP0Pz2sqyW7yyXodpm6</t>
  </si>
  <si>
    <t>Tu Me Enamoraste (Remix)</t>
  </si>
  <si>
    <t>https://api.spotify.com/v1/audio-analysis/7b6QP0Pz2sqyW7yyXodpm6</t>
  </si>
  <si>
    <t>7b6QP0Pz2sqyW7yyXodpm6</t>
  </si>
  <si>
    <t>Tu Me Enamoraste - Remix</t>
  </si>
  <si>
    <t>4uA0PdlRCnd0zpodu1K5qM</t>
  </si>
  <si>
    <t>0.531</t>
  </si>
  <si>
    <t>118.96</t>
  </si>
  <si>
    <t>0.179</t>
  </si>
  <si>
    <t>Paulo Londra, Lenny Tav√°rez</t>
  </si>
  <si>
    <t>0.0716</t>
  </si>
  <si>
    <t>https://api.spotify.com/v1/tracks/77dMSg2VHi2wwXjXNrmcrZ</t>
  </si>
  <si>
    <t>spotify:track:77dMSg2VHi2wwXjXNrmcrZ</t>
  </si>
  <si>
    <t>Homerun</t>
  </si>
  <si>
    <t>https://api.spotify.com/v1/audio-analysis/77dMSg2VHi2wwXjXNrmcrZ</t>
  </si>
  <si>
    <t>77dMSg2VHi2wwXjXNrmcrZ</t>
  </si>
  <si>
    <t>Nena Maldici√≥n (feat. Lenny Tav√°rez)</t>
  </si>
  <si>
    <t>0qJkFmVwwNXP6fvSemDZqn</t>
  </si>
  <si>
    <t>0.657</t>
  </si>
  <si>
    <t>https://api.spotify.com/v1/tracks/1qMMYpVatbRITKCfq1gasi</t>
  </si>
  <si>
    <t>spotify:track:1qMMYpVatbRITKCfq1gasi</t>
  </si>
  <si>
    <t>I NEVER LIKED YOU</t>
  </si>
  <si>
    <t>https://api.spotify.com/v1/audio-analysis/1qMMYpVatbRITKCfq1gasi</t>
  </si>
  <si>
    <t>1qMMYpVatbRITKCfq1gasi</t>
  </si>
  <si>
    <t>PUFFIN ON ZOOTIEZ</t>
  </si>
  <si>
    <t>6tE9Dnp2zInFij4jKssysL</t>
  </si>
  <si>
    <t>0.753</t>
  </si>
  <si>
    <t>0.146</t>
  </si>
  <si>
    <t>0.081</t>
  </si>
  <si>
    <t>https://api.spotify.com/v1/tracks/6QsHhB0W9GtLF3cI7mUVkQ</t>
  </si>
  <si>
    <t>spotify:track:6QsHhB0W9GtLF3cI7mUVkQ</t>
  </si>
  <si>
    <t>https://api.spotify.com/v1/audio-analysis/6QsHhB0W9GtLF3cI7mUVkQ</t>
  </si>
  <si>
    <t>6QsHhB0W9GtLF3cI7mUVkQ</t>
  </si>
  <si>
    <t>0.889</t>
  </si>
  <si>
    <t>0.252</t>
  </si>
  <si>
    <t>0.544</t>
  </si>
  <si>
    <t>Meek Mill, Drake</t>
  </si>
  <si>
    <t>0.0905</t>
  </si>
  <si>
    <t>https://api.spotify.com/v1/tracks/2IRZnDFmlqMuOrYOLnZZyc</t>
  </si>
  <si>
    <t>spotify:track:2IRZnDFmlqMuOrYOLnZZyc</t>
  </si>
  <si>
    <t>Championships</t>
  </si>
  <si>
    <t>https://api.spotify.com/v1/audio-analysis/2IRZnDFmlqMuOrYOLnZZyc</t>
  </si>
  <si>
    <t>2IRZnDFmlqMuOrYOLnZZyc</t>
  </si>
  <si>
    <t>Going Bad (feat. Drake)</t>
  </si>
  <si>
    <t>6UYZEYjpN1DYRW0kqFy9ZE</t>
  </si>
  <si>
    <t>0.708</t>
  </si>
  <si>
    <t>0.634</t>
  </si>
  <si>
    <t>Duki, YSY A</t>
  </si>
  <si>
    <t>https://api.spotify.com/v1/tracks/2m3v40xGeLVqnQvAwx5rdi</t>
  </si>
  <si>
    <t>spotify:track:2m3v40xGeLVqnQvAwx5rdi</t>
  </si>
  <si>
    <t>https://api.spotify.com/v1/audio-analysis/2m3v40xGeLVqnQvAwx5rdi</t>
  </si>
  <si>
    <t>2m3v40xGeLVqnQvAwx5rdi</t>
  </si>
  <si>
    <t>Un D√≠a M√°s</t>
  </si>
  <si>
    <t>0.0808</t>
  </si>
  <si>
    <t>Trap Capos, Noriel, Bad Bunny, Arc√°ngel</t>
  </si>
  <si>
    <t>https://api.spotify.com/v1/tracks/4DS7HoqrKq1dDjeYOKBlu9</t>
  </si>
  <si>
    <t>spotify:track:4DS7HoqrKq1dDjeYOKBlu9</t>
  </si>
  <si>
    <t>Trap Capos II</t>
  </si>
  <si>
    <t>https://api.spotify.com/v1/audio-analysis/4DS7HoqrKq1dDjeYOKBlu9</t>
  </si>
  <si>
    <t>4DS7HoqrKq1dDjeYOKBlu9</t>
  </si>
  <si>
    <t>De las 2 (feat. Bad Bunny &amp; Arc√°ngel)</t>
  </si>
  <si>
    <t>0OQZL8ymQ9RDHaBULw9kCG</t>
  </si>
  <si>
    <t>0.71</t>
  </si>
  <si>
    <t>0.629</t>
  </si>
  <si>
    <t>0.523</t>
  </si>
  <si>
    <t>0.323</t>
  </si>
  <si>
    <t>Bryant Myers, Bad Bunny</t>
  </si>
  <si>
    <t>0.0549</t>
  </si>
  <si>
    <t>https://api.spotify.com/v1/tracks/2SzgK8i6si6ETtu57nTdSn</t>
  </si>
  <si>
    <t>spotify:track:2SzgK8i6si6ETtu57nTdSn</t>
  </si>
  <si>
    <t>Un Ratito Mas</t>
  </si>
  <si>
    <t>https://api.spotify.com/v1/audio-analysis/2SzgK8i6si6ETtu57nTdSn</t>
  </si>
  <si>
    <t>2SzgK8i6si6ETtu57nTdSn</t>
  </si>
  <si>
    <t>0AIoxEYCgmfD856498j2dq</t>
  </si>
  <si>
    <t>-4.16</t>
  </si>
  <si>
    <t>0.099</t>
  </si>
  <si>
    <t>0.403</t>
  </si>
  <si>
    <t>Lazza, Lil Baby</t>
  </si>
  <si>
    <t>https://api.spotify.com/v1/tracks/4CNfC20TImtjdwN3dG0uCF</t>
  </si>
  <si>
    <t>spotify:track:4CNfC20TImtjdwN3dG0uCF</t>
  </si>
  <si>
    <t>LOCURA</t>
  </si>
  <si>
    <t>https://api.spotify.com/v1/audio-analysis/4CNfC20TImtjdwN3dG0uCF</t>
  </si>
  <si>
    <t>4CNfC20TImtjdwN3dG0uCF</t>
  </si>
  <si>
    <t>CANZONE D'ODIO (feat. Lil Baby)</t>
  </si>
  <si>
    <t>0wYy8LTZuhiAyvchPppHPj</t>
  </si>
  <si>
    <t>0.607</t>
  </si>
  <si>
    <t>0.316</t>
  </si>
  <si>
    <t>Filipe Ret, Dallass, Hunter</t>
  </si>
  <si>
    <t>0.0863</t>
  </si>
  <si>
    <t>https://api.spotify.com/v1/tracks/4tuFNhM69UakXdPg4RrNvp</t>
  </si>
  <si>
    <t>spotify:track:4tuFNhM69UakXdPg4RrNvp</t>
  </si>
  <si>
    <t>Deus Perdoa</t>
  </si>
  <si>
    <t>https://api.spotify.com/v1/audio-analysis/4tuFNhM69UakXdPg4RrNvp</t>
  </si>
  <si>
    <t>4tuFNhM69UakXdPg4RrNvp</t>
  </si>
  <si>
    <t>1.31e-06</t>
  </si>
  <si>
    <t>0qruvxQou6I8A0fmUiMsFv</t>
  </si>
  <si>
    <t>0.784</t>
  </si>
  <si>
    <t>0.0894</t>
  </si>
  <si>
    <t>0.0475</t>
  </si>
  <si>
    <t>https://api.spotify.com/v1/tracks/4lH6nENd1y81jp7Yt9lTBX</t>
  </si>
  <si>
    <t>spotify:track:4lH6nENd1y81jp7Yt9lTBX</t>
  </si>
  <si>
    <t>HNDRXX</t>
  </si>
  <si>
    <t>https://api.spotify.com/v1/audio-analysis/4lH6nENd1y81jp7Yt9lTBX</t>
  </si>
  <si>
    <t>4lH6nENd1y81jp7Yt9lTBX</t>
  </si>
  <si>
    <t>Solo</t>
  </si>
  <si>
    <t>7K6OykPbezfgKgBufihn6X</t>
  </si>
  <si>
    <t>0.0538</t>
  </si>
  <si>
    <t>0.236</t>
  </si>
  <si>
    <t>KHEA, Omar Varela, Asan</t>
  </si>
  <si>
    <t>0.0817</t>
  </si>
  <si>
    <t>https://api.spotify.com/v1/tracks/0K0soSt52EhMS9FohRObdK</t>
  </si>
  <si>
    <t>spotify:track:0K0soSt52EhMS9FohRObdK</t>
  </si>
  <si>
    <t>C√≥mo Le Digo</t>
  </si>
  <si>
    <t>https://api.spotify.com/v1/audio-analysis/0K0soSt52EhMS9FohRObdK</t>
  </si>
  <si>
    <t>0K0soSt52EhMS9FohRObdK</t>
  </si>
  <si>
    <t>4r9ruIPQRfmUwN2YwqUN0c</t>
  </si>
  <si>
    <t>0.181</t>
  </si>
  <si>
    <t>0.0976</t>
  </si>
  <si>
    <t>0.503</t>
  </si>
  <si>
    <t>KayBlack, Wall Hein, AMUSIK</t>
  </si>
  <si>
    <t>https://api.spotify.com/v1/tracks/5RHOhXxMVhpEaBcG6hIydA</t>
  </si>
  <si>
    <t>spotify:track:5RHOhXxMVhpEaBcG6hIydA</t>
  </si>
  <si>
    <t>Maturidade</t>
  </si>
  <si>
    <t>https://api.spotify.com/v1/audio-analysis/5RHOhXxMVhpEaBcG6hIydA</t>
  </si>
  <si>
    <t>5RHOhXxMVhpEaBcG6hIydA</t>
  </si>
  <si>
    <t>2QWzXzDW94VU4E9KBSJehg</t>
  </si>
  <si>
    <t>133.03</t>
  </si>
  <si>
    <t>0.93</t>
  </si>
  <si>
    <t>0.0922</t>
  </si>
  <si>
    <t>WIU, Teto</t>
  </si>
  <si>
    <t>https://api.spotify.com/v1/tracks/0VybBobSYSzliyEJ1VqwGR</t>
  </si>
  <si>
    <t>spotify:track:0VybBobSYSzliyEJ1VqwGR</t>
  </si>
  <si>
    <t>Problemas de um Milion√°rio</t>
  </si>
  <si>
    <t>https://api.spotify.com/v1/audio-analysis/0VybBobSYSzliyEJ1VqwGR</t>
  </si>
  <si>
    <t>0VybBobSYSzliyEJ1VqwGR</t>
  </si>
  <si>
    <t>6.84e-05</t>
  </si>
  <si>
    <t>37xAMiTNitGXNdcm6v7ZJu</t>
  </si>
  <si>
    <t>0.6</t>
  </si>
  <si>
    <t>0.0931</t>
  </si>
  <si>
    <t>Bad Bunny</t>
  </si>
  <si>
    <t>0.37</t>
  </si>
  <si>
    <t>https://api.spotify.com/v1/tracks/26w9NTiE9NGjW1ZvIOd1So</t>
  </si>
  <si>
    <t>spotify:track:26w9NTiE9NGjW1ZvIOd1So</t>
  </si>
  <si>
    <t>EL √öLTIMO TOUR DEL MUNDO</t>
  </si>
  <si>
    <t>https://api.spotify.com/v1/audio-analysis/26w9NTiE9NGjW1ZvIOd1So</t>
  </si>
  <si>
    <t>26w9NTiE9NGjW1ZvIOd1So</t>
  </si>
  <si>
    <t>BOOKER T</t>
  </si>
  <si>
    <t>7.94e-06</t>
  </si>
  <si>
    <t>2d9BCZeAAhiZWPpbX9aPCW</t>
  </si>
  <si>
    <t>0.114</t>
  </si>
  <si>
    <t>0.834</t>
  </si>
  <si>
    <t>Travis Scott</t>
  </si>
  <si>
    <t>0.222</t>
  </si>
  <si>
    <t>https://api.spotify.com/v1/tracks/2xLMifQCjDGFmkHkpNLD9h</t>
  </si>
  <si>
    <t>spotify:track:2xLMifQCjDGFmkHkpNLD9h</t>
  </si>
  <si>
    <t>ASTROWORLD</t>
  </si>
  <si>
    <t>https://api.spotify.com/v1/audio-analysis/2xLMifQCjDGFmkHkpNLD9h</t>
  </si>
  <si>
    <t>2xLMifQCjDGFmkHkpNLD9h</t>
  </si>
  <si>
    <t>SICKO MODE</t>
  </si>
  <si>
    <t>41GuZcammIkupMPKH2OJ6I</t>
  </si>
  <si>
    <t>0.00513</t>
  </si>
  <si>
    <t>0.145</t>
  </si>
  <si>
    <t>Metro Boomin, Future, Don Toliver</t>
  </si>
  <si>
    <t>0.0467</t>
  </si>
  <si>
    <t>https://api.spotify.com/v1/tracks/2Hh3ETdQKrmSI3QS0hme7g</t>
  </si>
  <si>
    <t>spotify:track:2Hh3ETdQKrmSI3QS0hme7g</t>
  </si>
  <si>
    <t>https://api.spotify.com/v1/audio-analysis/2Hh3ETdQKrmSI3QS0hme7g</t>
  </si>
  <si>
    <t>2Hh3ETdQKrmSI3QS0hme7g</t>
  </si>
  <si>
    <t>Too Many Nights (feat. Don Toliver &amp; with Future)</t>
  </si>
  <si>
    <t>4.01e-05</t>
  </si>
  <si>
    <t>0.429</t>
  </si>
  <si>
    <t>Revol, Ozuna, Cosculluela, Arc√°ngel, Brytiago</t>
  </si>
  <si>
    <t>https://api.spotify.com/v1/tracks/6TZXBJLTIOX6DM6hwCsKw2</t>
  </si>
  <si>
    <t>spotify:track:6TZXBJLTIOX6DM6hwCsKw2</t>
  </si>
  <si>
    <t>Me Ama Me Odia</t>
  </si>
  <si>
    <t>https://api.spotify.com/v1/audio-analysis/6TZXBJLTIOX6DM6hwCsKw2</t>
  </si>
  <si>
    <t>6TZXBJLTIOX6DM6hwCsKw2</t>
  </si>
  <si>
    <t>3.56e-05</t>
  </si>
  <si>
    <t>3FAdUgqDYeqcvlpBTbGczq</t>
  </si>
  <si>
    <t>0.226</t>
  </si>
  <si>
    <t>afrobeats</t>
  </si>
  <si>
    <t>0.235</t>
  </si>
  <si>
    <t>Youka</t>
  </si>
  <si>
    <t>https://api.spotify.com/v1/tracks/1FEh2VLXCzHr4DhMLufrs5</t>
  </si>
  <si>
    <t>spotify:track:1FEh2VLXCzHr4DhMLufrs5</t>
  </si>
  <si>
    <t>VENIN</t>
  </si>
  <si>
    <t>Afro Hits</t>
  </si>
  <si>
    <t>https://api.spotify.com/v1/audio-analysis/1FEh2VLXCzHr4DhMLufrs5</t>
  </si>
  <si>
    <t>1FEh2VLXCzHr4DhMLufrs5</t>
  </si>
  <si>
    <t>Hm Hm hm</t>
  </si>
  <si>
    <t>0.0346</t>
  </si>
  <si>
    <t>6oWVZRNxLYd8K32YuRAbzz</t>
  </si>
  <si>
    <t>0.499</t>
  </si>
  <si>
    <t>nigerian</t>
  </si>
  <si>
    <t>37i9dQZF1DWX0o6sD1a6P5</t>
  </si>
  <si>
    <t>0.874</t>
  </si>
  <si>
    <t>Wizkid</t>
  </si>
  <si>
    <t>https://api.spotify.com/v1/tracks/27durTCg4qj3qAbKsSVNX4</t>
  </si>
  <si>
    <t>spotify:track:27durTCg4qj3qAbKsSVNX4</t>
  </si>
  <si>
    <t>Kese (Dance)</t>
  </si>
  <si>
    <t>https://api.spotify.com/v1/audio-analysis/27durTCg4qj3qAbKsSVNX4</t>
  </si>
  <si>
    <t>27durTCg4qj3qAbKsSVNX4</t>
  </si>
  <si>
    <t>0.34</t>
  </si>
  <si>
    <t>2sE6Gv7CIc5jUFffN3zsaS</t>
  </si>
  <si>
    <t>0.792</t>
  </si>
  <si>
    <t>0.0712</t>
  </si>
  <si>
    <t>0.903</t>
  </si>
  <si>
    <t>Davido, YG Marley</t>
  </si>
  <si>
    <t>0.0402</t>
  </si>
  <si>
    <t>https://api.spotify.com/v1/tracks/6e0YUaVAfDxUabmybOjguy</t>
  </si>
  <si>
    <t>spotify:track:6e0YUaVAfDxUabmybOjguy</t>
  </si>
  <si>
    <t>Awuke</t>
  </si>
  <si>
    <t>https://api.spotify.com/v1/audio-analysis/6e0YUaVAfDxUabmybOjguy</t>
  </si>
  <si>
    <t>6e0YUaVAfDxUabmybOjguy</t>
  </si>
  <si>
    <t>1.63e-05</t>
  </si>
  <si>
    <t>6t9A9CaPsaknVT4WgCPuXL</t>
  </si>
  <si>
    <t>0.823</t>
  </si>
  <si>
    <t>Darkoo, Rema</t>
  </si>
  <si>
    <t>https://api.spotify.com/v1/tracks/2irQkcW7o3v0tZoGZrtUsO</t>
  </si>
  <si>
    <t>spotify:track:2irQkcW7o3v0tZoGZrtUsO</t>
  </si>
  <si>
    <t>Favourite Girl (with Rema)</t>
  </si>
  <si>
    <t>https://api.spotify.com/v1/audio-analysis/2irQkcW7o3v0tZoGZrtUsO</t>
  </si>
  <si>
    <t>2irQkcW7o3v0tZoGZrtUsO</t>
  </si>
  <si>
    <t>4TFhO9eXlG7Xb4RzSz5tOU</t>
  </si>
  <si>
    <t>93.2</t>
  </si>
  <si>
    <t>Wizkid, Brent Faiyaz</t>
  </si>
  <si>
    <t>https://api.spotify.com/v1/tracks/2nYeyMeqYDiFSYYtl2BWD6</t>
  </si>
  <si>
    <t>spotify:track:2nYeyMeqYDiFSYYtl2BWD6</t>
  </si>
  <si>
    <t>Piece of My Heart (feat. Brent Faiyaz)</t>
  </si>
  <si>
    <t>https://api.spotify.com/v1/audio-analysis/2nYeyMeqYDiFSYYtl2BWD6</t>
  </si>
  <si>
    <t>2nYeyMeqYDiFSYYtl2BWD6</t>
  </si>
  <si>
    <t>6.92e-06</t>
  </si>
  <si>
    <t>2aM3higgzzkjpJf4EDJ8Gq</t>
  </si>
  <si>
    <t>Tyla</t>
  </si>
  <si>
    <t>https://api.spotify.com/v1/tracks/1Cbl3Yq8rHo7hhDQmLQagU</t>
  </si>
  <si>
    <t>spotify:track:1Cbl3Yq8rHo7hhDQmLQagU</t>
  </si>
  <si>
    <t>TYLA +</t>
  </si>
  <si>
    <t>https://api.spotify.com/v1/audio-analysis/1Cbl3Yq8rHo7hhDQmLQagU</t>
  </si>
  <si>
    <t>1Cbl3Yq8rHo7hhDQmLQagU</t>
  </si>
  <si>
    <t>PUSH 2 START</t>
  </si>
  <si>
    <t>0.00826</t>
  </si>
  <si>
    <t>5QsVRNOKVMCeVAIUoOQJ13</t>
  </si>
  <si>
    <t>0.0685</t>
  </si>
  <si>
    <t>Bnxn, Rema</t>
  </si>
  <si>
    <t>https://api.spotify.com/v1/tracks/771KDfpsOtJPQmocQpMdkR</t>
  </si>
  <si>
    <t>spotify:track:771KDfpsOtJPQmocQpMdkR</t>
  </si>
  <si>
    <t>Fi Kan We Kan</t>
  </si>
  <si>
    <t>https://api.spotify.com/v1/audio-analysis/771KDfpsOtJPQmocQpMdkR</t>
  </si>
  <si>
    <t>771KDfpsOtJPQmocQpMdkR</t>
  </si>
  <si>
    <t>9.25e-05</t>
  </si>
  <si>
    <t>6EKtDHfQtcqhwIPoZr7jTp</t>
  </si>
  <si>
    <t>Asake, Wizkid</t>
  </si>
  <si>
    <t>https://api.spotify.com/v1/tracks/13VXuHw3O8Yt7VwRIDqSo4</t>
  </si>
  <si>
    <t>spotify:track:13VXuHw3O8Yt7VwRIDqSo4</t>
  </si>
  <si>
    <t>Lungu Boy</t>
  </si>
  <si>
    <t>https://api.spotify.com/v1/audio-analysis/13VXuHw3O8Yt7VwRIDqSo4</t>
  </si>
  <si>
    <t>13VXuHw3O8Yt7VwRIDqSo4</t>
  </si>
  <si>
    <t>MMS</t>
  </si>
  <si>
    <t>0.0341</t>
  </si>
  <si>
    <t>3kS42vslfpYnxWkGN4JvlW</t>
  </si>
  <si>
    <t>0.677</t>
  </si>
  <si>
    <t>latin</t>
  </si>
  <si>
    <t>Viva Latino</t>
  </si>
  <si>
    <t>37i9dQZF1DX10zKzsJ2jva</t>
  </si>
  <si>
    <t>0.581</t>
  </si>
  <si>
    <t>0.0933</t>
  </si>
  <si>
    <t>Cris Mj, FloyyMenor, LOUKI</t>
  </si>
  <si>
    <t>https://api.spotify.com/v1/tracks/6PhRhocBXP4y7NpciGmzra</t>
  </si>
  <si>
    <t>spotify:track:6PhRhocBXP4y7NpciGmzra</t>
  </si>
  <si>
    <t>MJ</t>
  </si>
  <si>
    <t>https://api.spotify.com/v1/audio-analysis/6PhRhocBXP4y7NpciGmzra</t>
  </si>
  <si>
    <t>6PhRhocBXP4y7NpciGmzra</t>
  </si>
  <si>
    <t>Despu√©s De La 1</t>
  </si>
  <si>
    <t>0.0202</t>
  </si>
  <si>
    <t>2lIzIH2mQQ0ItgkJKefQMp</t>
  </si>
  <si>
    <t>0.779</t>
  </si>
  <si>
    <t>0.0974</t>
  </si>
  <si>
    <t>Danny Ocean, Kapo</t>
  </si>
  <si>
    <t>https://api.spotify.com/v1/tracks/4zbEItKoaRId1vRZkoO0Uh</t>
  </si>
  <si>
    <t>spotify:track:4zbEItKoaRId1vRZkoO0Uh</t>
  </si>
  <si>
    <t>Imag√≠nate</t>
  </si>
  <si>
    <t>https://api.spotify.com/v1/audio-analysis/4zbEItKoaRId1vRZkoO0Uh</t>
  </si>
  <si>
    <t>4zbEItKoaRId1vRZkoO0Uh</t>
  </si>
  <si>
    <t>3kzUHIIJdOeP7mwyfT3qJ8</t>
  </si>
  <si>
    <t>0.334</t>
  </si>
  <si>
    <t>0.307</t>
  </si>
  <si>
    <t>Natanael Cano, Uriel Gaxiola, Ganggy, Victor Mendivil</t>
  </si>
  <si>
    <t>0.21</t>
  </si>
  <si>
    <t>https://api.spotify.com/v1/tracks/6fKvGaO8Dfntvx4thaXtak</t>
  </si>
  <si>
    <t>spotify:track:6fKvGaO8Dfntvx4thaXtak</t>
  </si>
  <si>
    <t>Kamikaze (feat. Victor Mendivil)</t>
  </si>
  <si>
    <t>https://api.spotify.com/v1/audio-analysis/6fKvGaO8Dfntvx4thaXtak</t>
  </si>
  <si>
    <t>6fKvGaO8Dfntvx4thaXtak</t>
  </si>
  <si>
    <t>8.45e-06</t>
  </si>
  <si>
    <t>0qRymMmPlQL4Jji8iXAZVP</t>
  </si>
  <si>
    <t>0.0728</t>
  </si>
  <si>
    <t>Fuerza Regida</t>
  </si>
  <si>
    <t>https://api.spotify.com/v1/tracks/5AH31dDNgxCMGDdxubNNn4</t>
  </si>
  <si>
    <t>spotify:track:5AH31dDNgxCMGDdxubNNn4</t>
  </si>
  <si>
    <t>PERO NO TE ENAMORES</t>
  </si>
  <si>
    <t>https://api.spotify.com/v1/audio-analysis/5AH31dDNgxCMGDdxubNNn4</t>
  </si>
  <si>
    <t>5AH31dDNgxCMGDdxubNNn4</t>
  </si>
  <si>
    <t>NEL</t>
  </si>
  <si>
    <t>0.0004</t>
  </si>
  <si>
    <t>3iRQdNKyI5Pf78jWYI1tFv</t>
  </si>
  <si>
    <t>0.762</t>
  </si>
  <si>
    <t>0.816</t>
  </si>
  <si>
    <t>0.0845</t>
  </si>
  <si>
    <t>Blessd, Anuel AA</t>
  </si>
  <si>
    <t>0.0565</t>
  </si>
  <si>
    <t>https://api.spotify.com/v1/tracks/0fKK51bU6lcCCwdNnv64t3</t>
  </si>
  <si>
    <t>spotify:track:0fKK51bU6lcCCwdNnv64t3</t>
  </si>
  <si>
    <t>DEPORTIVO</t>
  </si>
  <si>
    <t>https://api.spotify.com/v1/audio-analysis/0fKK51bU6lcCCwdNnv64t3</t>
  </si>
  <si>
    <t>0fKK51bU6lcCCwdNnv64t3</t>
  </si>
  <si>
    <t>0.000404</t>
  </si>
  <si>
    <t>4WDkA9vfa56hODrhY0LAhs</t>
  </si>
  <si>
    <t>0.534</t>
  </si>
  <si>
    <t>Maria Becerra, Yandel</t>
  </si>
  <si>
    <t>0.0557</t>
  </si>
  <si>
    <t>https://api.spotify.com/v1/tracks/4U80gkwi6Qk0fBRcDuzn3E</t>
  </si>
  <si>
    <t>spotify:track:4U80gkwi6Qk0fBRcDuzn3E</t>
  </si>
  <si>
    <t>SEXO ES LA MODA</t>
  </si>
  <si>
    <t>https://api.spotify.com/v1/audio-analysis/4U80gkwi6Qk0fBRcDuzn3E</t>
  </si>
  <si>
    <t>4U80gkwi6Qk0fBRcDuzn3E</t>
  </si>
  <si>
    <t>4bJWxZQFLrz2IW79KheuXD</t>
  </si>
  <si>
    <t>0.627</t>
  </si>
  <si>
    <t>0.687</t>
  </si>
  <si>
    <t>0.0893</t>
  </si>
  <si>
    <t>0.47</t>
  </si>
  <si>
    <t>Rauw Alejandro, Romeo Santos</t>
  </si>
  <si>
    <t>https://api.spotify.com/v1/tracks/1YYfyJ2yCvGFCxwjsIqEK9</t>
  </si>
  <si>
    <t>spotify:track:1YYfyJ2yCvGFCxwjsIqEK9</t>
  </si>
  <si>
    <t>https://api.spotify.com/v1/audio-analysis/1YYfyJ2yCvGFCxwjsIqEK9</t>
  </si>
  <si>
    <t>1YYfyJ2yCvGFCxwjsIqEK9</t>
  </si>
  <si>
    <t>Kh√©?</t>
  </si>
  <si>
    <t>0.0681</t>
  </si>
  <si>
    <t>Joyce Santana, Feid</t>
  </si>
  <si>
    <t>0.273</t>
  </si>
  <si>
    <t>https://api.spotify.com/v1/tracks/12VjaTNEaCfDlvW1XPZTQ9</t>
  </si>
  <si>
    <t>spotify:track:12VjaTNEaCfDlvW1XPZTQ9</t>
  </si>
  <si>
    <t>Ferxxoko</t>
  </si>
  <si>
    <t>https://api.spotify.com/v1/audio-analysis/12VjaTNEaCfDlvW1XPZTQ9</t>
  </si>
  <si>
    <t>12VjaTNEaCfDlvW1XPZTQ9</t>
  </si>
  <si>
    <t>5uRpRstxMvxTSbAXZmaBnh</t>
  </si>
  <si>
    <t>0.0189</t>
  </si>
  <si>
    <t>0.724</t>
  </si>
  <si>
    <t>0.556</t>
  </si>
  <si>
    <t>Duki, Myke Towers</t>
  </si>
  <si>
    <t>https://api.spotify.com/v1/tracks/03IpZ9yqJlo3EIgDQUgBSF</t>
  </si>
  <si>
    <t>spotify:track:03IpZ9yqJlo3EIgDQUgBSF</t>
  </si>
  <si>
    <t>https://api.spotify.com/v1/audio-analysis/03IpZ9yqJlo3EIgDQUgBSF</t>
  </si>
  <si>
    <t>03IpZ9yqJlo3EIgDQUgBSF</t>
  </si>
  <si>
    <t>Nueva Era</t>
  </si>
  <si>
    <t>-8.99</t>
  </si>
  <si>
    <t>0.0723</t>
  </si>
  <si>
    <t>FloyyMenor</t>
  </si>
  <si>
    <t>https://api.spotify.com/v1/tracks/5PCGEfALcpGtURIuTqvX0R</t>
  </si>
  <si>
    <t>spotify:track:5PCGEfALcpGtURIuTqvX0R</t>
  </si>
  <si>
    <t>PELIGROSA</t>
  </si>
  <si>
    <t>https://api.spotify.com/v1/audio-analysis/5PCGEfALcpGtURIuTqvX0R</t>
  </si>
  <si>
    <t>5PCGEfALcpGtURIuTqvX0R</t>
  </si>
  <si>
    <t>1.31e-05</t>
  </si>
  <si>
    <t>6KiPy0AFWwVK4pTIstFbLz</t>
  </si>
  <si>
    <t>0.614</t>
  </si>
  <si>
    <t>Chino Pacas</t>
  </si>
  <si>
    <t>0.0324</t>
  </si>
  <si>
    <t>https://api.spotify.com/v1/tracks/0NsGFMIo2aNbAkJu48ndaf</t>
  </si>
  <si>
    <t>spotify:track:0NsGFMIo2aNbAkJu48ndaf</t>
  </si>
  <si>
    <t>Que Sigan Llegando Las Pacas (Extended)</t>
  </si>
  <si>
    <t>https://api.spotify.com/v1/audio-analysis/0NsGFMIo2aNbAkJu48ndaf</t>
  </si>
  <si>
    <t>0NsGFMIo2aNbAkJu48ndaf</t>
  </si>
  <si>
    <t>Morena Canela</t>
  </si>
  <si>
    <t>0IeCqguWKSslODbwnrelhq</t>
  </si>
  <si>
    <t>0.719</t>
  </si>
  <si>
    <t>0.707</t>
  </si>
  <si>
    <t>0.371</t>
  </si>
  <si>
    <t>Quevedo</t>
  </si>
  <si>
    <t>0.0395</t>
  </si>
  <si>
    <t>https://api.spotify.com/v1/tracks/1kyLInQ2qgYbK4wZxllfV2</t>
  </si>
  <si>
    <t>spotify:track:1kyLInQ2qgYbK4wZxllfV2</t>
  </si>
  <si>
    <t>DURO</t>
  </si>
  <si>
    <t>https://api.spotify.com/v1/audio-analysis/1kyLInQ2qgYbK4wZxllfV2</t>
  </si>
  <si>
    <t>1kyLInQ2qgYbK4wZxllfV2</t>
  </si>
  <si>
    <t>235ZKHV3Tg09Cj4vtYnZm8</t>
  </si>
  <si>
    <t>0.223</t>
  </si>
  <si>
    <t>0.208</t>
  </si>
  <si>
    <t>Junior H</t>
  </si>
  <si>
    <t>https://api.spotify.com/v1/tracks/4ZOkfHC38nxSeSqzGE5HFr</t>
  </si>
  <si>
    <t>spotify:track:4ZOkfHC38nxSeSqzGE5HFr</t>
  </si>
  <si>
    <t>$AD BOYZ 4 LIFE II</t>
  </si>
  <si>
    <t>https://api.spotify.com/v1/audio-analysis/4ZOkfHC38nxSeSqzGE5HFr</t>
  </si>
  <si>
    <t>4ZOkfHC38nxSeSqzGE5HFr</t>
  </si>
  <si>
    <t>PI√âNSALO</t>
  </si>
  <si>
    <t>7Lv6VzSqIz1sAssK2JUskG</t>
  </si>
  <si>
    <t>0.452</t>
  </si>
  <si>
    <t>125.01</t>
  </si>
  <si>
    <t>-8.39</t>
  </si>
  <si>
    <t>Jasiel Nu√±ez, Peso Pluma</t>
  </si>
  <si>
    <t>https://api.spotify.com/v1/tracks/0lQogzZgV4XwuUTasz3nPL</t>
  </si>
  <si>
    <t>spotify:track:0lQogzZgV4XwuUTasz3nPL</t>
  </si>
  <si>
    <t>LA ODISEA</t>
  </si>
  <si>
    <t>https://api.spotify.com/v1/audio-analysis/0lQogzZgV4XwuUTasz3nPL</t>
  </si>
  <si>
    <t>0lQogzZgV4XwuUTasz3nPL</t>
  </si>
  <si>
    <t>EN MI MUNDO</t>
  </si>
  <si>
    <t>0OrStwHqaIFS8JdPSwApqA</t>
  </si>
  <si>
    <t>0.949</t>
  </si>
  <si>
    <t>Shakira</t>
  </si>
  <si>
    <t>https://api.spotify.com/v1/tracks/3OJDtCdYs8QJnui708tEU3</t>
  </si>
  <si>
    <t>spotify:track:3OJDtCdYs8QJnui708tEU3</t>
  </si>
  <si>
    <t>Soltera</t>
  </si>
  <si>
    <t>https://api.spotify.com/v1/audio-analysis/3OJDtCdYs8QJnui708tEU3</t>
  </si>
  <si>
    <t>3OJDtCdYs8QJnui708tEU3</t>
  </si>
  <si>
    <t>0.00046</t>
  </si>
  <si>
    <t>0VRb8B2ls0GDEfmKiL8FWJ</t>
  </si>
  <si>
    <t>https://api.spotify.com/v1/tracks/4xISUrw0t2elabEhKrtAJ0</t>
  </si>
  <si>
    <t>spotify:track:4xISUrw0t2elabEhKrtAJ0</t>
  </si>
  <si>
    <t>https://api.spotify.com/v1/audio-analysis/4xISUrw0t2elabEhKrtAJ0</t>
  </si>
  <si>
    <t>4xISUrw0t2elabEhKrtAJ0</t>
  </si>
  <si>
    <t>2ONEbIxBKRNvD2x4kCdsO4</t>
  </si>
  <si>
    <t>Maisak, Feid</t>
  </si>
  <si>
    <t>0.0635</t>
  </si>
  <si>
    <t>https://api.spotify.com/v1/tracks/2gmd7lY3QSzLh0xIY4cRvi</t>
  </si>
  <si>
    <t>spotify:track:2gmd7lY3QSzLh0xIY4cRvi</t>
  </si>
  <si>
    <t>SE ME OLVIDA</t>
  </si>
  <si>
    <t>https://api.spotify.com/v1/audio-analysis/2gmd7lY3QSzLh0xIY4cRvi</t>
  </si>
  <si>
    <t>2gmd7lY3QSzLh0xIY4cRvi</t>
  </si>
  <si>
    <t>00ESTj1vBUkIbaTHaXaXu3</t>
  </si>
  <si>
    <t>0.0399</t>
  </si>
  <si>
    <t>Grupo Frontera</t>
  </si>
  <si>
    <t>0.0325</t>
  </si>
  <si>
    <t>https://api.spotify.com/v1/tracks/1uGUbgZuO1kD1JZ0UeFupN</t>
  </si>
  <si>
    <t>spotify:track:1uGUbgZuO1kD1JZ0UeFupN</t>
  </si>
  <si>
    <t>Hecha Pa' M√≠</t>
  </si>
  <si>
    <t>https://api.spotify.com/v1/audio-analysis/1uGUbgZuO1kD1JZ0UeFupN</t>
  </si>
  <si>
    <t>1uGUbgZuO1kD1JZ0UeFupN</t>
  </si>
  <si>
    <t>3Z9jjBDBjKUkf7CXPm5aSF</t>
  </si>
  <si>
    <t>0.0857</t>
  </si>
  <si>
    <t>0.773</t>
  </si>
  <si>
    <t>Myke Towers, Peso Pluma</t>
  </si>
  <si>
    <t>0.0416</t>
  </si>
  <si>
    <t>https://api.spotify.com/v1/tracks/1iIrqtbY2aogEHhQkmrV7w</t>
  </si>
  <si>
    <t>spotify:track:1iIrqtbY2aogEHhQkmrV7w</t>
  </si>
  <si>
    <t>LA PANTERA NEGRA</t>
  </si>
  <si>
    <t>https://api.spotify.com/v1/audio-analysis/1iIrqtbY2aogEHhQkmrV7w</t>
  </si>
  <si>
    <t>1iIrqtbY2aogEHhQkmrV7w</t>
  </si>
  <si>
    <t>SE TE NOTA (feat. Peso Pluma)</t>
  </si>
  <si>
    <t>4.24e-05</t>
  </si>
  <si>
    <t>6NmYJszy5BaEm1WF4tJL7Z</t>
  </si>
  <si>
    <t>Tito Double P</t>
  </si>
  <si>
    <t>0.0524</t>
  </si>
  <si>
    <t>https://api.spotify.com/v1/tracks/6X6m4xmdFcz31p1h7Qg68c</t>
  </si>
  <si>
    <t>spotify:track:6X6m4xmdFcz31p1h7Qg68c</t>
  </si>
  <si>
    <t>INC√ìMODO</t>
  </si>
  <si>
    <t>https://api.spotify.com/v1/audio-analysis/6X6m4xmdFcz31p1h7Qg68c</t>
  </si>
  <si>
    <t>6X6m4xmdFcz31p1h7Qg68c</t>
  </si>
  <si>
    <t>EL LOKERON</t>
  </si>
  <si>
    <t>6.77e-06</t>
  </si>
  <si>
    <t>27GWSFRITD8JJcSGMgEfTN</t>
  </si>
  <si>
    <t>0.74</t>
  </si>
  <si>
    <t>0.087</t>
  </si>
  <si>
    <t>Carin Leon, Gabito Ballesteros</t>
  </si>
  <si>
    <t>0.0387</t>
  </si>
  <si>
    <t>https://api.spotify.com/v1/tracks/4Ndjd6DhKIC5IPoBIrMQuX</t>
  </si>
  <si>
    <t>spotify:track:4Ndjd6DhKIC5IPoBIrMQuX</t>
  </si>
  <si>
    <t>Ese Vato No Te Queda</t>
  </si>
  <si>
    <t>https://api.spotify.com/v1/audio-analysis/4Ndjd6DhKIC5IPoBIrMQuX</t>
  </si>
  <si>
    <t>4Ndjd6DhKIC5IPoBIrMQuX</t>
  </si>
  <si>
    <t>0.000109</t>
  </si>
  <si>
    <t>4Z9Ib007Z7ZFmYLfyp2qH9</t>
  </si>
  <si>
    <t>0.0292</t>
  </si>
  <si>
    <t>136.0</t>
  </si>
  <si>
    <t>0.0876</t>
  </si>
  <si>
    <t>Fuerza Regida, Luis R Conriquez</t>
  </si>
  <si>
    <t>0.0536</t>
  </si>
  <si>
    <t>https://api.spotify.com/v1/tracks/06ONHS2cu9I7fvzTz3NQvq</t>
  </si>
  <si>
    <t>spotify:track:06ONHS2cu9I7fvzTz3NQvq</t>
  </si>
  <si>
    <t>Cholo 7</t>
  </si>
  <si>
    <t>https://api.spotify.com/v1/audio-analysis/06ONHS2cu9I7fvzTz3NQvq</t>
  </si>
  <si>
    <t>06ONHS2cu9I7fvzTz3NQvq</t>
  </si>
  <si>
    <t>2DqUzBO8R3Aw4q26PDjV1t</t>
  </si>
  <si>
    <t>HUMBE</t>
  </si>
  <si>
    <t>https://api.spotify.com/v1/tracks/1qbql17v0Hazo94o5RUyWQ</t>
  </si>
  <si>
    <t>spotify:track:1qbql17v0Hazo94o5RUyWQ</t>
  </si>
  <si>
    <t>KINTSUGI</t>
  </si>
  <si>
    <t>https://api.spotify.com/v1/audio-analysis/1qbql17v0Hazo94o5RUyWQ</t>
  </si>
  <si>
    <t>1qbql17v0Hazo94o5RUyWQ</t>
  </si>
  <si>
    <t>0.0135</t>
  </si>
  <si>
    <t>2icg5AKoqW4jWW9vdkENlZ</t>
  </si>
  <si>
    <t>0.86</t>
  </si>
  <si>
    <t>0.0984</t>
  </si>
  <si>
    <t>Kapo</t>
  </si>
  <si>
    <t>0.0403</t>
  </si>
  <si>
    <t>https://api.spotify.com/v1/tracks/5QjmUqgpPQgXgg4606DqZF</t>
  </si>
  <si>
    <t>spotify:track:5QjmUqgpPQgXgg4606DqZF</t>
  </si>
  <si>
    <t>UWAIE</t>
  </si>
  <si>
    <t>https://api.spotify.com/v1/audio-analysis/5QjmUqgpPQgXgg4606DqZF</t>
  </si>
  <si>
    <t>5QjmUqgpPQgXgg4606DqZF</t>
  </si>
  <si>
    <t>5H7sO778w4hgr2v2600ajN</t>
  </si>
  <si>
    <t>111.93</t>
  </si>
  <si>
    <t>Clarent, Mora</t>
  </si>
  <si>
    <t>https://api.spotify.com/v1/tracks/7lcbpfihslisNObKdHjyLo</t>
  </si>
  <si>
    <t>spotify:track:7lcbpfihslisNObKdHjyLo</t>
  </si>
  <si>
    <t>IA</t>
  </si>
  <si>
    <t>https://api.spotify.com/v1/audio-analysis/7lcbpfihslisNObKdHjyLo</t>
  </si>
  <si>
    <t>7lcbpfihslisNObKdHjyLo</t>
  </si>
  <si>
    <t>3DXj5cbdAXHzjG9Yy2rDn3</t>
  </si>
  <si>
    <t>LATIN MAFIA</t>
  </si>
  <si>
    <t>https://api.spotify.com/v1/tracks/4Z6pPinNzkGtbgAlE88263</t>
  </si>
  <si>
    <t>spotify:track:4Z6pPinNzkGtbgAlE88263</t>
  </si>
  <si>
    <t>TODOS LOS D√çAS TODO EL D√çA</t>
  </si>
  <si>
    <t>https://api.spotify.com/v1/audio-analysis/4Z6pPinNzkGtbgAlE88263</t>
  </si>
  <si>
    <t>4Z6pPinNzkGtbgAlE88263</t>
  </si>
  <si>
    <t>Siento que merezco m√°s</t>
  </si>
  <si>
    <t>0.00318</t>
  </si>
  <si>
    <t>0DMDbZtZT028siJ0GEdLrQ</t>
  </si>
  <si>
    <t>0.347</t>
  </si>
  <si>
    <t>Tito Double P, Grupo Frontera</t>
  </si>
  <si>
    <t>https://api.spotify.com/v1/tracks/2lAUq68F2bt7Kc218n9FPp</t>
  </si>
  <si>
    <t>spotify:track:2lAUq68F2bt7Kc218n9FPp</t>
  </si>
  <si>
    <t>https://api.spotify.com/v1/audio-analysis/2lAUq68F2bt7Kc218n9FPp</t>
  </si>
  <si>
    <t>2lAUq68F2bt7Kc218n9FPp</t>
  </si>
  <si>
    <t>AY MAM√Å</t>
  </si>
  <si>
    <t>0.162</t>
  </si>
  <si>
    <t>0.459</t>
  </si>
  <si>
    <t>Yami Safdie, Lasso</t>
  </si>
  <si>
    <t>0.0425</t>
  </si>
  <si>
    <t>https://api.spotify.com/v1/tracks/0EhmTBq33eARyOz3SIi4P2</t>
  </si>
  <si>
    <t>spotify:track:0EhmTBq33eARyOz3SIi4P2</t>
  </si>
  <si>
    <t>En Otra Vida</t>
  </si>
  <si>
    <t>https://api.spotify.com/v1/audio-analysis/0EhmTBq33eARyOz3SIi4P2</t>
  </si>
  <si>
    <t>0EhmTBq33eARyOz3SIi4P2</t>
  </si>
  <si>
    <t>2YB2eziTKgn9bnRz7prmoP</t>
  </si>
  <si>
    <t>0.929</t>
  </si>
  <si>
    <t>0.0903</t>
  </si>
  <si>
    <t>Clave Especial, Luis R Conriquez</t>
  </si>
  <si>
    <t>https://api.spotify.com/v1/tracks/2ss1LK5Kfnjo5EUaCbsgZM</t>
  </si>
  <si>
    <t>spotify:track:2ss1LK5Kfnjo5EUaCbsgZM</t>
  </si>
  <si>
    <t>No Son Doritos</t>
  </si>
  <si>
    <t>https://api.spotify.com/v1/audio-analysis/2ss1LK5Kfnjo5EUaCbsgZM</t>
  </si>
  <si>
    <t>2ss1LK5Kfnjo5EUaCbsgZM</t>
  </si>
  <si>
    <t>0.000212</t>
  </si>
  <si>
    <t>22jEQPO95IC1zSs5dJx2qc</t>
  </si>
  <si>
    <t>0.682</t>
  </si>
  <si>
    <t>0.75</t>
  </si>
  <si>
    <t>Be√©le</t>
  </si>
  <si>
    <t>0.0945</t>
  </si>
  <si>
    <t>https://api.spotify.com/v1/tracks/60u6hcpH5Qm1M3xESdNBrB</t>
  </si>
  <si>
    <t>spotify:track:60u6hcpH5Qm1M3xESdNBrB</t>
  </si>
  <si>
    <t>Frente al Mar</t>
  </si>
  <si>
    <t>https://api.spotify.com/v1/audio-analysis/60u6hcpH5Qm1M3xESdNBrB</t>
  </si>
  <si>
    <t>60u6hcpH5Qm1M3xESdNBrB</t>
  </si>
  <si>
    <t>1.28e-06</t>
  </si>
  <si>
    <t>0Wf0E2diHQJRdkPR12BcXs</t>
  </si>
  <si>
    <t>W Sound, Blessd, Ovy On The Drums</t>
  </si>
  <si>
    <t>https://api.spotify.com/v1/tracks/13BDiikG6y5o5cQTK0HpW6</t>
  </si>
  <si>
    <t>spotify:track:13BDiikG6y5o5cQTK0HpW6</t>
  </si>
  <si>
    <t>Soltera (W Sound 01)</t>
  </si>
  <si>
    <t>https://api.spotify.com/v1/audio-analysis/13BDiikG6y5o5cQTK0HpW6</t>
  </si>
  <si>
    <t>13BDiikG6y5o5cQTK0HpW6</t>
  </si>
  <si>
    <t>Soltera - W Sound 01</t>
  </si>
  <si>
    <t>0.000242</t>
  </si>
  <si>
    <t>5UQC6N5rRND3GZKzysRdA4</t>
  </si>
  <si>
    <t>0.216</t>
  </si>
  <si>
    <t>Tito Double P, Peso Pluma</t>
  </si>
  <si>
    <t>https://api.spotify.com/v1/tracks/5lKFO0PrOC9jmOlPEdjHsL</t>
  </si>
  <si>
    <t>spotify:track:5lKFO0PrOC9jmOlPEdjHsL</t>
  </si>
  <si>
    <t>https://api.spotify.com/v1/audio-analysis/5lKFO0PrOC9jmOlPEdjHsL</t>
  </si>
  <si>
    <t>5lKFO0PrOC9jmOlPEdjHsL</t>
  </si>
  <si>
    <t>DOS D√çAS</t>
  </si>
  <si>
    <t>Calle 24, Chuyin</t>
  </si>
  <si>
    <t>0.0348</t>
  </si>
  <si>
    <t>https://api.spotify.com/v1/tracks/44zZM2dn9AcOUt5XKUMNJ3</t>
  </si>
  <si>
    <t>spotify:track:44zZM2dn9AcOUt5XKUMNJ3</t>
  </si>
  <si>
    <t>NO PIERDO LA VIDA</t>
  </si>
  <si>
    <t>https://api.spotify.com/v1/audio-analysis/44zZM2dn9AcOUt5XKUMNJ3</t>
  </si>
  <si>
    <t>44zZM2dn9AcOUt5XKUMNJ3</t>
  </si>
  <si>
    <t>7DueGhsMj4VYSbe1jgQ4H2</t>
  </si>
  <si>
    <t>165.07</t>
  </si>
  <si>
    <t>0.809</t>
  </si>
  <si>
    <t>0.0653</t>
  </si>
  <si>
    <t>0.9</t>
  </si>
  <si>
    <t>Alem√°n, Gera MX</t>
  </si>
  <si>
    <t>https://api.spotify.com/v1/tracks/2TV1EuYnG5XqEyQSd1EB9X</t>
  </si>
  <si>
    <t>spotify:track:2TV1EuYnG5XqEyQSd1EB9X</t>
  </si>
  <si>
    <t>Como Pacman</t>
  </si>
  <si>
    <t>https://api.spotify.com/v1/audio-analysis/2TV1EuYnG5XqEyQSd1EB9X</t>
  </si>
  <si>
    <t>2TV1EuYnG5XqEyQSd1EB9X</t>
  </si>
  <si>
    <t>0.0011</t>
  </si>
  <si>
    <t>3xCmWwmcrk7U0PiS7iG9Ny</t>
  </si>
  <si>
    <t>Juli√≥n √Ålvarez y su Norte√±o Banda</t>
  </si>
  <si>
    <t>0.0569</t>
  </si>
  <si>
    <t>https://api.spotify.com/v1/tracks/0BiDnJFB3TlRB6aji7jUz3</t>
  </si>
  <si>
    <t>spotify:track:0BiDnJFB3TlRB6aji7jUz3</t>
  </si>
  <si>
    <t>Atento Aviso ... Rey Sin Reina</t>
  </si>
  <si>
    <t>https://api.spotify.com/v1/audio-analysis/0BiDnJFB3TlRB6aji7jUz3</t>
  </si>
  <si>
    <t>0BiDnJFB3TlRB6aji7jUz3</t>
  </si>
  <si>
    <t>Rey Sin Reina</t>
  </si>
  <si>
    <t>38uizvY4xqOiAq750FDmW2</t>
  </si>
  <si>
    <t>0.0612</t>
  </si>
  <si>
    <t>Belinda, Kenia OS</t>
  </si>
  <si>
    <t>0.0532</t>
  </si>
  <si>
    <t>https://api.spotify.com/v1/tracks/23W44WWCP8SibyP292TWo5</t>
  </si>
  <si>
    <t>spotify:track:23W44WWCP8SibyP292TWo5</t>
  </si>
  <si>
    <t>JACKPOT</t>
  </si>
  <si>
    <t>https://api.spotify.com/v1/audio-analysis/23W44WWCP8SibyP292TWo5</t>
  </si>
  <si>
    <t>23W44WWCP8SibyP292TWo5</t>
  </si>
  <si>
    <t>1.32e-05</t>
  </si>
  <si>
    <t>2jwthspFSdYQk8m64Qmk4N</t>
  </si>
  <si>
    <t>0.0012</t>
  </si>
  <si>
    <t>-4.27</t>
  </si>
  <si>
    <t>0.94</t>
  </si>
  <si>
    <t>Emilia</t>
  </si>
  <si>
    <t>https://api.spotify.com/v1/tracks/7yrTny7FLWLbfIzsxoicWj</t>
  </si>
  <si>
    <t>spotify:track:7yrTny7FLWLbfIzsxoicWj</t>
  </si>
  <si>
    <t>noviogangsta &lt;3</t>
  </si>
  <si>
    <t>https://api.spotify.com/v1/audio-analysis/7yrTny7FLWLbfIzsxoicWj</t>
  </si>
  <si>
    <t>7yrTny7FLWLbfIzsxoicWj</t>
  </si>
  <si>
    <t>3.7e-06</t>
  </si>
  <si>
    <t>0qLXwwUPYR7o3ZcVQFdKlQ</t>
  </si>
  <si>
    <t>0.896</t>
  </si>
  <si>
    <t>Don Omar, Tego Calder√≥n</t>
  </si>
  <si>
    <t>0.251</t>
  </si>
  <si>
    <t>https://api.spotify.com/v1/tracks/4BxzNZpcm1j3JczZzGNe2k</t>
  </si>
  <si>
    <t>spotify:track:4BxzNZpcm1j3JczZzGNe2k</t>
  </si>
  <si>
    <t>The Fast And The Furious: Tokyo Drift (Original Motion Picture Soundtrack)</t>
  </si>
  <si>
    <t>Latino Hip-Hop</t>
  </si>
  <si>
    <t>https://api.spotify.com/v1/audio-analysis/4BxzNZpcm1j3JczZzGNe2k</t>
  </si>
  <si>
    <t>4BxzNZpcm1j3JczZzGNe2k</t>
  </si>
  <si>
    <t>Bandoleros</t>
  </si>
  <si>
    <t>4SJhZBuuLYlwUJGxWf8Pj0</t>
  </si>
  <si>
    <t>0WHSUDr9DMD89LvRgj8kyK</t>
  </si>
  <si>
    <t>Alem√°n</t>
  </si>
  <si>
    <t>https://api.spotify.com/v1/tracks/78M7CiqTpJYoPQKkwjM48Z</t>
  </si>
  <si>
    <t>spotify:track:78M7CiqTpJYoPQKkwjM48Z</t>
  </si>
  <si>
    <t>Eclipse</t>
  </si>
  <si>
    <t>https://api.spotify.com/v1/audio-analysis/78M7CiqTpJYoPQKkwjM48Z</t>
  </si>
  <si>
    <t>78M7CiqTpJYoPQKkwjM48Z</t>
  </si>
  <si>
    <t>Ruc√≥n</t>
  </si>
  <si>
    <t>58bkzXIuIabVia7LjAOpT3</t>
  </si>
  <si>
    <t>0.0196</t>
  </si>
  <si>
    <t>0.63</t>
  </si>
  <si>
    <t>indian</t>
  </si>
  <si>
    <t>Tanishk Bagchi, Jubin Nautiyal, Asees Kaur</t>
  </si>
  <si>
    <t>0.0413</t>
  </si>
  <si>
    <t>https://api.spotify.com/v1/tracks/2rOnSn2piaqLAlYjtfUBlY</t>
  </si>
  <si>
    <t>spotify:track:2rOnSn2piaqLAlYjtfUBlY</t>
  </si>
  <si>
    <t>Raataan Lambiyan (From "Shershaah")</t>
  </si>
  <si>
    <t>Bollywood Butter</t>
  </si>
  <si>
    <t>https://api.spotify.com/v1/audio-analysis/2rOnSn2piaqLAlYjtfUBlY</t>
  </si>
  <si>
    <t>2rOnSn2piaqLAlYjtfUBlY</t>
  </si>
  <si>
    <t>2DKSZvMj7Da6rzNVPMgREj</t>
  </si>
  <si>
    <t>0.615</t>
  </si>
  <si>
    <t>bollywood</t>
  </si>
  <si>
    <t>2KA1ER81lhJ7VWNEs3dkpZ</t>
  </si>
  <si>
    <t>0.0971</t>
  </si>
  <si>
    <t>Jasleen Royal, B Praak, Romy, Anvita Dutt</t>
  </si>
  <si>
    <t>https://api.spotify.com/v1/tracks/72zHuDxFQTjbL51qJQSA7j</t>
  </si>
  <si>
    <t>spotify:track:72zHuDxFQTjbL51qJQSA7j</t>
  </si>
  <si>
    <t>Ranjha (From "Shershaah")</t>
  </si>
  <si>
    <t>https://api.spotify.com/v1/audio-analysis/72zHuDxFQTjbL51qJQSA7j</t>
  </si>
  <si>
    <t>72zHuDxFQTjbL51qJQSA7j</t>
  </si>
  <si>
    <t>0Z1zYMwJRpvq0d9rdqTOYo</t>
  </si>
  <si>
    <t>0.468</t>
  </si>
  <si>
    <t>Pritam, Arijit Singh</t>
  </si>
  <si>
    <t>https://api.spotify.com/v1/tracks/1smFN2CLqGROu0J0UyvDfL</t>
  </si>
  <si>
    <t>spotify:track:1smFN2CLqGROu0J0UyvDfL</t>
  </si>
  <si>
    <t>Love Aaj Kal (Original Motion Picture Soundtrack)</t>
  </si>
  <si>
    <t>https://api.spotify.com/v1/audio-analysis/1smFN2CLqGROu0J0UyvDfL</t>
  </si>
  <si>
    <t>1smFN2CLqGROu0J0UyvDfL</t>
  </si>
  <si>
    <t>Shayad</t>
  </si>
  <si>
    <t>6IXfWhC7omotM4lt0ROmEr</t>
  </si>
  <si>
    <t>Alka Yagnik, Arijit Singh</t>
  </si>
  <si>
    <t>0.0326</t>
  </si>
  <si>
    <t>https://api.spotify.com/v1/tracks/3hkC9EHFZNQPXrtl8WPHnX</t>
  </si>
  <si>
    <t>spotify:track:3hkC9EHFZNQPXrtl8WPHnX</t>
  </si>
  <si>
    <t>Tamasha</t>
  </si>
  <si>
    <t>https://api.spotify.com/v1/audio-analysis/3hkC9EHFZNQPXrtl8WPHnX</t>
  </si>
  <si>
    <t>3hkC9EHFZNQPXrtl8WPHnX</t>
  </si>
  <si>
    <t>Agar Tum Saath Ho</t>
  </si>
  <si>
    <t>0.000268</t>
  </si>
  <si>
    <t>2CUXo26JAWIbQx0EVMnjpA</t>
  </si>
  <si>
    <t>https://api.spotify.com/v1/tracks/5O932cZmzOZGOGZz9RHx20</t>
  </si>
  <si>
    <t>spotify:track:5O932cZmzOZGOGZz9RHx20</t>
  </si>
  <si>
    <t>Chhichhore</t>
  </si>
  <si>
    <t>https://api.spotify.com/v1/audio-analysis/5O932cZmzOZGOGZz9RHx20</t>
  </si>
  <si>
    <t>5O932cZmzOZGOGZz9RHx20</t>
  </si>
  <si>
    <t>Khairiyat</t>
  </si>
  <si>
    <t>2Svje8vKEM4VCKxoRyAvA4</t>
  </si>
  <si>
    <t>0.866</t>
  </si>
  <si>
    <t>Arctic Monkeys</t>
  </si>
  <si>
    <t>0.0568</t>
  </si>
  <si>
    <t>https://api.spotify.com/v1/tracks/0BxE4FqsDD1Ot4YuBXwAPp</t>
  </si>
  <si>
    <t>spotify:track:0BxE4FqsDD1Ot4YuBXwAPp</t>
  </si>
  <si>
    <t>Favourite Worst Nightmare</t>
  </si>
  <si>
    <t>Indie Rock Roadtrip</t>
  </si>
  <si>
    <t>https://api.spotify.com/v1/audio-analysis/0BxE4FqsDD1Ot4YuBXwAPp</t>
  </si>
  <si>
    <t>0BxE4FqsDD1Ot4YuBXwAPp</t>
  </si>
  <si>
    <t>7.78e-05</t>
  </si>
  <si>
    <t>1XkGORuUX2QGOEIL4EbJKm</t>
  </si>
  <si>
    <t>indie</t>
  </si>
  <si>
    <t>5pMia1lBFZyj4VVa0wzrNV</t>
  </si>
  <si>
    <t>-4.46</t>
  </si>
  <si>
    <t>0.791</t>
  </si>
  <si>
    <t>Yeah Yeah Yeahs</t>
  </si>
  <si>
    <t>https://api.spotify.com/v1/tracks/2WRFD9WczJ975X2K1Y9YVs</t>
  </si>
  <si>
    <t>spotify:track:2WRFD9WczJ975X2K1Y9YVs</t>
  </si>
  <si>
    <t>It's Blitz!</t>
  </si>
  <si>
    <t>https://api.spotify.com/v1/audio-analysis/2WRFD9WczJ975X2K1Y9YVs</t>
  </si>
  <si>
    <t>2WRFD9WczJ975X2K1Y9YVs</t>
  </si>
  <si>
    <t>Heads Will Roll</t>
  </si>
  <si>
    <t>6w21zEx5okRPCYJejLVRdR</t>
  </si>
  <si>
    <t>0.000187</t>
  </si>
  <si>
    <t>0.585</t>
  </si>
  <si>
    <t>0.775</t>
  </si>
  <si>
    <t>0.077</t>
  </si>
  <si>
    <t>Daft Punk, Julian Casablancas</t>
  </si>
  <si>
    <t>0.0271</t>
  </si>
  <si>
    <t>https://api.spotify.com/v1/tracks/2cGxRwrMyEAp8dEbuZaVv6</t>
  </si>
  <si>
    <t>spotify:track:2cGxRwrMyEAp8dEbuZaVv6</t>
  </si>
  <si>
    <t>Random Access Memories</t>
  </si>
  <si>
    <t>https://api.spotify.com/v1/audio-analysis/2cGxRwrMyEAp8dEbuZaVv6</t>
  </si>
  <si>
    <t>2cGxRwrMyEAp8dEbuZaVv6</t>
  </si>
  <si>
    <t>Instant Crush (feat. Julian Casablancas)</t>
  </si>
  <si>
    <t>4m2880jivSbbyEGAKfITCa</t>
  </si>
  <si>
    <t>Jet</t>
  </si>
  <si>
    <t>https://api.spotify.com/v1/tracks/305WCRhhS10XUcH6AEwZk6</t>
  </si>
  <si>
    <t>spotify:track:305WCRhhS10XUcH6AEwZk6</t>
  </si>
  <si>
    <t>Get Born</t>
  </si>
  <si>
    <t>https://api.spotify.com/v1/audio-analysis/305WCRhhS10XUcH6AEwZk6</t>
  </si>
  <si>
    <t>305WCRhhS10XUcH6AEwZk6</t>
  </si>
  <si>
    <t>Are You Gonna Be My Girl</t>
  </si>
  <si>
    <t>0.000295</t>
  </si>
  <si>
    <t>6NrLpQCPYrNS3kVWxDgIlg</t>
  </si>
  <si>
    <t>0.00117</t>
  </si>
  <si>
    <t>100.99</t>
  </si>
  <si>
    <t>MGMT</t>
  </si>
  <si>
    <t>https://api.spotify.com/v1/tracks/4iG2gAwKXsOcijVaVXzRPW</t>
  </si>
  <si>
    <t>spotify:track:4iG2gAwKXsOcijVaVXzRPW</t>
  </si>
  <si>
    <t>Oracular Spectacular</t>
  </si>
  <si>
    <t>https://api.spotify.com/v1/audio-analysis/4iG2gAwKXsOcijVaVXzRPW</t>
  </si>
  <si>
    <t>4iG2gAwKXsOcijVaVXzRPW</t>
  </si>
  <si>
    <t>Time to Pretend</t>
  </si>
  <si>
    <t>0.0777</t>
  </si>
  <si>
    <t>6mm1Skz3JE6AXneya9Nyiv</t>
  </si>
  <si>
    <t>8.74e-05</t>
  </si>
  <si>
    <t>0.0717</t>
  </si>
  <si>
    <t>Portugal. The Man</t>
  </si>
  <si>
    <t>0.0504</t>
  </si>
  <si>
    <t>https://api.spotify.com/v1/tracks/6QgjcU0zLnzq5OrUoSZ3OK</t>
  </si>
  <si>
    <t>spotify:track:6QgjcU0zLnzq5OrUoSZ3OK</t>
  </si>
  <si>
    <t>Woodstock</t>
  </si>
  <si>
    <t>Feel Good Indie Rock</t>
  </si>
  <si>
    <t>https://api.spotify.com/v1/audio-analysis/6QgjcU0zLnzq5OrUoSZ3OK</t>
  </si>
  <si>
    <t>6QgjcU0zLnzq5OrUoSZ3OK</t>
  </si>
  <si>
    <t>Feel It Still</t>
  </si>
  <si>
    <t>0.000113</t>
  </si>
  <si>
    <t>4VzzEviJGYUtAeSsJlI9QB</t>
  </si>
  <si>
    <t>0.0417</t>
  </si>
  <si>
    <t>feel-good</t>
  </si>
  <si>
    <t>37i9dQZF1DX2sUQwD7tbmL</t>
  </si>
  <si>
    <t>Dominic Fike</t>
  </si>
  <si>
    <t>0.0279</t>
  </si>
  <si>
    <t>https://api.spotify.com/v1/tracks/6WTFHKrnZpwEBLRS10Ylqs</t>
  </si>
  <si>
    <t>spotify:track:6WTFHKrnZpwEBLRS10Ylqs</t>
  </si>
  <si>
    <t>14 minutes</t>
  </si>
  <si>
    <t>https://api.spotify.com/v1/audio-analysis/6WTFHKrnZpwEBLRS10Ylqs</t>
  </si>
  <si>
    <t>6WTFHKrnZpwEBLRS10Ylqs</t>
  </si>
  <si>
    <t>misses</t>
  </si>
  <si>
    <t>2qwv7hNjSGfLarHY2adeq9</t>
  </si>
  <si>
    <t>https://api.spotify.com/v1/tracks/3HMY0r2BAdpasXMY8rseR0</t>
  </si>
  <si>
    <t>spotify:track:3HMY0r2BAdpasXMY8rseR0</t>
  </si>
  <si>
    <t>https://api.spotify.com/v1/audio-analysis/3HMY0r2BAdpasXMY8rseR0</t>
  </si>
  <si>
    <t>3HMY0r2BAdpasXMY8rseR0</t>
  </si>
  <si>
    <t>6rjpYHZwFktbc0RCiTfEG6</t>
  </si>
  <si>
    <t>0.643</t>
  </si>
  <si>
    <t>0.633</t>
  </si>
  <si>
    <t>0.78</t>
  </si>
  <si>
    <t>juju&lt;3</t>
  </si>
  <si>
    <t>0.0252</t>
  </si>
  <si>
    <t>https://api.spotify.com/v1/tracks/43MifzVnh8W3jJN0xqU9jR</t>
  </si>
  <si>
    <t>spotify:track:43MifzVnh8W3jJN0xqU9jR</t>
  </si>
  <si>
    <t>Wasted Summers</t>
  </si>
  <si>
    <t>https://api.spotify.com/v1/audio-analysis/43MifzVnh8W3jJN0xqU9jR</t>
  </si>
  <si>
    <t>43MifzVnh8W3jJN0xqU9jR</t>
  </si>
  <si>
    <t>0.00831</t>
  </si>
  <si>
    <t>5SrN0SPOdmdCBe0dyDcpsY</t>
  </si>
  <si>
    <t>0.593</t>
  </si>
  <si>
    <t>0.565</t>
  </si>
  <si>
    <t>d4vd</t>
  </si>
  <si>
    <t>0.0883</t>
  </si>
  <si>
    <t>https://api.spotify.com/v1/tracks/3SAga35lAPYdjj3qyfEsCF</t>
  </si>
  <si>
    <t>spotify:track:3SAga35lAPYdjj3qyfEsCF</t>
  </si>
  <si>
    <t>Feel It (From The Original Series ‚ÄúInvincible‚Äù)</t>
  </si>
  <si>
    <t>https://api.spotify.com/v1/audio-analysis/3SAga35lAPYdjj3qyfEsCF</t>
  </si>
  <si>
    <t>3SAga35lAPYdjj3qyfEsCF</t>
  </si>
  <si>
    <t>Feel It - From The Original Series ‚ÄúInvincible‚Äù</t>
  </si>
  <si>
    <t>0GHlPN101r1WcuQCwINbI2</t>
  </si>
  <si>
    <t>0.0288</t>
  </si>
  <si>
    <t>-5.67</t>
  </si>
  <si>
    <t>The Strokes</t>
  </si>
  <si>
    <t>https://api.spotify.com/v1/tracks/5ruzrDWcT0vuJIOMW7gMnW</t>
  </si>
  <si>
    <t>spotify:track:5ruzrDWcT0vuJIOMW7gMnW</t>
  </si>
  <si>
    <t>The New Abnormal</t>
  </si>
  <si>
    <t>https://api.spotify.com/v1/audio-analysis/5ruzrDWcT0vuJIOMW7gMnW</t>
  </si>
  <si>
    <t>5ruzrDWcT0vuJIOMW7gMnW</t>
  </si>
  <si>
    <t>The Adults Are Talking</t>
  </si>
  <si>
    <t>2xkZV2Hl1Omi8rk2D7t5lN</t>
  </si>
  <si>
    <t>0.0113</t>
  </si>
  <si>
    <t>0.815</t>
  </si>
  <si>
    <t>0.877</t>
  </si>
  <si>
    <t>0.0897</t>
  </si>
  <si>
    <t>https://api.spotify.com/v1/tracks/0uI7yAKUf52Cn7y3sYyjiX</t>
  </si>
  <si>
    <t>spotify:track:0uI7yAKUf52Cn7y3sYyjiX</t>
  </si>
  <si>
    <t>Don't Forget About Me, Demos</t>
  </si>
  <si>
    <t>https://api.spotify.com/v1/audio-analysis/0uI7yAKUf52Cn7y3sYyjiX</t>
  </si>
  <si>
    <t>0uI7yAKUf52Cn7y3sYyjiX</t>
  </si>
  <si>
    <t>3 Nights</t>
  </si>
  <si>
    <t>05jbNkYoEQdjVDHEHtg1gY</t>
  </si>
  <si>
    <t>-5.9</t>
  </si>
  <si>
    <t>The Smiths</t>
  </si>
  <si>
    <t>0.0436</t>
  </si>
  <si>
    <t>https://api.spotify.com/v1/tracks/1FvDJ9KGxcqwv1utyPL3JZ</t>
  </si>
  <si>
    <t>spotify:track:1FvDJ9KGxcqwv1utyPL3JZ</t>
  </si>
  <si>
    <t>https://api.spotify.com/v1/audio-analysis/1FvDJ9KGxcqwv1utyPL3JZ</t>
  </si>
  <si>
    <t>1FvDJ9KGxcqwv1utyPL3JZ</t>
  </si>
  <si>
    <t>This Charming Man - 2011 Remaster</t>
  </si>
  <si>
    <t>6cI1XoZsOhkyrCwtuI70CN</t>
  </si>
  <si>
    <t>0.00509</t>
  </si>
  <si>
    <t>0.598</t>
  </si>
  <si>
    <t>Royel Otis</t>
  </si>
  <si>
    <t>https://api.spotify.com/v1/tracks/2B664ulJSVBd6B8SAY3Wux</t>
  </si>
  <si>
    <t>spotify:track:2B664ulJSVBd6B8SAY3Wux</t>
  </si>
  <si>
    <t>Oysters In My Pocket</t>
  </si>
  <si>
    <t>https://api.spotify.com/v1/audio-analysis/2B664ulJSVBd6B8SAY3Wux</t>
  </si>
  <si>
    <t>2B664ulJSVBd6B8SAY3Wux</t>
  </si>
  <si>
    <t>2tQ8dsmr0EpIJ5FFyUMQES</t>
  </si>
  <si>
    <t>0.0205</t>
  </si>
  <si>
    <t>0.0281</t>
  </si>
  <si>
    <t>https://api.spotify.com/v1/tracks/2x8evxqUlF0eRabbW2JBJd</t>
  </si>
  <si>
    <t>spotify:track:2x8evxqUlF0eRabbW2JBJd</t>
  </si>
  <si>
    <t>https://api.spotify.com/v1/audio-analysis/2x8evxqUlF0eRabbW2JBJd</t>
  </si>
  <si>
    <t>2x8evxqUlF0eRabbW2JBJd</t>
  </si>
  <si>
    <t>Fluorescent Adolescent</t>
  </si>
  <si>
    <t>0.000144</t>
  </si>
  <si>
    <t>0.621</t>
  </si>
  <si>
    <t>0.0875</t>
  </si>
  <si>
    <t>New Radicals</t>
  </si>
  <si>
    <t>https://api.spotify.com/v1/tracks/1Cwsd5xI8CajJz795oy4XF</t>
  </si>
  <si>
    <t>spotify:track:1Cwsd5xI8CajJz795oy4XF</t>
  </si>
  <si>
    <t>Maybe You've Been Brainwashed Too</t>
  </si>
  <si>
    <t>https://api.spotify.com/v1/audio-analysis/1Cwsd5xI8CajJz795oy4XF</t>
  </si>
  <si>
    <t>1Cwsd5xI8CajJz795oy4XF</t>
  </si>
  <si>
    <t>You Get What You Give</t>
  </si>
  <si>
    <t>13btXEnBerpA1UjIVtsMAR</t>
  </si>
  <si>
    <t>Rex Orange County</t>
  </si>
  <si>
    <t>0.062</t>
  </si>
  <si>
    <t>https://api.spotify.com/v1/tracks/1gH1h30wkQdd9zhY3j7a8T</t>
  </si>
  <si>
    <t>spotify:track:1gH1h30wkQdd9zhY3j7a8T</t>
  </si>
  <si>
    <t>WHO CARES?</t>
  </si>
  <si>
    <t>https://api.spotify.com/v1/audio-analysis/1gH1h30wkQdd9zhY3j7a8T</t>
  </si>
  <si>
    <t>1gH1h30wkQdd9zhY3j7a8T</t>
  </si>
  <si>
    <t>THE SHADE</t>
  </si>
  <si>
    <t>2yI4m5Yu2tl8v0It5P9WVz</t>
  </si>
  <si>
    <t>0.391</t>
  </si>
  <si>
    <t>0.572</t>
  </si>
  <si>
    <t>0.636</t>
  </si>
  <si>
    <t>0.0878</t>
  </si>
  <si>
    <t>Big Thief</t>
  </si>
  <si>
    <t>https://api.spotify.com/v1/tracks/0ToG55iJZCOzZkcpWbXxpW</t>
  </si>
  <si>
    <t>spotify:track:0ToG55iJZCOzZkcpWbXxpW</t>
  </si>
  <si>
    <t>Vampire Empire</t>
  </si>
  <si>
    <t>https://api.spotify.com/v1/audio-analysis/0ToG55iJZCOzZkcpWbXxpW</t>
  </si>
  <si>
    <t>0ToG55iJZCOzZkcpWbXxpW</t>
  </si>
  <si>
    <t>2Msefc9DYHFMTNY6zuCOIm</t>
  </si>
  <si>
    <t>0.287</t>
  </si>
  <si>
    <t>102.99</t>
  </si>
  <si>
    <t>-7.7</t>
  </si>
  <si>
    <t>0.0751</t>
  </si>
  <si>
    <t>The American Dawn</t>
  </si>
  <si>
    <t>0.025</t>
  </si>
  <si>
    <t>https://api.spotify.com/v1/tracks/2vlkTkPqdATznKHu9gD2c1</t>
  </si>
  <si>
    <t>spotify:track:2vlkTkPqdATznKHu9gD2c1</t>
  </si>
  <si>
    <t>Her</t>
  </si>
  <si>
    <t>https://api.spotify.com/v1/audio-analysis/2vlkTkPqdATznKHu9gD2c1</t>
  </si>
  <si>
    <t>2vlkTkPqdATznKHu9gD2c1</t>
  </si>
  <si>
    <t>0.0144</t>
  </si>
  <si>
    <t>3YsLlWQ9dzG0dFQQZO1jEv</t>
  </si>
  <si>
    <t>0.00566</t>
  </si>
  <si>
    <t>0.798</t>
  </si>
  <si>
    <t>0.0979</t>
  </si>
  <si>
    <t>boygenius, Julien Baker, Phoebe Bridgers, Lucy Dacus</t>
  </si>
  <si>
    <t>https://api.spotify.com/v1/tracks/09DR0sHnQUhHOiSNttc1mv</t>
  </si>
  <si>
    <t>spotify:track:09DR0sHnQUhHOiSNttc1mv</t>
  </si>
  <si>
    <t>the record</t>
  </si>
  <si>
    <t>https://api.spotify.com/v1/audio-analysis/09DR0sHnQUhHOiSNttc1mv</t>
  </si>
  <si>
    <t>09DR0sHnQUhHOiSNttc1mv</t>
  </si>
  <si>
    <t>Not Strong Enough</t>
  </si>
  <si>
    <t>1.11e-05</t>
  </si>
  <si>
    <t>0e9GjrztzBw8oMC6n2CDeI</t>
  </si>
  <si>
    <t>0.00291</t>
  </si>
  <si>
    <t>Bakar</t>
  </si>
  <si>
    <t>0.591</t>
  </si>
  <si>
    <t>https://api.spotify.com/v1/tracks/3NRql0A1Ef4RCvT473iqgD</t>
  </si>
  <si>
    <t>spotify:track:3NRql0A1Ef4RCvT473iqgD</t>
  </si>
  <si>
    <t>Hell N Back</t>
  </si>
  <si>
    <t>https://api.spotify.com/v1/audio-analysis/3NRql0A1Ef4RCvT473iqgD</t>
  </si>
  <si>
    <t>3NRql0A1Ef4RCvT473iqgD</t>
  </si>
  <si>
    <t>8.95e-05</t>
  </si>
  <si>
    <t>3aEdbaJGWXbBxn79DgjamF</t>
  </si>
  <si>
    <t>Crumb</t>
  </si>
  <si>
    <t>https://api.spotify.com/v1/tracks/0R3TWpoxAhT3HDXM7tpRzS</t>
  </si>
  <si>
    <t>spotify:track:0R3TWpoxAhT3HDXM7tpRzS</t>
  </si>
  <si>
    <t>Jinx</t>
  </si>
  <si>
    <t>https://api.spotify.com/v1/audio-analysis/0R3TWpoxAhT3HDXM7tpRzS</t>
  </si>
  <si>
    <t>0R3TWpoxAhT3HDXM7tpRzS</t>
  </si>
  <si>
    <t>Ghostride</t>
  </si>
  <si>
    <t>6DxidEI7EhF8md8ev83iNY</t>
  </si>
  <si>
    <t>-7.46</t>
  </si>
  <si>
    <t>0.679</t>
  </si>
  <si>
    <t>0.0299</t>
  </si>
  <si>
    <t>https://api.spotify.com/v1/tracks/7hm4HTk9encxT0LYC0J6oI</t>
  </si>
  <si>
    <t>spotify:track:7hm4HTk9encxT0LYC0J6oI</t>
  </si>
  <si>
    <t>Is This It</t>
  </si>
  <si>
    <t>https://api.spotify.com/v1/audio-analysis/7hm4HTk9encxT0LYC0J6oI</t>
  </si>
  <si>
    <t>7hm4HTk9encxT0LYC0J6oI</t>
  </si>
  <si>
    <t>Someday</t>
  </si>
  <si>
    <t>2k8KgmDp9oHrmu0MIj4XDE</t>
  </si>
  <si>
    <t>0.00425</t>
  </si>
  <si>
    <t>Vansire</t>
  </si>
  <si>
    <t>https://api.spotify.com/v1/tracks/4RGWHfQeJftd5XrP8JUgFj</t>
  </si>
  <si>
    <t>spotify:track:4RGWHfQeJftd5XrP8JUgFj</t>
  </si>
  <si>
    <t>Metamodernity</t>
  </si>
  <si>
    <t>https://api.spotify.com/v1/audio-analysis/4RGWHfQeJftd5XrP8JUgFj</t>
  </si>
  <si>
    <t>4RGWHfQeJftd5XrP8JUgFj</t>
  </si>
  <si>
    <t>1lgZZELIZZwafQJDycr47q</t>
  </si>
  <si>
    <t>alt-J</t>
  </si>
  <si>
    <t>https://api.spotify.com/v1/tracks/3n69hLUdIsSa1WlRmjMZlW</t>
  </si>
  <si>
    <t>spotify:track:3n69hLUdIsSa1WlRmjMZlW</t>
  </si>
  <si>
    <t>An Awesome Wave</t>
  </si>
  <si>
    <t>https://api.spotify.com/v1/audio-analysis/3n69hLUdIsSa1WlRmjMZlW</t>
  </si>
  <si>
    <t>3n69hLUdIsSa1WlRmjMZlW</t>
  </si>
  <si>
    <t>Breezeblocks</t>
  </si>
  <si>
    <t>0.000911</t>
  </si>
  <si>
    <t>6k3vC8nep1BfqAIJ81L6OL</t>
  </si>
  <si>
    <t>0.0908</t>
  </si>
  <si>
    <t>Mk.gee</t>
  </si>
  <si>
    <t>0.0333</t>
  </si>
  <si>
    <t>https://api.spotify.com/v1/tracks/63ABAnFKJCp28TAyqf2cGL</t>
  </si>
  <si>
    <t>spotify:track:63ABAnFKJCp28TAyqf2cGL</t>
  </si>
  <si>
    <t>ROCKMAN</t>
  </si>
  <si>
    <t>https://api.spotify.com/v1/audio-analysis/63ABAnFKJCp28TAyqf2cGL</t>
  </si>
  <si>
    <t>63ABAnFKJCp28TAyqf2cGL</t>
  </si>
  <si>
    <t>3.78e-06</t>
  </si>
  <si>
    <t>6IhX5HhXNXC8l0vv7QCrrK</t>
  </si>
  <si>
    <t>country</t>
  </si>
  <si>
    <t>0.858</t>
  </si>
  <si>
    <t>Kenny Rogers</t>
  </si>
  <si>
    <t>0.0629</t>
  </si>
  <si>
    <t>https://api.spotify.com/v1/tracks/5KqldkCunQ2rWxruMEtGh0</t>
  </si>
  <si>
    <t>spotify:track:5KqldkCunQ2rWxruMEtGh0</t>
  </si>
  <si>
    <t>The Gambler</t>
  </si>
  <si>
    <t>Classic Country</t>
  </si>
  <si>
    <t>https://api.spotify.com/v1/audio-analysis/5KqldkCunQ2rWxruMEtGh0</t>
  </si>
  <si>
    <t>5KqldkCunQ2rWxruMEtGh0</t>
  </si>
  <si>
    <t>3XdvQjIMjdwxRivZrg1ziJ</t>
  </si>
  <si>
    <t>5AgNIKN8i20irzvQ7CTO68</t>
  </si>
  <si>
    <t>0.361</t>
  </si>
  <si>
    <t>0.38</t>
  </si>
  <si>
    <t>George Strait</t>
  </si>
  <si>
    <t>https://api.spotify.com/v1/tracks/4TnUKixNWMfajncgdSwFoi</t>
  </si>
  <si>
    <t>spotify:track:4TnUKixNWMfajncgdSwFoi</t>
  </si>
  <si>
    <t>Strait From The Heart</t>
  </si>
  <si>
    <t>https://api.spotify.com/v1/audio-analysis/4TnUKixNWMfajncgdSwFoi</t>
  </si>
  <si>
    <t>4TnUKixNWMfajncgdSwFoi</t>
  </si>
  <si>
    <t>Amarillo By Morning</t>
  </si>
  <si>
    <t>3.39e-05</t>
  </si>
  <si>
    <t>3NB2cmFq9nyhHSVz0Zv08t</t>
  </si>
  <si>
    <t>Waylon Jennings, Willie Nelson</t>
  </si>
  <si>
    <t>0.0499</t>
  </si>
  <si>
    <t>https://api.spotify.com/v1/tracks/7nVQ8mo77KaUvhUQzh4vMy</t>
  </si>
  <si>
    <t>spotify:track:7nVQ8mo77KaUvhUQzh4vMy</t>
  </si>
  <si>
    <t>Waylon &amp; Willie</t>
  </si>
  <si>
    <t>https://api.spotify.com/v1/audio-analysis/7nVQ8mo77KaUvhUQzh4vMy</t>
  </si>
  <si>
    <t>7nVQ8mo77KaUvhUQzh4vMy</t>
  </si>
  <si>
    <t>Mammas Don't Let Your Babies Grow up to Be Cowboys</t>
  </si>
  <si>
    <t>0.00119</t>
  </si>
  <si>
    <t>6GDs0ZZVR2jDV8n4m11KWO</t>
  </si>
  <si>
    <t>r&amp;b</t>
  </si>
  <si>
    <t>SZA, Travis Scott</t>
  </si>
  <si>
    <t>https://api.spotify.com/v1/tracks/6koKhrBBcExADvWuOgceNZ</t>
  </si>
  <si>
    <t>spotify:track:6koKhrBBcExADvWuOgceNZ</t>
  </si>
  <si>
    <t>SOS</t>
  </si>
  <si>
    <t>R&amp;B Hits</t>
  </si>
  <si>
    <t>https://api.spotify.com/v1/audio-analysis/6koKhrBBcExADvWuOgceNZ</t>
  </si>
  <si>
    <t>6koKhrBBcExADvWuOgceNZ</t>
  </si>
  <si>
    <t>Open Arms (feat. Travis Scott)</t>
  </si>
  <si>
    <t>1nrVofqDRs7cpWXJ49qTnP</t>
  </si>
  <si>
    <t>37i9dQZF1EQoqCH7BwIYb7</t>
  </si>
  <si>
    <t>0.545</t>
  </si>
  <si>
    <t>159.94</t>
  </si>
  <si>
    <t>Frank Ocean</t>
  </si>
  <si>
    <t>https://api.spotify.com/v1/tracks/3xKsf9qdS1CyvXSMEid6g8</t>
  </si>
  <si>
    <t>spotify:track:3xKsf9qdS1CyvXSMEid6g8</t>
  </si>
  <si>
    <t>Blonde</t>
  </si>
  <si>
    <t>https://api.spotify.com/v1/audio-analysis/3xKsf9qdS1CyvXSMEid6g8</t>
  </si>
  <si>
    <t>3xKsf9qdS1CyvXSMEid6g8</t>
  </si>
  <si>
    <t>Pink + White</t>
  </si>
  <si>
    <t>5.48e-05</t>
  </si>
  <si>
    <t>3mH6qwIy9crq0I9YQbOuDf</t>
  </si>
  <si>
    <t>75.24</t>
  </si>
  <si>
    <t>0.524</t>
  </si>
  <si>
    <t>0.436</t>
  </si>
  <si>
    <t>Daniel Caesar, H.E.R.</t>
  </si>
  <si>
    <t>https://api.spotify.com/v1/tracks/1RMJOxR6GRPsBHL8qeC2ux</t>
  </si>
  <si>
    <t>spotify:track:1RMJOxR6GRPsBHL8qeC2ux</t>
  </si>
  <si>
    <t>Freudian</t>
  </si>
  <si>
    <t>https://api.spotify.com/v1/audio-analysis/1RMJOxR6GRPsBHL8qeC2ux</t>
  </si>
  <si>
    <t>1RMJOxR6GRPsBHL8qeC2ux</t>
  </si>
  <si>
    <t>Best Part (feat. H.E.R.)</t>
  </si>
  <si>
    <t>3xybjP7r2VsWzwvDQipdM0</t>
  </si>
  <si>
    <t>0.0465</t>
  </si>
  <si>
    <t>USHER, Alicia Keys</t>
  </si>
  <si>
    <t>https://api.spotify.com/v1/tracks/68vgtRHr7iZHpzGpon6Jlo</t>
  </si>
  <si>
    <t>spotify:track:68vgtRHr7iZHpzGpon6Jlo</t>
  </si>
  <si>
    <t>Confessions (Expanded Edition)</t>
  </si>
  <si>
    <t>https://api.spotify.com/v1/audio-analysis/68vgtRHr7iZHpzGpon6Jlo</t>
  </si>
  <si>
    <t>68vgtRHr7iZHpzGpon6Jlo</t>
  </si>
  <si>
    <t>My Boo</t>
  </si>
  <si>
    <t>1RM6MGv6bcl6NrAG8PGoZk</t>
  </si>
  <si>
    <t>0.498</t>
  </si>
  <si>
    <t>Miguel</t>
  </si>
  <si>
    <t>https://api.spotify.com/v1/tracks/0JXXNGljqupsJaZsgSbMZV</t>
  </si>
  <si>
    <t>spotify:track:0JXXNGljqupsJaZsgSbMZV</t>
  </si>
  <si>
    <t>All I Want Is You</t>
  </si>
  <si>
    <t>https://api.spotify.com/v1/audio-analysis/0JXXNGljqupsJaZsgSbMZV</t>
  </si>
  <si>
    <t>0JXXNGljqupsJaZsgSbMZV</t>
  </si>
  <si>
    <t>Sure Thing</t>
  </si>
  <si>
    <t>493HYe7N5pleudEZRyhE7R</t>
  </si>
  <si>
    <t>SZA</t>
  </si>
  <si>
    <t>0.132</t>
  </si>
  <si>
    <t>https://api.spotify.com/v1/tracks/4iZ4pt7kvcaH6Yo8UoZ4s2</t>
  </si>
  <si>
    <t>spotify:track:4iZ4pt7kvcaH6Yo8UoZ4s2</t>
  </si>
  <si>
    <t>https://api.spotify.com/v1/audio-analysis/4iZ4pt7kvcaH6Yo8UoZ4s2</t>
  </si>
  <si>
    <t>4iZ4pt7kvcaH6Yo8UoZ4s2</t>
  </si>
  <si>
    <t>Snooze</t>
  </si>
  <si>
    <t>07w0rG5TETcyihsEIZR3qG</t>
  </si>
  <si>
    <t>Alicia Keys</t>
  </si>
  <si>
    <t>https://api.spotify.com/v1/tracks/3XVBdLihbNbxUwZosxcGuJ</t>
  </si>
  <si>
    <t>spotify:track:3XVBdLihbNbxUwZosxcGuJ</t>
  </si>
  <si>
    <t>The Diary Of Alicia Keys</t>
  </si>
  <si>
    <t>https://api.spotify.com/v1/audio-analysis/3XVBdLihbNbxUwZosxcGuJ</t>
  </si>
  <si>
    <t>3XVBdLihbNbxUwZosxcGuJ</t>
  </si>
  <si>
    <t>If I Ain't Got You</t>
  </si>
  <si>
    <t>6.86e-06</t>
  </si>
  <si>
    <t>6TqRKHLjDu5QZuC8u5Woij</t>
  </si>
  <si>
    <t>0.0859</t>
  </si>
  <si>
    <t>Brent Faiyaz</t>
  </si>
  <si>
    <t>0.065</t>
  </si>
  <si>
    <t>https://api.spotify.com/v1/tracks/5NijSs5dAwaIybq1GaRTIe</t>
  </si>
  <si>
    <t>spotify:track:5NijSs5dAwaIybq1GaRTIe</t>
  </si>
  <si>
    <t>Poison</t>
  </si>
  <si>
    <t>https://api.spotify.com/v1/audio-analysis/5NijSs5dAwaIybq1GaRTIe</t>
  </si>
  <si>
    <t>5NijSs5dAwaIybq1GaRTIe</t>
  </si>
  <si>
    <t>0.000905</t>
  </si>
  <si>
    <t>17dsllSewkPuKbkGWU4chD</t>
  </si>
  <si>
    <t>-3.75</t>
  </si>
  <si>
    <t>0.969</t>
  </si>
  <si>
    <t>Mary J. Blige</t>
  </si>
  <si>
    <t>0.045</t>
  </si>
  <si>
    <t>https://api.spotify.com/v1/tracks/3aw9iWUQ3VrPQltgwvN9Xu</t>
  </si>
  <si>
    <t>spotify:track:3aw9iWUQ3VrPQltgwvN9Xu</t>
  </si>
  <si>
    <t>No More Drama</t>
  </si>
  <si>
    <t>https://api.spotify.com/v1/audio-analysis/3aw9iWUQ3VrPQltgwvN9Xu</t>
  </si>
  <si>
    <t>3aw9iWUQ3VrPQltgwvN9Xu</t>
  </si>
  <si>
    <t>Family Affair</t>
  </si>
  <si>
    <t>4.35e-05</t>
  </si>
  <si>
    <t>5QJmKwPveBV4IwLlo4OcG4</t>
  </si>
  <si>
    <t>Chris Brown</t>
  </si>
  <si>
    <t>0.0698</t>
  </si>
  <si>
    <t>https://api.spotify.com/v1/tracks/5Lgcn7u07bHuqbOtXkN62u</t>
  </si>
  <si>
    <t>spotify:track:5Lgcn7u07bHuqbOtXkN62u</t>
  </si>
  <si>
    <t>Exclusive (Expanded Edition)</t>
  </si>
  <si>
    <t>https://api.spotify.com/v1/audio-analysis/5Lgcn7u07bHuqbOtXkN62u</t>
  </si>
  <si>
    <t>5Lgcn7u07bHuqbOtXkN62u</t>
  </si>
  <si>
    <t>With You</t>
  </si>
  <si>
    <t>6p5pW2WwgVECsOhrXPAyhI</t>
  </si>
  <si>
    <t>https://api.spotify.com/v1/tracks/2fXwCWkh6YG5zU1IyvQrbs</t>
  </si>
  <si>
    <t>spotify:track:2fXwCWkh6YG5zU1IyvQrbs</t>
  </si>
  <si>
    <t>Ctrl</t>
  </si>
  <si>
    <t>https://api.spotify.com/v1/audio-analysis/2fXwCWkh6YG5zU1IyvQrbs</t>
  </si>
  <si>
    <t>2fXwCWkh6YG5zU1IyvQrbs</t>
  </si>
  <si>
    <t>Broken Clocks</t>
  </si>
  <si>
    <t>76290XdXVF9rPzGdNRWdCh</t>
  </si>
  <si>
    <t>https://api.spotify.com/v1/tracks/1eUGmzzvahJjOSWgDHuRlv</t>
  </si>
  <si>
    <t>spotify:track:1eUGmzzvahJjOSWgDHuRlv</t>
  </si>
  <si>
    <t>https://api.spotify.com/v1/audio-analysis/1eUGmzzvahJjOSWgDHuRlv</t>
  </si>
  <si>
    <t>1eUGmzzvahJjOSWgDHuRlv</t>
  </si>
  <si>
    <t>Girl With The Tattoo Enter.lewd</t>
  </si>
  <si>
    <t>0.81</t>
  </si>
  <si>
    <t>0.0779</t>
  </si>
  <si>
    <t>https://api.spotify.com/v1/tracks/1zgHn1EqUyA0HqNYMdJ5ia</t>
  </si>
  <si>
    <t>spotify:track:1zgHn1EqUyA0HqNYMdJ5ia</t>
  </si>
  <si>
    <t>Larger Than Life</t>
  </si>
  <si>
    <t>https://api.spotify.com/v1/audio-analysis/1zgHn1EqUyA0HqNYMdJ5ia</t>
  </si>
  <si>
    <t>1zgHn1EqUyA0HqNYMdJ5ia</t>
  </si>
  <si>
    <t>Best Time</t>
  </si>
  <si>
    <t>0.00298</t>
  </si>
  <si>
    <t>26rTTXIEtEeSTan28AiLaV</t>
  </si>
  <si>
    <t>0.45</t>
  </si>
  <si>
    <t>0.249</t>
  </si>
  <si>
    <t>H.E.R., Bryson Tiller</t>
  </si>
  <si>
    <t>https://api.spotify.com/v1/tracks/6oEVnWKgPqIEPc53OYDNqG</t>
  </si>
  <si>
    <t>spotify:track:6oEVnWKgPqIEPc53OYDNqG</t>
  </si>
  <si>
    <t>I Used To Know Her</t>
  </si>
  <si>
    <t>https://api.spotify.com/v1/audio-analysis/6oEVnWKgPqIEPc53OYDNqG</t>
  </si>
  <si>
    <t>6oEVnWKgPqIEPc53OYDNqG</t>
  </si>
  <si>
    <t>Could've Been (feat. Bryson Tiller)</t>
  </si>
  <si>
    <t>3.8e-06</t>
  </si>
  <si>
    <t>0IMTA2Wz6p8CNZ0MDK2zvg</t>
  </si>
  <si>
    <t>0.695</t>
  </si>
  <si>
    <t>Ashanti</t>
  </si>
  <si>
    <t>https://api.spotify.com/v1/tracks/6zMUIb4uce1CzpbjR3vMdN</t>
  </si>
  <si>
    <t>spotify:track:6zMUIb4uce1CzpbjR3vMdN</t>
  </si>
  <si>
    <t>https://api.spotify.com/v1/audio-analysis/6zMUIb4uce1CzpbjR3vMdN</t>
  </si>
  <si>
    <t>6zMUIb4uce1CzpbjR3vMdN</t>
  </si>
  <si>
    <t>Foolish</t>
  </si>
  <si>
    <t>5M3BrdaT0TV5SsYsM5PM8X</t>
  </si>
  <si>
    <t>0.233</t>
  </si>
  <si>
    <t>0.037</t>
  </si>
  <si>
    <t>https://api.spotify.com/v1/tracks/0KQx6HOpJueiSkztcS0r7D</t>
  </si>
  <si>
    <t>spotify:track:0KQx6HOpJueiSkztcS0r7D</t>
  </si>
  <si>
    <t>Songs In A Minor</t>
  </si>
  <si>
    <t>https://api.spotify.com/v1/audio-analysis/0KQx6HOpJueiSkztcS0r7D</t>
  </si>
  <si>
    <t>0KQx6HOpJueiSkztcS0r7D</t>
  </si>
  <si>
    <t>Fallin'</t>
  </si>
  <si>
    <t>0.00101</t>
  </si>
  <si>
    <t>5qUlPoDmNxCSzqVx81RDLJ</t>
  </si>
  <si>
    <t>0.263</t>
  </si>
  <si>
    <t>0.276</t>
  </si>
  <si>
    <t>https://api.spotify.com/v1/tracks/5Y35SjAfXjjG0sFQ3KOxmm</t>
  </si>
  <si>
    <t>spotify:track:5Y35SjAfXjjG0sFQ3KOxmm</t>
  </si>
  <si>
    <t>https://api.spotify.com/v1/audio-analysis/5Y35SjAfXjjG0sFQ3KOxmm</t>
  </si>
  <si>
    <t>5Y35SjAfXjjG0sFQ3KOxmm</t>
  </si>
  <si>
    <t>Nobody Gets Me</t>
  </si>
  <si>
    <t>0.0559</t>
  </si>
  <si>
    <t>https://api.spotify.com/v1/tracks/2J6OF7CkpdQGSfm1wdclqn</t>
  </si>
  <si>
    <t>spotify:track:2J6OF7CkpdQGSfm1wdclqn</t>
  </si>
  <si>
    <t>Fuck The World</t>
  </si>
  <si>
    <t>https://api.spotify.com/v1/audio-analysis/2J6OF7CkpdQGSfm1wdclqn</t>
  </si>
  <si>
    <t>2J6OF7CkpdQGSfm1wdclqn</t>
  </si>
  <si>
    <t>Clouded</t>
  </si>
  <si>
    <t>3vi20DRHkqv4HyVg9Rt9wC</t>
  </si>
  <si>
    <t>Ne-Yo</t>
  </si>
  <si>
    <t>0.311</t>
  </si>
  <si>
    <t>https://api.spotify.com/v1/tracks/6brl7bwOHmGFkNw3MBqssT</t>
  </si>
  <si>
    <t>spotify:track:6brl7bwOHmGFkNw3MBqssT</t>
  </si>
  <si>
    <t>In My Own Words</t>
  </si>
  <si>
    <t>https://api.spotify.com/v1/audio-analysis/6brl7bwOHmGFkNw3MBqssT</t>
  </si>
  <si>
    <t>6brl7bwOHmGFkNw3MBqssT</t>
  </si>
  <si>
    <t>So Sick</t>
  </si>
  <si>
    <t>6gkwOLmk0ALMOjWs5WhAEr</t>
  </si>
  <si>
    <t>0.704</t>
  </si>
  <si>
    <t>Brandy, Monica</t>
  </si>
  <si>
    <t>0.0391</t>
  </si>
  <si>
    <t>https://api.spotify.com/v1/tracks/6sHsXIJoEN5JpdkGMQDJxt</t>
  </si>
  <si>
    <t>spotify:track:6sHsXIJoEN5JpdkGMQDJxt</t>
  </si>
  <si>
    <t>Never Say Never</t>
  </si>
  <si>
    <t>https://api.spotify.com/v1/audio-analysis/6sHsXIJoEN5JpdkGMQDJxt</t>
  </si>
  <si>
    <t>6sHsXIJoEN5JpdkGMQDJxt</t>
  </si>
  <si>
    <t>The Boy Is Mine</t>
  </si>
  <si>
    <t>0.00106</t>
  </si>
  <si>
    <t>1Co6e9ag1gRKcWdG7xKcCi</t>
  </si>
  <si>
    <t>https://api.spotify.com/v1/tracks/7DFnq8FYhHMCylykf6ZCxA</t>
  </si>
  <si>
    <t>spotify:track:7DFnq8FYhHMCylykf6ZCxA</t>
  </si>
  <si>
    <t>Chris Brown (Expanded Edition)</t>
  </si>
  <si>
    <t>https://api.spotify.com/v1/audio-analysis/7DFnq8FYhHMCylykf6ZCxA</t>
  </si>
  <si>
    <t>7DFnq8FYhHMCylykf6ZCxA</t>
  </si>
  <si>
    <t>Yo (Excuse Me Miss)</t>
  </si>
  <si>
    <t>49gaz5rhWWgqCw61M9700v</t>
  </si>
  <si>
    <t>88.98</t>
  </si>
  <si>
    <t>0.644</t>
  </si>
  <si>
    <t>0.418</t>
  </si>
  <si>
    <t>https://api.spotify.com/v1/tracks/1Qrg8KqiBpW07V7PNxwwwL</t>
  </si>
  <si>
    <t>spotify:track:1Qrg8KqiBpW07V7PNxwwwL</t>
  </si>
  <si>
    <t>https://api.spotify.com/v1/audio-analysis/1Qrg8KqiBpW07V7PNxwwwL</t>
  </si>
  <si>
    <t>1Qrg8KqiBpW07V7PNxwwwL</t>
  </si>
  <si>
    <t>Kill Bill</t>
  </si>
  <si>
    <t>0.0521</t>
  </si>
  <si>
    <t>0.0312</t>
  </si>
  <si>
    <t>https://api.spotify.com/v1/tracks/2JqkpMe2eJToJNHEqkJeCu</t>
  </si>
  <si>
    <t>spotify:track:2JqkpMe2eJToJNHEqkJeCu</t>
  </si>
  <si>
    <t>https://api.spotify.com/v1/audio-analysis/2JqkpMe2eJToJNHEqkJeCu</t>
  </si>
  <si>
    <t>2JqkpMe2eJToJNHEqkJeCu</t>
  </si>
  <si>
    <t>Forever Yours</t>
  </si>
  <si>
    <t>0.000279</t>
  </si>
  <si>
    <t>0.00426</t>
  </si>
  <si>
    <t>0.148</t>
  </si>
  <si>
    <t>https://api.spotify.com/v1/tracks/0mZ5GyrHG908lqrHaTw4hi</t>
  </si>
  <si>
    <t>spotify:track:0mZ5GyrHG908lqrHaTw4hi</t>
  </si>
  <si>
    <t>No One (Remixes)</t>
  </si>
  <si>
    <t>https://api.spotify.com/v1/audio-analysis/0mZ5GyrHG908lqrHaTw4hi</t>
  </si>
  <si>
    <t>0mZ5GyrHG908lqrHaTw4hi</t>
  </si>
  <si>
    <t>No One</t>
  </si>
  <si>
    <t>4.63e-06</t>
  </si>
  <si>
    <t>7cfKCPxLeKxSxePtCxckv6</t>
  </si>
  <si>
    <t>0.698</t>
  </si>
  <si>
    <t>USHER</t>
  </si>
  <si>
    <t>https://api.spotify.com/v1/tracks/030OCtLMrljNhp8OWHBWW3</t>
  </si>
  <si>
    <t>spotify:track:030OCtLMrljNhp8OWHBWW3</t>
  </si>
  <si>
    <t>Raymond v Raymond (Expanded Edition)</t>
  </si>
  <si>
    <t>https://api.spotify.com/v1/audio-analysis/030OCtLMrljNhp8OWHBWW3</t>
  </si>
  <si>
    <t>030OCtLMrljNhp8OWHBWW3</t>
  </si>
  <si>
    <t>Hey Daddy (Daddy's Home)</t>
  </si>
  <si>
    <t>6A1F3Fkq5dYeYYNkXflcTX</t>
  </si>
  <si>
    <t>0.000176</t>
  </si>
  <si>
    <t>0.61</t>
  </si>
  <si>
    <t>125.99</t>
  </si>
  <si>
    <t>Jhen√© Aiko, Swae Lee</t>
  </si>
  <si>
    <t>0.0511</t>
  </si>
  <si>
    <t>https://api.spotify.com/v1/tracks/2pg2TiYo9Rb8KeB5JjP7jS</t>
  </si>
  <si>
    <t>spotify:track:2pg2TiYo9Rb8KeB5JjP7jS</t>
  </si>
  <si>
    <t>Trip</t>
  </si>
  <si>
    <t>https://api.spotify.com/v1/audio-analysis/2pg2TiYo9Rb8KeB5JjP7jS</t>
  </si>
  <si>
    <t>2pg2TiYo9Rb8KeB5JjP7jS</t>
  </si>
  <si>
    <t>Sativa</t>
  </si>
  <si>
    <t>7CAAClnSiXdMibPT1oyl4k</t>
  </si>
  <si>
    <t>0.837</t>
  </si>
  <si>
    <t>Ja Rule, Ashanti</t>
  </si>
  <si>
    <t>https://api.spotify.com/v1/tracks/2hNf1rawV2XAZ6Jld2Fxwf</t>
  </si>
  <si>
    <t>spotify:track:2hNf1rawV2XAZ6Jld2Fxwf</t>
  </si>
  <si>
    <t>Pain Is Love</t>
  </si>
  <si>
    <t>https://api.spotify.com/v1/audio-analysis/2hNf1rawV2XAZ6Jld2Fxwf</t>
  </si>
  <si>
    <t>2hNf1rawV2XAZ6Jld2Fxwf</t>
  </si>
  <si>
    <t>Always On Time</t>
  </si>
  <si>
    <t>15tmDweVwISwJoMSLgvHpp</t>
  </si>
  <si>
    <t>0.378</t>
  </si>
  <si>
    <t>0.617</t>
  </si>
  <si>
    <t>-8.54</t>
  </si>
  <si>
    <t>0.22</t>
  </si>
  <si>
    <t>0.0315</t>
  </si>
  <si>
    <t>https://api.spotify.com/v1/tracks/3XgGQ1wjo5khvq2UImjyNF</t>
  </si>
  <si>
    <t>spotify:track:3XgGQ1wjo5khvq2UImjyNF</t>
  </si>
  <si>
    <t>WASTELAND</t>
  </si>
  <si>
    <t>https://api.spotify.com/v1/audio-analysis/3XgGQ1wjo5khvq2UImjyNF</t>
  </si>
  <si>
    <t>3XgGQ1wjo5khvq2UImjyNF</t>
  </si>
  <si>
    <t>ALL MINE</t>
  </si>
  <si>
    <t>9.16e-05</t>
  </si>
  <si>
    <t>0PHMNbcgHfzSUALlfk7wGg</t>
  </si>
  <si>
    <t>0.428</t>
  </si>
  <si>
    <t>129.93</t>
  </si>
  <si>
    <t>-8.28</t>
  </si>
  <si>
    <t>Summer Walker</t>
  </si>
  <si>
    <t>https://api.spotify.com/v1/tracks/2oVVaVY0LkzwAYYcyzon6Z</t>
  </si>
  <si>
    <t>spotify:track:2oVVaVY0LkzwAYYcyzon6Z</t>
  </si>
  <si>
    <t>Heart Of A Woman</t>
  </si>
  <si>
    <t>https://api.spotify.com/v1/audio-analysis/2oVVaVY0LkzwAYYcyzon6Z</t>
  </si>
  <si>
    <t>2oVVaVY0LkzwAYYcyzon6Z</t>
  </si>
  <si>
    <t>2PluIFWJrbEgClMLJoFWzh</t>
  </si>
  <si>
    <t>https://api.spotify.com/v1/tracks/2QsZVnbWVSjKMXK6K3uRBL</t>
  </si>
  <si>
    <t>spotify:track:2QsZVnbWVSjKMXK6K3uRBL</t>
  </si>
  <si>
    <t>https://api.spotify.com/v1/audio-analysis/2QsZVnbWVSjKMXK6K3uRBL</t>
  </si>
  <si>
    <t>2QsZVnbWVSjKMXK6K3uRBL</t>
  </si>
  <si>
    <t>U Remind Me</t>
  </si>
  <si>
    <t>6k16WXh4rKyusIoN00rmpi</t>
  </si>
  <si>
    <t>0.493</t>
  </si>
  <si>
    <t>Jhen√© Aiko, Kendrick Lamar</t>
  </si>
  <si>
    <t>https://api.spotify.com/v1/tracks/5nkUIVKqOqdpB6ApKgEMkv</t>
  </si>
  <si>
    <t>spotify:track:5nkUIVKqOqdpB6ApKgEMkv</t>
  </si>
  <si>
    <t>Sail Out</t>
  </si>
  <si>
    <t>https://api.spotify.com/v1/audio-analysis/5nkUIVKqOqdpB6ApKgEMkv</t>
  </si>
  <si>
    <t>5nkUIVKqOqdpB6ApKgEMkv</t>
  </si>
  <si>
    <t>Stay Ready (What A Life)</t>
  </si>
  <si>
    <t>0.00366</t>
  </si>
  <si>
    <t>73TNMu44lT0m1h1Nn6Bfiq</t>
  </si>
  <si>
    <t>-6.2</t>
  </si>
  <si>
    <t>0.409</t>
  </si>
  <si>
    <t>0.0748</t>
  </si>
  <si>
    <t>https://api.spotify.com/v1/tracks/0q75NwOoFiARAVp4EXU4Bs</t>
  </si>
  <si>
    <t>spotify:track:0q75NwOoFiARAVp4EXU4Bs</t>
  </si>
  <si>
    <t>https://api.spotify.com/v1/audio-analysis/0q75NwOoFiARAVp4EXU4Bs</t>
  </si>
  <si>
    <t>0q75NwOoFiARAVp4EXU4Bs</t>
  </si>
  <si>
    <t>Love Galore (feat. Travis Scott)</t>
  </si>
  <si>
    <t>https://api.spotify.com/v1/tracks/5PvVkf1Yuq3XyMqqjPiKPd</t>
  </si>
  <si>
    <t>spotify:track:5PvVkf1Yuq3XyMqqjPiKPd</t>
  </si>
  <si>
    <t>https://api.spotify.com/v1/audio-analysis/5PvVkf1Yuq3XyMqqjPiKPd</t>
  </si>
  <si>
    <t>5PvVkf1Yuq3XyMqqjPiKPd</t>
  </si>
  <si>
    <t>Been Away</t>
  </si>
  <si>
    <t>0.517</t>
  </si>
  <si>
    <t>Summer Walker, SZA</t>
  </si>
  <si>
    <t>https://api.spotify.com/v1/tracks/08SB2OtZkaliju77WYEKxk</t>
  </si>
  <si>
    <t>spotify:track:08SB2OtZkaliju77WYEKxk</t>
  </si>
  <si>
    <t>Still Over It</t>
  </si>
  <si>
    <t>https://api.spotify.com/v1/audio-analysis/08SB2OtZkaliju77WYEKxk</t>
  </si>
  <si>
    <t>08SB2OtZkaliju77WYEKxk</t>
  </si>
  <si>
    <t>No Love (with SZA)</t>
  </si>
  <si>
    <t>4lPqFAvgmG97pxyxQsyCQx</t>
  </si>
  <si>
    <t>0.796</t>
  </si>
  <si>
    <t>https://api.spotify.com/v1/tracks/7z3N2W7Xz1t2G2sAO8wFVH</t>
  </si>
  <si>
    <t>spotify:track:7z3N2W7Xz1t2G2sAO8wFVH</t>
  </si>
  <si>
    <t>https://api.spotify.com/v1/audio-analysis/7z3N2W7Xz1t2G2sAO8wFVH</t>
  </si>
  <si>
    <t>7z3N2W7Xz1t2G2sAO8wFVH</t>
  </si>
  <si>
    <t>Burn</t>
  </si>
  <si>
    <t>https://api.spotify.com/v1/tracks/34ceTg8ChN5HjrqiIYCn9Q</t>
  </si>
  <si>
    <t>spotify:track:34ceTg8ChN5HjrqiIYCn9Q</t>
  </si>
  <si>
    <t>Year Of The Gentleman (Bonus Track Edition)</t>
  </si>
  <si>
    <t>https://api.spotify.com/v1/audio-analysis/34ceTg8ChN5HjrqiIYCn9Q</t>
  </si>
  <si>
    <t>34ceTg8ChN5HjrqiIYCn9Q</t>
  </si>
  <si>
    <t>Miss Independent</t>
  </si>
  <si>
    <t>6dTn9vJSxVTIGm4Cu5dH4x</t>
  </si>
  <si>
    <t>0.52</t>
  </si>
  <si>
    <t>0.588</t>
  </si>
  <si>
    <t>Mario</t>
  </si>
  <si>
    <t>https://api.spotify.com/v1/tracks/7GaFYUqP2WdR4KTPk7cXoP</t>
  </si>
  <si>
    <t>spotify:track:7GaFYUqP2WdR4KTPk7cXoP</t>
  </si>
  <si>
    <t>Turning Point</t>
  </si>
  <si>
    <t>https://api.spotify.com/v1/audio-analysis/7GaFYUqP2WdR4KTPk7cXoP</t>
  </si>
  <si>
    <t>7GaFYUqP2WdR4KTPk7cXoP</t>
  </si>
  <si>
    <t>Let Me Love You</t>
  </si>
  <si>
    <t>0aihmuRLi1gBkxk4mbNfcv</t>
  </si>
  <si>
    <t>135.03</t>
  </si>
  <si>
    <t>Brent Faiyaz, FELIX!, Tommy Richman</t>
  </si>
  <si>
    <t>https://api.spotify.com/v1/tracks/5iwUwADk4uQUvgMF6PlTRl</t>
  </si>
  <si>
    <t>spotify:track:5iwUwADk4uQUvgMF6PlTRl</t>
  </si>
  <si>
    <t>https://api.spotify.com/v1/audio-analysis/5iwUwADk4uQUvgMF6PlTRl</t>
  </si>
  <si>
    <t>5iwUwADk4uQUvgMF6PlTRl</t>
  </si>
  <si>
    <t>Upset (feat. Tommy Richman &amp; FELIX!)</t>
  </si>
  <si>
    <t>0.291</t>
  </si>
  <si>
    <t>Kehlani, Ty Dolla $ign</t>
  </si>
  <si>
    <t>https://api.spotify.com/v1/tracks/6ZRuF2n1CQxyxxAAWsKJOy</t>
  </si>
  <si>
    <t>spotify:track:6ZRuF2n1CQxyxxAAWsKJOy</t>
  </si>
  <si>
    <t>While We Wait</t>
  </si>
  <si>
    <t>https://api.spotify.com/v1/audio-analysis/6ZRuF2n1CQxyxxAAWsKJOy</t>
  </si>
  <si>
    <t>6ZRuF2n1CQxyxxAAWsKJOy</t>
  </si>
  <si>
    <t>Nights Like This (feat. Ty Dolla $ign)</t>
  </si>
  <si>
    <t>73ZvpuYhKDr2FW4vlPsTpW</t>
  </si>
  <si>
    <t>0.03</t>
  </si>
  <si>
    <t>https://api.spotify.com/v1/tracks/7J41dYQolQJEtj3UmKLu5r</t>
  </si>
  <si>
    <t>spotify:track:7J41dYQolQJEtj3UmKLu5r</t>
  </si>
  <si>
    <t>https://api.spotify.com/v1/audio-analysis/7J41dYQolQJEtj3UmKLu5r</t>
  </si>
  <si>
    <t>7J41dYQolQJEtj3UmKLu5r</t>
  </si>
  <si>
    <t>U Got It Bad</t>
  </si>
  <si>
    <t>1.53e-06</t>
  </si>
  <si>
    <t>0.0227</t>
  </si>
  <si>
    <t>0.876</t>
  </si>
  <si>
    <t>130.21</t>
  </si>
  <si>
    <t>Lloyd, Lil Wayne</t>
  </si>
  <si>
    <t>https://api.spotify.com/v1/tracks/5Y77SQxEr1eiofPeUTPHxM</t>
  </si>
  <si>
    <t>spotify:track:5Y77SQxEr1eiofPeUTPHxM</t>
  </si>
  <si>
    <t>Street Love</t>
  </si>
  <si>
    <t>https://api.spotify.com/v1/audio-analysis/5Y77SQxEr1eiofPeUTPHxM</t>
  </si>
  <si>
    <t>5Y77SQxEr1eiofPeUTPHxM</t>
  </si>
  <si>
    <t>You</t>
  </si>
  <si>
    <t>6Lq7nLkIq7C0zVJp0OGSGO</t>
  </si>
  <si>
    <t>0.538</t>
  </si>
  <si>
    <t>109.97</t>
  </si>
  <si>
    <t>0.0951</t>
  </si>
  <si>
    <t>0.0357</t>
  </si>
  <si>
    <t>https://api.spotify.com/v1/tracks/6CFPFnS9EcLs2I0nWqtWci</t>
  </si>
  <si>
    <t>spotify:track:6CFPFnS9EcLs2I0nWqtWci</t>
  </si>
  <si>
    <t>Because Of You</t>
  </si>
  <si>
    <t>https://api.spotify.com/v1/audio-analysis/6CFPFnS9EcLs2I0nWqtWci</t>
  </si>
  <si>
    <t>6CFPFnS9EcLs2I0nWqtWci</t>
  </si>
  <si>
    <t>52q9xNv8COtSU9phlbO5sg</t>
  </si>
  <si>
    <t>https://api.spotify.com/v1/tracks/0oufSLnKQDoBFX5mgkDCgR</t>
  </si>
  <si>
    <t>spotify:track:0oufSLnKQDoBFX5mgkDCgR</t>
  </si>
  <si>
    <t>Lost</t>
  </si>
  <si>
    <t>https://api.spotify.com/v1/audio-analysis/0oufSLnKQDoBFX5mgkDCgR</t>
  </si>
  <si>
    <t>0oufSLnKQDoBFX5mgkDCgR</t>
  </si>
  <si>
    <t>Trust</t>
  </si>
  <si>
    <t>9.37e-05</t>
  </si>
  <si>
    <t>03nFfkhtHqQZZqprep3G6r</t>
  </si>
  <si>
    <t>168.19</t>
  </si>
  <si>
    <t>0.198</t>
  </si>
  <si>
    <t>Nelly, Kelly Rowland</t>
  </si>
  <si>
    <t>https://api.spotify.com/v1/tracks/0ARK753YaiJbpLUk7z5yIM</t>
  </si>
  <si>
    <t>spotify:track:0ARK753YaiJbpLUk7z5yIM</t>
  </si>
  <si>
    <t>Nellyville</t>
  </si>
  <si>
    <t>https://api.spotify.com/v1/audio-analysis/0ARK753YaiJbpLUk7z5yIM</t>
  </si>
  <si>
    <t>0ARK753YaiJbpLUk7z5yIM</t>
  </si>
  <si>
    <t>Dilemma</t>
  </si>
  <si>
    <t>4HUUHHXBXImwksfbSPqE7q</t>
  </si>
  <si>
    <t>USHER, Jeezy</t>
  </si>
  <si>
    <t>0.0732</t>
  </si>
  <si>
    <t>https://api.spotify.com/v1/tracks/5j0McHPthKpOXRr3fBq8M0</t>
  </si>
  <si>
    <t>spotify:track:5j0McHPthKpOXRr3fBq8M0</t>
  </si>
  <si>
    <t>Here I Stand</t>
  </si>
  <si>
    <t>https://api.spotify.com/v1/audio-analysis/5j0McHPthKpOXRr3fBq8M0</t>
  </si>
  <si>
    <t>5j0McHPthKpOXRr3fBq8M0</t>
  </si>
  <si>
    <t>Love in This Club (feat. Young Jeezy)</t>
  </si>
  <si>
    <t>2peB0xKYHSlIWc5boFA6PW</t>
  </si>
  <si>
    <t>0.0572</t>
  </si>
  <si>
    <t>0.625</t>
  </si>
  <si>
    <t>0.187</t>
  </si>
  <si>
    <t>https://api.spotify.com/v1/tracks/5hJFhO9dvhJoDvUZZ9iWSw</t>
  </si>
  <si>
    <t>spotify:track:5hJFhO9dvhJoDvUZZ9iWSw</t>
  </si>
  <si>
    <t>Kaleidoscope Dream (Deluxe Version)</t>
  </si>
  <si>
    <t>https://api.spotify.com/v1/audio-analysis/5hJFhO9dvhJoDvUZZ9iWSw</t>
  </si>
  <si>
    <t>5hJFhO9dvhJoDvUZZ9iWSw</t>
  </si>
  <si>
    <t>Adorn</t>
  </si>
  <si>
    <t>4.07e-05</t>
  </si>
  <si>
    <t>4Rvzx3X6hcDb7nty1IzVP4</t>
  </si>
  <si>
    <t>0.0543</t>
  </si>
  <si>
    <t>0.0597</t>
  </si>
  <si>
    <t>https://api.spotify.com/v1/tracks/6gU9OKjOE7ghfEd55oRO57</t>
  </si>
  <si>
    <t>spotify:track:6gU9OKjOE7ghfEd55oRO57</t>
  </si>
  <si>
    <t>https://api.spotify.com/v1/audio-analysis/6gU9OKjOE7ghfEd55oRO57</t>
  </si>
  <si>
    <t>6gU9OKjOE7ghfEd55oRO57</t>
  </si>
  <si>
    <t>The Weekend</t>
  </si>
  <si>
    <t>0.038</t>
  </si>
  <si>
    <t>https://api.spotify.com/v1/tracks/0zWbYGQq5O1KQd0iqzgjP6</t>
  </si>
  <si>
    <t>spotify:track:0zWbYGQq5O1KQd0iqzgjP6</t>
  </si>
  <si>
    <t>https://api.spotify.com/v1/audio-analysis/0zWbYGQq5O1KQd0iqzgjP6</t>
  </si>
  <si>
    <t>0zWbYGQq5O1KQd0iqzgjP6</t>
  </si>
  <si>
    <t>Rehab (Winter In Paris)</t>
  </si>
  <si>
    <t>8.1e-05</t>
  </si>
  <si>
    <t>Paperboy Fabe, Brent Faiyaz</t>
  </si>
  <si>
    <t>0.0887</t>
  </si>
  <si>
    <t>https://api.spotify.com/v1/tracks/4RnvS1tmh1ERhjXX6dxv95</t>
  </si>
  <si>
    <t>spotify:track:4RnvS1tmh1ERhjXX6dxv95</t>
  </si>
  <si>
    <t>Language</t>
  </si>
  <si>
    <t>https://api.spotify.com/v1/audio-analysis/4RnvS1tmh1ERhjXX6dxv95</t>
  </si>
  <si>
    <t>4RnvS1tmh1ERhjXX6dxv95</t>
  </si>
  <si>
    <t>0.0075</t>
  </si>
  <si>
    <t>2MsWCeQjZlSfHFjDm5DYR1</t>
  </si>
  <si>
    <t>0.845</t>
  </si>
  <si>
    <t>0.0694</t>
  </si>
  <si>
    <t>https://api.spotify.com/v1/tracks/7wBThXx7BGZHJJ3aN3OPvv</t>
  </si>
  <si>
    <t>spotify:track:7wBThXx7BGZHJJ3aN3OPvv</t>
  </si>
  <si>
    <t>https://api.spotify.com/v1/audio-analysis/7wBThXx7BGZHJJ3aN3OPvv</t>
  </si>
  <si>
    <t>7wBThXx7BGZHJJ3aN3OPvv</t>
  </si>
  <si>
    <t>Confessions Part II</t>
  </si>
  <si>
    <t>0.0586</t>
  </si>
  <si>
    <t>electronic</t>
  </si>
  <si>
    <t>The Chainsmokers, Coldplay</t>
  </si>
  <si>
    <t>https://api.spotify.com/v1/tracks/6RUKPb4LETWmmr3iAEQktW</t>
  </si>
  <si>
    <t>spotify:track:6RUKPb4LETWmmr3iAEQktW</t>
  </si>
  <si>
    <t>Memories...Do Not Open</t>
  </si>
  <si>
    <t>EDM Hits</t>
  </si>
  <si>
    <t>https://api.spotify.com/v1/audio-analysis/6RUKPb4LETWmmr3iAEQktW</t>
  </si>
  <si>
    <t>6RUKPb4LETWmmr3iAEQktW</t>
  </si>
  <si>
    <t>Something Just Like This</t>
  </si>
  <si>
    <t>1.44e-05</t>
  </si>
  <si>
    <t>4JPguzRps3kuWDD5GS6oXr</t>
  </si>
  <si>
    <t>0.0498</t>
  </si>
  <si>
    <t>37i9dQZF1DX3Kdv0IChEm9</t>
  </si>
  <si>
    <t>Pitbull, AFROJACK, Ne-Yo, Nayer</t>
  </si>
  <si>
    <t>https://api.spotify.com/v1/tracks/4QNpBfC0zvjKqPJcyqBy9W</t>
  </si>
  <si>
    <t>spotify:track:4QNpBfC0zvjKqPJcyqBy9W</t>
  </si>
  <si>
    <t>Planet Pit (Deluxe Version)</t>
  </si>
  <si>
    <t>https://api.spotify.com/v1/audio-analysis/4QNpBfC0zvjKqPJcyqBy9W</t>
  </si>
  <si>
    <t>4QNpBfC0zvjKqPJcyqBy9W</t>
  </si>
  <si>
    <t>Give Me Everything (feat. Nayer)</t>
  </si>
  <si>
    <t>4rG0MhkU6UojACJxkMHIXB</t>
  </si>
  <si>
    <t>0.715</t>
  </si>
  <si>
    <t>DJ Snake, Justin Bieber</t>
  </si>
  <si>
    <t>0.058</t>
  </si>
  <si>
    <t>https://api.spotify.com/v1/tracks/0lYBSQXN6rCTvUZvg9S0lU</t>
  </si>
  <si>
    <t>spotify:track:0lYBSQXN6rCTvUZvg9S0lU</t>
  </si>
  <si>
    <t>Encore</t>
  </si>
  <si>
    <t>https://api.spotify.com/v1/audio-analysis/0lYBSQXN6rCTvUZvg9S0lU</t>
  </si>
  <si>
    <t>0lYBSQXN6rCTvUZvg9S0lU</t>
  </si>
  <si>
    <t>2.67e-05</t>
  </si>
  <si>
    <t>02sEJTj1sye1JaqxqpcSCp</t>
  </si>
  <si>
    <t>Calvin Harris, Ellie Goulding</t>
  </si>
  <si>
    <t>0.0394</t>
  </si>
  <si>
    <t>https://api.spotify.com/v1/tracks/7MmG8p0F9N3C4AXdK6o6Eb</t>
  </si>
  <si>
    <t>spotify:track:7MmG8p0F9N3C4AXdK6o6Eb</t>
  </si>
  <si>
    <t>Motion</t>
  </si>
  <si>
    <t>https://api.spotify.com/v1/audio-analysis/7MmG8p0F9N3C4AXdK6o6Eb</t>
  </si>
  <si>
    <t>7MmG8p0F9N3C4AXdK6o6Eb</t>
  </si>
  <si>
    <t>Outside (feat. Ellie Goulding)</t>
  </si>
  <si>
    <t>48zisMeiXniWLzOQghbPqS</t>
  </si>
  <si>
    <t>0.213</t>
  </si>
  <si>
    <t>Avicii</t>
  </si>
  <si>
    <t>0.0433</t>
  </si>
  <si>
    <t>https://api.spotify.com/v1/tracks/0ct6r3EGTcMLPtrXHDvVjc</t>
  </si>
  <si>
    <t>spotify:track:0ct6r3EGTcMLPtrXHDvVjc</t>
  </si>
  <si>
    <t>The Days / Nights</t>
  </si>
  <si>
    <t>https://api.spotify.com/v1/audio-analysis/0ct6r3EGTcMLPtrXHDvVjc</t>
  </si>
  <si>
    <t>0ct6r3EGTcMLPtrXHDvVjc</t>
  </si>
  <si>
    <t>The Nights</t>
  </si>
  <si>
    <t>0h2knr6qpiAq0tV5ri5JMF</t>
  </si>
  <si>
    <t>0.0166</t>
  </si>
  <si>
    <t>Regard</t>
  </si>
  <si>
    <t>0.0874</t>
  </si>
  <si>
    <t>https://api.spotify.com/v1/tracks/2tnVG71enUj33Ic2nFN6kZ</t>
  </si>
  <si>
    <t>spotify:track:2tnVG71enUj33Ic2nFN6kZ</t>
  </si>
  <si>
    <t>Ride It</t>
  </si>
  <si>
    <t>https://api.spotify.com/v1/audio-analysis/2tnVG71enUj33Ic2nFN6kZ</t>
  </si>
  <si>
    <t>2tnVG71enUj33Ic2nFN6kZ</t>
  </si>
  <si>
    <t>6.43e-05</t>
  </si>
  <si>
    <t>4zOhjJfe0dwqsNdDYk622E</t>
  </si>
  <si>
    <t>0.177</t>
  </si>
  <si>
    <t>118.02</t>
  </si>
  <si>
    <t>OMI, Felix Jaehn</t>
  </si>
  <si>
    <t>0.0309</t>
  </si>
  <si>
    <t>https://api.spotify.com/v1/tracks/7vFoFDWqTX0mHzLfrF1Cfy</t>
  </si>
  <si>
    <t>spotify:track:7vFoFDWqTX0mHzLfrF1Cfy</t>
  </si>
  <si>
    <t>Me 4 U</t>
  </si>
  <si>
    <t>https://api.spotify.com/v1/audio-analysis/7vFoFDWqTX0mHzLfrF1Cfy</t>
  </si>
  <si>
    <t>7vFoFDWqTX0mHzLfrF1Cfy</t>
  </si>
  <si>
    <t>Cheerleader (Felix Jaehn Remix) - Radio Edit</t>
  </si>
  <si>
    <t>1.18e-05</t>
  </si>
  <si>
    <t>7cVXH4slEYzGjDh498OFyL</t>
  </si>
  <si>
    <t>95.01</t>
  </si>
  <si>
    <t>The Chainsmokers, Halsey</t>
  </si>
  <si>
    <t>https://api.spotify.com/v1/tracks/7BKLCZ1jbUBVqRi2FVlTVw</t>
  </si>
  <si>
    <t>spotify:track:7BKLCZ1jbUBVqRi2FVlTVw</t>
  </si>
  <si>
    <t>Closer</t>
  </si>
  <si>
    <t>https://api.spotify.com/v1/audio-analysis/7BKLCZ1jbUBVqRi2FVlTVw</t>
  </si>
  <si>
    <t>7BKLCZ1jbUBVqRi2FVlTVw</t>
  </si>
  <si>
    <t>0rSLgV8p5FzfnqlEk4GzxE</t>
  </si>
  <si>
    <t>0.414</t>
  </si>
  <si>
    <t>Alan Walker</t>
  </si>
  <si>
    <t>https://api.spotify.com/v1/tracks/698ItKASDavgwZ3WjaWjtz</t>
  </si>
  <si>
    <t>spotify:track:698ItKASDavgwZ3WjaWjtz</t>
  </si>
  <si>
    <t>Different World</t>
  </si>
  <si>
    <t>https://api.spotify.com/v1/audio-analysis/698ItKASDavgwZ3WjaWjtz</t>
  </si>
  <si>
    <t>698ItKASDavgwZ3WjaWjtz</t>
  </si>
  <si>
    <t>Faded</t>
  </si>
  <si>
    <t>7.97e-06</t>
  </si>
  <si>
    <t>3nzuGtN3nXARvvecier4K0</t>
  </si>
  <si>
    <t>0.596</t>
  </si>
  <si>
    <t>Calvin Harris</t>
  </si>
  <si>
    <t>https://api.spotify.com/v1/tracks/6YUTL4dYpB9xZO5qExPf05</t>
  </si>
  <si>
    <t>spotify:track:6YUTL4dYpB9xZO5qExPf05</t>
  </si>
  <si>
    <t>https://api.spotify.com/v1/audio-analysis/6YUTL4dYpB9xZO5qExPf05</t>
  </si>
  <si>
    <t>6YUTL4dYpB9xZO5qExPf05</t>
  </si>
  <si>
    <t>Summer</t>
  </si>
  <si>
    <t>0.0178</t>
  </si>
  <si>
    <t>0.0211</t>
  </si>
  <si>
    <t>Dynoro, Gigi D'Agostino</t>
  </si>
  <si>
    <t>https://api.spotify.com/v1/tracks/0E9ZjEAyAwOXZ7wJC0PD33</t>
  </si>
  <si>
    <t>spotify:track:0E9ZjEAyAwOXZ7wJC0PD33</t>
  </si>
  <si>
    <t>In My Mind</t>
  </si>
  <si>
    <t>https://api.spotify.com/v1/audio-analysis/0E9ZjEAyAwOXZ7wJC0PD33</t>
  </si>
  <si>
    <t>0E9ZjEAyAwOXZ7wJC0PD33</t>
  </si>
  <si>
    <t>1.1e-05</t>
  </si>
  <si>
    <t>1c79SozES9Eb3Lzf9KVaIa</t>
  </si>
  <si>
    <t>0.176</t>
  </si>
  <si>
    <t>Pitbull, Kesha</t>
  </si>
  <si>
    <t>https://api.spotify.com/v1/tracks/3cHyrEgdyYRjgJKSOiOtcS</t>
  </si>
  <si>
    <t>spotify:track:3cHyrEgdyYRjgJKSOiOtcS</t>
  </si>
  <si>
    <t>Global Warming: Meltdown (Deluxe Version)</t>
  </si>
  <si>
    <t>https://api.spotify.com/v1/audio-analysis/3cHyrEgdyYRjgJKSOiOtcS</t>
  </si>
  <si>
    <t>3cHyrEgdyYRjgJKSOiOtcS</t>
  </si>
  <si>
    <t>Timber</t>
  </si>
  <si>
    <t>2F7tejLHzTqFq2XLol9ZGy</t>
  </si>
  <si>
    <t>David Guetta, Sia</t>
  </si>
  <si>
    <t>https://api.spotify.com/v1/tracks/0TDLuuLlV54CkRRUOahJb4</t>
  </si>
  <si>
    <t>spotify:track:0TDLuuLlV54CkRRUOahJb4</t>
  </si>
  <si>
    <t>Nothing but the Beat (Ultimate Edition)</t>
  </si>
  <si>
    <t>https://api.spotify.com/v1/audio-analysis/0TDLuuLlV54CkRRUOahJb4</t>
  </si>
  <si>
    <t>0TDLuuLlV54CkRRUOahJb4</t>
  </si>
  <si>
    <t>Titanium (feat. Sia)</t>
  </si>
  <si>
    <t>4bTjdxhRRUiWfwj200f9Kl</t>
  </si>
  <si>
    <t>0.0679</t>
  </si>
  <si>
    <t>0.714</t>
  </si>
  <si>
    <t>Mike Posner, Seeb</t>
  </si>
  <si>
    <t>https://api.spotify.com/v1/tracks/0vbtURX4qv1l7besfwmnD8</t>
  </si>
  <si>
    <t>spotify:track:0vbtURX4qv1l7besfwmnD8</t>
  </si>
  <si>
    <t>At Night, Alone.</t>
  </si>
  <si>
    <t>https://api.spotify.com/v1/audio-analysis/0vbtURX4qv1l7besfwmnD8</t>
  </si>
  <si>
    <t>0vbtURX4qv1l7besfwmnD8</t>
  </si>
  <si>
    <t>I Took A Pill In Ibiza - Seeb Remix</t>
  </si>
  <si>
    <t>8.42e-06</t>
  </si>
  <si>
    <t>6Phl1V5P0sPrWJytXHGFeO</t>
  </si>
  <si>
    <t>Robin Schulz, Francesco Yates</t>
  </si>
  <si>
    <t>0.0581</t>
  </si>
  <si>
    <t>https://api.spotify.com/v1/tracks/5tf1VVWniHgryyumXyJM7w</t>
  </si>
  <si>
    <t>spotify:track:5tf1VVWniHgryyumXyJM7w</t>
  </si>
  <si>
    <t>Sugar</t>
  </si>
  <si>
    <t>https://api.spotify.com/v1/audio-analysis/5tf1VVWniHgryyumXyJM7w</t>
  </si>
  <si>
    <t>5tf1VVWniHgryyumXyJM7w</t>
  </si>
  <si>
    <t>Sugar (feat. Francesco Yates)</t>
  </si>
  <si>
    <t>5XyJzEROSmup2TcWmVjTIt</t>
  </si>
  <si>
    <t>0.0185</t>
  </si>
  <si>
    <t>0.736</t>
  </si>
  <si>
    <t>0.613</t>
  </si>
  <si>
    <t>0.0527</t>
  </si>
  <si>
    <t>https://api.spotify.com/v1/tracks/2P4OICZRVAQcYAV2JReRfj</t>
  </si>
  <si>
    <t>spotify:track:2P4OICZRVAQcYAV2JReRfj</t>
  </si>
  <si>
    <t>Stories</t>
  </si>
  <si>
    <t>https://api.spotify.com/v1/audio-analysis/2P4OICZRVAQcYAV2JReRfj</t>
  </si>
  <si>
    <t>2P4OICZRVAQcYAV2JReRfj</t>
  </si>
  <si>
    <t>Waiting For Love</t>
  </si>
  <si>
    <t>7dqftJ3kas6D0VAdmt3k3V</t>
  </si>
  <si>
    <t>0.0691</t>
  </si>
  <si>
    <t>Jennifer Lopez, Pitbull</t>
  </si>
  <si>
    <t>0.0496</t>
  </si>
  <si>
    <t>https://api.spotify.com/v1/tracks/3C0nOe05EIt1390bVABLyN</t>
  </si>
  <si>
    <t>spotify:track:3C0nOe05EIt1390bVABLyN</t>
  </si>
  <si>
    <t>Love?</t>
  </si>
  <si>
    <t>https://api.spotify.com/v1/audio-analysis/3C0nOe05EIt1390bVABLyN</t>
  </si>
  <si>
    <t>3C0nOe05EIt1390bVABLyN</t>
  </si>
  <si>
    <t>On The Floor</t>
  </si>
  <si>
    <t>0.000486</t>
  </si>
  <si>
    <t>3sysiYphqNRQw7VKLCg1yE</t>
  </si>
  <si>
    <t>0.425</t>
  </si>
  <si>
    <t>The Chainsmokers, Daya</t>
  </si>
  <si>
    <t>https://api.spotify.com/v1/tracks/1i1fxkWeaMmKEB4T7zqbzK</t>
  </si>
  <si>
    <t>spotify:track:1i1fxkWeaMmKEB4T7zqbzK</t>
  </si>
  <si>
    <t>Don't Let Me Down</t>
  </si>
  <si>
    <t>https://api.spotify.com/v1/audio-analysis/1i1fxkWeaMmKEB4T7zqbzK</t>
  </si>
  <si>
    <t>1i1fxkWeaMmKEB4T7zqbzK</t>
  </si>
  <si>
    <t>0.00538</t>
  </si>
  <si>
    <t>2SByipSK8eZ2pasaIwwzhf</t>
  </si>
  <si>
    <t>0.857</t>
  </si>
  <si>
    <t>Calvin Harris, John Newman</t>
  </si>
  <si>
    <t>https://api.spotify.com/v1/tracks/07nH4ifBxUB4lZcsf44Brn</t>
  </si>
  <si>
    <t>spotify:track:07nH4ifBxUB4lZcsf44Brn</t>
  </si>
  <si>
    <t>https://api.spotify.com/v1/audio-analysis/07nH4ifBxUB4lZcsf44Brn</t>
  </si>
  <si>
    <t>07nH4ifBxUB4lZcsf44Brn</t>
  </si>
  <si>
    <t>Blame (feat. John Newman)</t>
  </si>
  <si>
    <t>0.0287</t>
  </si>
  <si>
    <t>Flo Rida, Sia</t>
  </si>
  <si>
    <t>https://api.spotify.com/v1/tracks/1NpW5kyvO4XrNJ3rnfcNy3</t>
  </si>
  <si>
    <t>spotify:track:1NpW5kyvO4XrNJ3rnfcNy3</t>
  </si>
  <si>
    <t>Wild Ones</t>
  </si>
  <si>
    <t>https://api.spotify.com/v1/audio-analysis/1NpW5kyvO4XrNJ3rnfcNy3</t>
  </si>
  <si>
    <t>1NpW5kyvO4XrNJ3rnfcNy3</t>
  </si>
  <si>
    <t>Wild Ones (feat. Sia)</t>
  </si>
  <si>
    <t>7eLwoxxWs6lfkVYJGkGNbk</t>
  </si>
  <si>
    <t>0.0991</t>
  </si>
  <si>
    <t>0.811</t>
  </si>
  <si>
    <t>0.862</t>
  </si>
  <si>
    <t>Daft Punk, Pharrell Williams, Nile Rodgers</t>
  </si>
  <si>
    <t>https://api.spotify.com/v1/tracks/2Foc5Q5nqNiosCNqttzHof</t>
  </si>
  <si>
    <t>spotify:track:2Foc5Q5nqNiosCNqttzHof</t>
  </si>
  <si>
    <t>Get Lucky (Radio Edit) [feat. Pharrell Williams and Nile Rodgers]</t>
  </si>
  <si>
    <t>https://api.spotify.com/v1/audio-analysis/2Foc5Q5nqNiosCNqttzHof</t>
  </si>
  <si>
    <t>2Foc5Q5nqNiosCNqttzHof</t>
  </si>
  <si>
    <t>1.07e-06</t>
  </si>
  <si>
    <t>2ePFIvZKMe8zefATp9ofFA</t>
  </si>
  <si>
    <t>0.0426</t>
  </si>
  <si>
    <t>0.571</t>
  </si>
  <si>
    <t>Axwell /\ Ingrosso</t>
  </si>
  <si>
    <t>0.034</t>
  </si>
  <si>
    <t>https://api.spotify.com/v1/tracks/6h5PAsRni4IRlxWr6uDPTP</t>
  </si>
  <si>
    <t>spotify:track:6h5PAsRni4IRlxWr6uDPTP</t>
  </si>
  <si>
    <t>More Than You Know</t>
  </si>
  <si>
    <t>https://api.spotify.com/v1/audio-analysis/6h5PAsRni4IRlxWr6uDPTP</t>
  </si>
  <si>
    <t>6h5PAsRni4IRlxWr6uDPTP</t>
  </si>
  <si>
    <t>6Ei5WWek37m1x9AjpSXTcJ</t>
  </si>
  <si>
    <t>0.0275</t>
  </si>
  <si>
    <t>133.99</t>
  </si>
  <si>
    <t>-5.88</t>
  </si>
  <si>
    <t>Martin Garrix, Bebe Rexha</t>
  </si>
  <si>
    <t>0.0409</t>
  </si>
  <si>
    <t>https://api.spotify.com/v1/tracks/23L5CiUhw2jV1OIMwthR3S</t>
  </si>
  <si>
    <t>spotify:track:23L5CiUhw2jV1OIMwthR3S</t>
  </si>
  <si>
    <t>In the Name of Love</t>
  </si>
  <si>
    <t>https://api.spotify.com/v1/audio-analysis/23L5CiUhw2jV1OIMwthR3S</t>
  </si>
  <si>
    <t>23L5CiUhw2jV1OIMwthR3S</t>
  </si>
  <si>
    <t>1FOJ5IXGXe8dl0cXvCU6wK</t>
  </si>
  <si>
    <t>0.717</t>
  </si>
  <si>
    <t>Kungs, Cookin' On 3 Burners</t>
  </si>
  <si>
    <t>https://api.spotify.com/v1/tracks/1A8j067qyiNwQnZT0bzUpZ</t>
  </si>
  <si>
    <t>spotify:track:1A8j067qyiNwQnZT0bzUpZ</t>
  </si>
  <si>
    <t>Layers</t>
  </si>
  <si>
    <t>https://api.spotify.com/v1/audio-analysis/1A8j067qyiNwQnZT0bzUpZ</t>
  </si>
  <si>
    <t>1A8j067qyiNwQnZT0bzUpZ</t>
  </si>
  <si>
    <t>This Girl (Kungs Vs. Cookin' On 3 Burners)</t>
  </si>
  <si>
    <t>3.6e-05</t>
  </si>
  <si>
    <t>66KCBRiOFSs9bki2A15WlB</t>
  </si>
  <si>
    <t>will.i.am, Britney Spears</t>
  </si>
  <si>
    <t>0.0696</t>
  </si>
  <si>
    <t>https://api.spotify.com/v1/tracks/2iJuuzV8P9Yz0VSurttIV5</t>
  </si>
  <si>
    <t>spotify:track:2iJuuzV8P9Yz0VSurttIV5</t>
  </si>
  <si>
    <t>#willpower</t>
  </si>
  <si>
    <t>https://api.spotify.com/v1/audio-analysis/2iJuuzV8P9Yz0VSurttIV5</t>
  </si>
  <si>
    <t>2iJuuzV8P9Yz0VSurttIV5</t>
  </si>
  <si>
    <t>Scream &amp; Shout</t>
  </si>
  <si>
    <t>8.96e-05</t>
  </si>
  <si>
    <t>6edYDxspt9uQj21mbAfFIb</t>
  </si>
  <si>
    <t>0.019</t>
  </si>
  <si>
    <t>Calvin Harris, Rihanna</t>
  </si>
  <si>
    <t>0.0332</t>
  </si>
  <si>
    <t>https://api.spotify.com/v1/tracks/0azC730Exh71aQlOt9Zj3y</t>
  </si>
  <si>
    <t>spotify:track:0azC730Exh71aQlOt9Zj3y</t>
  </si>
  <si>
    <t>This Is What You Came For</t>
  </si>
  <si>
    <t>https://api.spotify.com/v1/audio-analysis/0azC730Exh71aQlOt9Zj3y</t>
  </si>
  <si>
    <t>0azC730Exh71aQlOt9Zj3y</t>
  </si>
  <si>
    <t>3pEgGUv379EDinvg1TN7Kt</t>
  </si>
  <si>
    <t>Stromae</t>
  </si>
  <si>
    <t>https://api.spotify.com/v1/tracks/2GYHyAoLWpkxLVa4oYTVko</t>
  </si>
  <si>
    <t>spotify:track:2GYHyAoLWpkxLVa4oYTVko</t>
  </si>
  <si>
    <t>Cheese</t>
  </si>
  <si>
    <t>https://api.spotify.com/v1/audio-analysis/2GYHyAoLWpkxLVa4oYTVko</t>
  </si>
  <si>
    <t>2GYHyAoLWpkxLVa4oYTVko</t>
  </si>
  <si>
    <t>Alors on danse - Radio Edit</t>
  </si>
  <si>
    <t>0.00202</t>
  </si>
  <si>
    <t>4kEbcH3VT6NYfpv8Wkkk80</t>
  </si>
  <si>
    <t>0.766</t>
  </si>
  <si>
    <t>Rihanna, Calvin Harris</t>
  </si>
  <si>
    <t>https://api.spotify.com/v1/tracks/0U10zFw4GlBacOy9VDGfGL</t>
  </si>
  <si>
    <t>spotify:track:0U10zFw4GlBacOy9VDGfGL</t>
  </si>
  <si>
    <t>Talk That Talk</t>
  </si>
  <si>
    <t>https://api.spotify.com/v1/audio-analysis/0U10zFw4GlBacOy9VDGfGL</t>
  </si>
  <si>
    <t>0U10zFw4GlBacOy9VDGfGL</t>
  </si>
  <si>
    <t>We Found Love</t>
  </si>
  <si>
    <t>0.00141</t>
  </si>
  <si>
    <t>1Kw1bVd07oRqcjrcjQKC8T</t>
  </si>
  <si>
    <t>0.51</t>
  </si>
  <si>
    <t>0.829</t>
  </si>
  <si>
    <t>0.0829</t>
  </si>
  <si>
    <t>Mr. Probz, Robin Schulz</t>
  </si>
  <si>
    <t>https://api.spotify.com/v1/tracks/1HFfMOxCAT4GAwaPfCdmUs</t>
  </si>
  <si>
    <t>spotify:track:1HFfMOxCAT4GAwaPfCdmUs</t>
  </si>
  <si>
    <t>Waves (Robin Schulz Radio Edit)</t>
  </si>
  <si>
    <t>https://api.spotify.com/v1/audio-analysis/1HFfMOxCAT4GAwaPfCdmUs</t>
  </si>
  <si>
    <t>1HFfMOxCAT4GAwaPfCdmUs</t>
  </si>
  <si>
    <t>Waves - Robin Schulz Radio Edit</t>
  </si>
  <si>
    <t>0.00143</t>
  </si>
  <si>
    <t>29RpLEpfNr1mnrnmtbO620</t>
  </si>
  <si>
    <t>0.00821</t>
  </si>
  <si>
    <t>0.473</t>
  </si>
  <si>
    <t>Flo Rida, David Guetta</t>
  </si>
  <si>
    <t>https://api.spotify.com/v1/tracks/6ebkx7Q5tTxrCxKq4GYj0Y</t>
  </si>
  <si>
    <t>spotify:track:6ebkx7Q5tTxrCxKq4GYj0Y</t>
  </si>
  <si>
    <t>Only One Flo (Part 1)</t>
  </si>
  <si>
    <t>https://api.spotify.com/v1/audio-analysis/6ebkx7Q5tTxrCxKq4GYj0Y</t>
  </si>
  <si>
    <t>6ebkx7Q5tTxrCxKq4GYj0Y</t>
  </si>
  <si>
    <t>Club Can't Handle Me (feat. David Guetta)</t>
  </si>
  <si>
    <t>1TwNATuAqnNjTd5BSvFZlS</t>
  </si>
  <si>
    <t>0.915</t>
  </si>
  <si>
    <t>Calvin Harris, Alesso, Hurts</t>
  </si>
  <si>
    <t>0.0841</t>
  </si>
  <si>
    <t>https://api.spotify.com/v1/tracks/4J7CKHCF3mdL4diUsmW8lq</t>
  </si>
  <si>
    <t>spotify:track:4J7CKHCF3mdL4diUsmW8lq</t>
  </si>
  <si>
    <t>https://api.spotify.com/v1/audio-analysis/4J7CKHCF3mdL4diUsmW8lq</t>
  </si>
  <si>
    <t>4J7CKHCF3mdL4diUsmW8lq</t>
  </si>
  <si>
    <t>Under Control (feat. Hurts)</t>
  </si>
  <si>
    <t>0.000914</t>
  </si>
  <si>
    <t>0.357</t>
  </si>
  <si>
    <t>Aaron Smith, Krono, Luvli</t>
  </si>
  <si>
    <t>https://api.spotify.com/v1/tracks/6WkJ2OK163XXS2oARUC9JM</t>
  </si>
  <si>
    <t>spotify:track:6WkJ2OK163XXS2oARUC9JM</t>
  </si>
  <si>
    <t>Dancin (feat. Luvli) [Krono Remix]</t>
  </si>
  <si>
    <t>https://api.spotify.com/v1/audio-analysis/6WkJ2OK163XXS2oARUC9JM</t>
  </si>
  <si>
    <t>6WkJ2OK163XXS2oARUC9JM</t>
  </si>
  <si>
    <t>Dancin (feat. Luvli) - Krono Remix</t>
  </si>
  <si>
    <t>1.41e-05</t>
  </si>
  <si>
    <t>2J2f6vGACFrRghO1Ki74BE</t>
  </si>
  <si>
    <t>Daft Punk</t>
  </si>
  <si>
    <t>https://api.spotify.com/v1/tracks/0DiWol3AO6WpXZgp0goxAV</t>
  </si>
  <si>
    <t>spotify:track:0DiWol3AO6WpXZgp0goxAV</t>
  </si>
  <si>
    <t>Discovery</t>
  </si>
  <si>
    <t>https://api.spotify.com/v1/audio-analysis/0DiWol3AO6WpXZgp0goxAV</t>
  </si>
  <si>
    <t>0DiWol3AO6WpXZgp0goxAV</t>
  </si>
  <si>
    <t>One More Time</t>
  </si>
  <si>
    <t>2noRn2Aes5aoNVsU6iWThc</t>
  </si>
  <si>
    <t>0.0194</t>
  </si>
  <si>
    <t>0.0952</t>
  </si>
  <si>
    <t>Kygo, Conrad Sewell</t>
  </si>
  <si>
    <t>https://api.spotify.com/v1/tracks/1I8tHoNBFTuoJAlh4hfVVE</t>
  </si>
  <si>
    <t>spotify:track:1I8tHoNBFTuoJAlh4hfVVE</t>
  </si>
  <si>
    <t>Cloud Nine</t>
  </si>
  <si>
    <t>https://api.spotify.com/v1/audio-analysis/1I8tHoNBFTuoJAlh4hfVVE</t>
  </si>
  <si>
    <t>1I8tHoNBFTuoJAlh4hfVVE</t>
  </si>
  <si>
    <t>Firestone</t>
  </si>
  <si>
    <t>3.17e-05</t>
  </si>
  <si>
    <t>0uMIzWh1uEpHEBell4rlF8</t>
  </si>
  <si>
    <t>0.393</t>
  </si>
  <si>
    <t>0.861</t>
  </si>
  <si>
    <t>-4.1</t>
  </si>
  <si>
    <t>Jonas Blue, JP Cooper</t>
  </si>
  <si>
    <t>0.0451</t>
  </si>
  <si>
    <t>https://api.spotify.com/v1/tracks/3P3pw6C19j31Rnzgo3JG7o</t>
  </si>
  <si>
    <t>spotify:track:3P3pw6C19j31Rnzgo3JG7o</t>
  </si>
  <si>
    <t>Blue</t>
  </si>
  <si>
    <t>https://api.spotify.com/v1/audio-analysis/3P3pw6C19j31Rnzgo3JG7o</t>
  </si>
  <si>
    <t>3P3pw6C19j31Rnzgo3JG7o</t>
  </si>
  <si>
    <t>Perfect Strangers</t>
  </si>
  <si>
    <t>2xZSrcBmvMw9Y8hac6xU7L</t>
  </si>
  <si>
    <t>0.989</t>
  </si>
  <si>
    <t>Shouse, David Guetta</t>
  </si>
  <si>
    <t>0.0434</t>
  </si>
  <si>
    <t>https://api.spotify.com/v1/tracks/2prnn41CblB8B4yWACDljP</t>
  </si>
  <si>
    <t>spotify:track:2prnn41CblB8B4yWACDljP</t>
  </si>
  <si>
    <t>Love Tonight (David Guetta Remix)</t>
  </si>
  <si>
    <t>https://api.spotify.com/v1/audio-analysis/2prnn41CblB8B4yWACDljP</t>
  </si>
  <si>
    <t>2prnn41CblB8B4yWACDljP</t>
  </si>
  <si>
    <t>Love Tonight (David Guetta Remix Edit)</t>
  </si>
  <si>
    <t>2HYufzr6XUqSurRZdY0D9w</t>
  </si>
  <si>
    <t>0.0856</t>
  </si>
  <si>
    <t>Galantis</t>
  </si>
  <si>
    <t>https://api.spotify.com/v1/tracks/46lFttIf5hnUZMGvjK0Wxo</t>
  </si>
  <si>
    <t>spotify:track:46lFttIf5hnUZMGvjK0Wxo</t>
  </si>
  <si>
    <t>Pharmacy</t>
  </si>
  <si>
    <t>https://api.spotify.com/v1/audio-analysis/46lFttIf5hnUZMGvjK0Wxo</t>
  </si>
  <si>
    <t>46lFttIf5hnUZMGvjK0Wxo</t>
  </si>
  <si>
    <t>Runaway (U &amp; I)</t>
  </si>
  <si>
    <t>0.00193</t>
  </si>
  <si>
    <t>4QcXq4vTVN7dFb7bZa9jG2</t>
  </si>
  <si>
    <t>0.00711</t>
  </si>
  <si>
    <t>0.224</t>
  </si>
  <si>
    <t>DJ Snake, Bipolar Sunshine</t>
  </si>
  <si>
    <t>0.0423</t>
  </si>
  <si>
    <t>https://api.spotify.com/v1/tracks/0g5EKLgdKvNlln7TNqBByK</t>
  </si>
  <si>
    <t>spotify:track:0g5EKLgdKvNlln7TNqBByK</t>
  </si>
  <si>
    <t>https://api.spotify.com/v1/audio-analysis/0g5EKLgdKvNlln7TNqBByK</t>
  </si>
  <si>
    <t>0g5EKLgdKvNlln7TNqBByK</t>
  </si>
  <si>
    <t>Middle</t>
  </si>
  <si>
    <t>0.0138</t>
  </si>
  <si>
    <t>-6.02</t>
  </si>
  <si>
    <t>0.469</t>
  </si>
  <si>
    <t>Guru Josh Project, Klaas</t>
  </si>
  <si>
    <t>0.0588</t>
  </si>
  <si>
    <t>https://api.spotify.com/v1/tracks/3aQz0z86zrKjd1mcZlonxE</t>
  </si>
  <si>
    <t>spotify:track:3aQz0z86zrKjd1mcZlonxE</t>
  </si>
  <si>
    <t>Infinity 2008</t>
  </si>
  <si>
    <t>https://api.spotify.com/v1/audio-analysis/3aQz0z86zrKjd1mcZlonxE</t>
  </si>
  <si>
    <t>3aQz0z86zrKjd1mcZlonxE</t>
  </si>
  <si>
    <t>Infinity 2008 - Klaas Vocal Edit</t>
  </si>
  <si>
    <t>0.00918</t>
  </si>
  <si>
    <t>1uyF93NDsuRn4LqZIl3lyY</t>
  </si>
  <si>
    <t>0.000313</t>
  </si>
  <si>
    <t>Olly Alexander (Years &amp; Years)</t>
  </si>
  <si>
    <t>https://api.spotify.com/v1/tracks/3AeicLnm55RqcXGBKYQolM</t>
  </si>
  <si>
    <t>spotify:track:3AeicLnm55RqcXGBKYQolM</t>
  </si>
  <si>
    <t>Communion (Deluxe)</t>
  </si>
  <si>
    <t>https://api.spotify.com/v1/audio-analysis/3AeicLnm55RqcXGBKYQolM</t>
  </si>
  <si>
    <t>3AeicLnm55RqcXGBKYQolM</t>
  </si>
  <si>
    <t>King</t>
  </si>
  <si>
    <t>0bWYlK9rRmIB68icHx9PNR</t>
  </si>
  <si>
    <t>0.0594</t>
  </si>
  <si>
    <t>128.0</t>
  </si>
  <si>
    <t>-3.48</t>
  </si>
  <si>
    <t>0.0749</t>
  </si>
  <si>
    <t>Zedd, Foxes</t>
  </si>
  <si>
    <t>https://api.spotify.com/v1/tracks/60wwxj6Dd9NJlirf84wr2c</t>
  </si>
  <si>
    <t>spotify:track:60wwxj6Dd9NJlirf84wr2c</t>
  </si>
  <si>
    <t>Clarity</t>
  </si>
  <si>
    <t>https://api.spotify.com/v1/audio-analysis/60wwxj6Dd9NJlirf84wr2c</t>
  </si>
  <si>
    <t>60wwxj6Dd9NJlirf84wr2c</t>
  </si>
  <si>
    <t>7juWTdmjo0vYywWu8HiQxs</t>
  </si>
  <si>
    <t>0.325</t>
  </si>
  <si>
    <t>David Guetta, AFROJACK, Bebe Rexha, Nicki Minaj</t>
  </si>
  <si>
    <t>https://api.spotify.com/v1/tracks/285HeuLxsngjFn4GGegGNm</t>
  </si>
  <si>
    <t>spotify:track:285HeuLxsngjFn4GGegGNm</t>
  </si>
  <si>
    <t>Listen</t>
  </si>
  <si>
    <t>https://api.spotify.com/v1/audio-analysis/285HeuLxsngjFn4GGegGNm</t>
  </si>
  <si>
    <t>285HeuLxsngjFn4GGegGNm</t>
  </si>
  <si>
    <t>Hey Mama (feat. Nicki Minaj, Bebe Rexha &amp; Afrojack)</t>
  </si>
  <si>
    <t>77UW17CZFyCaRLHdHeofZu</t>
  </si>
  <si>
    <t>0.24</t>
  </si>
  <si>
    <t>-6.96</t>
  </si>
  <si>
    <t>Felix Jaehn, Jasmine Thompson</t>
  </si>
  <si>
    <t>https://api.spotify.com/v1/tracks/3c8iiZGfEammKJuWTErE5x</t>
  </si>
  <si>
    <t>spotify:track:3c8iiZGfEammKJuWTErE5x</t>
  </si>
  <si>
    <t>I</t>
  </si>
  <si>
    <t>https://api.spotify.com/v1/audio-analysis/3c8iiZGfEammKJuWTErE5x</t>
  </si>
  <si>
    <t>3c8iiZGfEammKJuWTErE5x</t>
  </si>
  <si>
    <t>Ain't Nobody (Loves Me Better) (feat. Jasmine Thompson)</t>
  </si>
  <si>
    <t>0.000168</t>
  </si>
  <si>
    <t>2S56F6bIk01HboGbJJJ1IQ</t>
  </si>
  <si>
    <t>0.778</t>
  </si>
  <si>
    <t>Alok, Zeeba, Bruno Martini</t>
  </si>
  <si>
    <t>0.0389</t>
  </si>
  <si>
    <t>https://api.spotify.com/v1/tracks/39cmB3ZoTOLwOTq7tMNqKa</t>
  </si>
  <si>
    <t>spotify:track:39cmB3ZoTOLwOTq7tMNqKa</t>
  </si>
  <si>
    <t>Hear Me Now (feat. Zeeba)</t>
  </si>
  <si>
    <t>https://api.spotify.com/v1/audio-analysis/39cmB3ZoTOLwOTq7tMNqKa</t>
  </si>
  <si>
    <t>39cmB3ZoTOLwOTq7tMNqKa</t>
  </si>
  <si>
    <t>Hear Me Now</t>
  </si>
  <si>
    <t>6fpsA5aYbVNLe6y3P49o2o</t>
  </si>
  <si>
    <t>0.546</t>
  </si>
  <si>
    <t>112.05</t>
  </si>
  <si>
    <t>Surf Mesa, Emilee</t>
  </si>
  <si>
    <t>0.0892</t>
  </si>
  <si>
    <t>https://api.spotify.com/v1/tracks/62aP9fBQKYKxi7PDXwcUAS</t>
  </si>
  <si>
    <t>spotify:track:62aP9fBQKYKxi7PDXwcUAS</t>
  </si>
  <si>
    <t>ily (i love you baby) (feat. Emilee)</t>
  </si>
  <si>
    <t>https://api.spotify.com/v1/audio-analysis/62aP9fBQKYKxi7PDXwcUAS</t>
  </si>
  <si>
    <t>62aP9fBQKYKxi7PDXwcUAS</t>
  </si>
  <si>
    <t>0.00188</t>
  </si>
  <si>
    <t>4MHHajvRTUHItDsvfdIC8B</t>
  </si>
  <si>
    <t>0.0686</t>
  </si>
  <si>
    <t>Lana Del Rey, Cedric Gervais</t>
  </si>
  <si>
    <t>0.0558</t>
  </si>
  <si>
    <t>https://api.spotify.com/v1/tracks/6PUIzlqotEmPuBfjbwYWOB</t>
  </si>
  <si>
    <t>spotify:track:6PUIzlqotEmPuBfjbwYWOB</t>
  </si>
  <si>
    <t>Summertime Sadness (Lana Del Rey Vs. Cedric Gervais) [Cedric Gervais Remix]</t>
  </si>
  <si>
    <t>https://api.spotify.com/v1/audio-analysis/6PUIzlqotEmPuBfjbwYWOB</t>
  </si>
  <si>
    <t>6PUIzlqotEmPuBfjbwYWOB</t>
  </si>
  <si>
    <t>Summertime Sadness (Lana Del Rey Vs. Cedric Gervais) - Cedric Gervais Remix</t>
  </si>
  <si>
    <t>6.53e-06</t>
  </si>
  <si>
    <t>1fXwOvaqIdkhp5F3fiFbCv</t>
  </si>
  <si>
    <t>0.0157</t>
  </si>
  <si>
    <t>Taio Cruz</t>
  </si>
  <si>
    <t>0.0862</t>
  </si>
  <si>
    <t>https://api.spotify.com/v1/tracks/2CEgGE6aESpnmtfiZwYlbV</t>
  </si>
  <si>
    <t>spotify:track:2CEgGE6aESpnmtfiZwYlbV</t>
  </si>
  <si>
    <t>The Rokstarr Hits Collection</t>
  </si>
  <si>
    <t>https://api.spotify.com/v1/audio-analysis/2CEgGE6aESpnmtfiZwYlbV</t>
  </si>
  <si>
    <t>2CEgGE6aESpnmtfiZwYlbV</t>
  </si>
  <si>
    <t>Dynamite</t>
  </si>
  <si>
    <t>0eGvq1J5Ke7VlLLOYIlY4k</t>
  </si>
  <si>
    <t>120.97</t>
  </si>
  <si>
    <t>Clean Bandit, Jess Glynne</t>
  </si>
  <si>
    <t>0.0377</t>
  </si>
  <si>
    <t>https://api.spotify.com/v1/tracks/61dCUoMCg28qEBzrW6htYM</t>
  </si>
  <si>
    <t>spotify:track:61dCUoMCg28qEBzrW6htYM</t>
  </si>
  <si>
    <t>New Eyes</t>
  </si>
  <si>
    <t>https://api.spotify.com/v1/audio-analysis/61dCUoMCg28qEBzrW6htYM</t>
  </si>
  <si>
    <t>61dCUoMCg28qEBzrW6htYM</t>
  </si>
  <si>
    <t>Rather Be (feat. Jess Glynne)</t>
  </si>
  <si>
    <t>2.03e-06</t>
  </si>
  <si>
    <t>0dNt3MfPrvj6mHmajSuahw</t>
  </si>
  <si>
    <t>Topic, A7S</t>
  </si>
  <si>
    <t>0.218</t>
  </si>
  <si>
    <t>https://api.spotify.com/v1/tracks/3H7ihDc1dqLriiWXwsc2po</t>
  </si>
  <si>
    <t>spotify:track:3H7ihDc1dqLriiWXwsc2po</t>
  </si>
  <si>
    <t>Breaking Me</t>
  </si>
  <si>
    <t>https://api.spotify.com/v1/audio-analysis/3H7ihDc1dqLriiWXwsc2po</t>
  </si>
  <si>
    <t>3H7ihDc1dqLriiWXwsc2po</t>
  </si>
  <si>
    <t>3nBQlhUvErkw8DVpF47WAn</t>
  </si>
  <si>
    <t>Ti√´sto</t>
  </si>
  <si>
    <t>https://api.spotify.com/v1/tracks/6f3Slt0GbA2bPZlz0aIFXN</t>
  </si>
  <si>
    <t>spotify:track:6f3Slt0GbA2bPZlz0aIFXN</t>
  </si>
  <si>
    <t>The Business</t>
  </si>
  <si>
    <t>https://api.spotify.com/v1/audio-analysis/6f3Slt0GbA2bPZlz0aIFXN</t>
  </si>
  <si>
    <t>6f3Slt0GbA2bPZlz0aIFXN</t>
  </si>
  <si>
    <t>0.0192</t>
  </si>
  <si>
    <t>2adSO4KU3FDjeM1PXCRDZm</t>
  </si>
  <si>
    <t>102.04</t>
  </si>
  <si>
    <t>Zedd, Alessia Cara</t>
  </si>
  <si>
    <t>0.0622</t>
  </si>
  <si>
    <t>https://api.spotify.com/v1/tracks/6uBhi9gBXWjanegOb2Phh0</t>
  </si>
  <si>
    <t>spotify:track:6uBhi9gBXWjanegOb2Phh0</t>
  </si>
  <si>
    <t>Stay</t>
  </si>
  <si>
    <t>https://api.spotify.com/v1/audio-analysis/6uBhi9gBXWjanegOb2Phh0</t>
  </si>
  <si>
    <t>6uBhi9gBXWjanegOb2Phh0</t>
  </si>
  <si>
    <t>1I4W7JKzYbl8VKRfD61DIS</t>
  </si>
  <si>
    <t>LMFAO, Lauren Bennett, GoonRock</t>
  </si>
  <si>
    <t>https://api.spotify.com/v1/tracks/7mitXLIMCflkhZiD34uEQI</t>
  </si>
  <si>
    <t>spotify:track:7mitXLIMCflkhZiD34uEQI</t>
  </si>
  <si>
    <t>Sorry For Party Rocking</t>
  </si>
  <si>
    <t>https://api.spotify.com/v1/audio-analysis/7mitXLIMCflkhZiD34uEQI</t>
  </si>
  <si>
    <t>7mitXLIMCflkhZiD34uEQI</t>
  </si>
  <si>
    <t>Party Rock Anthem</t>
  </si>
  <si>
    <t>0D49RvtlLCKyxeDKDnBU2R</t>
  </si>
  <si>
    <t>0.309</t>
  </si>
  <si>
    <t>The Chainsmokers, ROZES</t>
  </si>
  <si>
    <t>0.0561</t>
  </si>
  <si>
    <t>https://api.spotify.com/v1/tracks/3vv9phIu6Y1vX3jcqaGz5Z</t>
  </si>
  <si>
    <t>spotify:track:3vv9phIu6Y1vX3jcqaGz5Z</t>
  </si>
  <si>
    <t>Roses</t>
  </si>
  <si>
    <t>https://api.spotify.com/v1/audio-analysis/3vv9phIu6Y1vX3jcqaGz5Z</t>
  </si>
  <si>
    <t>3vv9phIu6Y1vX3jcqaGz5Z</t>
  </si>
  <si>
    <t>0.00377</t>
  </si>
  <si>
    <t>2GFflENKz28RcMoSuulPZC</t>
  </si>
  <si>
    <t>0.0435</t>
  </si>
  <si>
    <t>0.906</t>
  </si>
  <si>
    <t>Icona Pop, Charli xcx</t>
  </si>
  <si>
    <t>https://api.spotify.com/v1/tracks/2U8NXPTXZWG2O0ye2sYRiH</t>
  </si>
  <si>
    <t>spotify:track:2U8NXPTXZWG2O0ye2sYRiH</t>
  </si>
  <si>
    <t>THIS IS... ICONA POP</t>
  </si>
  <si>
    <t>https://api.spotify.com/v1/audio-analysis/2U8NXPTXZWG2O0ye2sYRiH</t>
  </si>
  <si>
    <t>2U8NXPTXZWG2O0ye2sYRiH</t>
  </si>
  <si>
    <t>I Love It (feat. Charli XCX)</t>
  </si>
  <si>
    <t>1.64e-05</t>
  </si>
  <si>
    <t>3qpAHoOLWeXRNTaGzeYf13</t>
  </si>
  <si>
    <t>0.00952</t>
  </si>
  <si>
    <t>0.921</t>
  </si>
  <si>
    <t>0.8</t>
  </si>
  <si>
    <t>David Guetta, Ne-Yo, Akon</t>
  </si>
  <si>
    <t>0.0533</t>
  </si>
  <si>
    <t>https://api.spotify.com/v1/tracks/5YPMEOJ58kfl56VHxTgwx3</t>
  </si>
  <si>
    <t>spotify:track:5YPMEOJ58kfl56VHxTgwx3</t>
  </si>
  <si>
    <t>https://api.spotify.com/v1/audio-analysis/5YPMEOJ58kfl56VHxTgwx3</t>
  </si>
  <si>
    <t>5YPMEOJ58kfl56VHxTgwx3</t>
  </si>
  <si>
    <t>Play Hard (feat. Ne-Yo &amp; Akon)</t>
  </si>
  <si>
    <t>0.956</t>
  </si>
  <si>
    <t>0.0906</t>
  </si>
  <si>
    <t>https://api.spotify.com/v1/tracks/1pKYYY0dkg23sQQXi0Q5zN</t>
  </si>
  <si>
    <t>spotify:track:1pKYYY0dkg23sQQXi0Q5zN</t>
  </si>
  <si>
    <t>Homework</t>
  </si>
  <si>
    <t>https://api.spotify.com/v1/audio-analysis/1pKYYY0dkg23sQQXi0Q5zN</t>
  </si>
  <si>
    <t>1pKYYY0dkg23sQQXi0Q5zN</t>
  </si>
  <si>
    <t>Around the World</t>
  </si>
  <si>
    <t>5uRdvUR7xCnHmUW8n64n9y</t>
  </si>
  <si>
    <t>0.00356</t>
  </si>
  <si>
    <t>0.0632</t>
  </si>
  <si>
    <t>Armin van Buuren, Trevor Guthrie</t>
  </si>
  <si>
    <t>https://api.spotify.com/v1/tracks/5GjnIpUlLGEIYk052ISOw9</t>
  </si>
  <si>
    <t>spotify:track:5GjnIpUlLGEIYk052ISOw9</t>
  </si>
  <si>
    <t>Intense</t>
  </si>
  <si>
    <t>https://api.spotify.com/v1/audio-analysis/5GjnIpUlLGEIYk052ISOw9</t>
  </si>
  <si>
    <t>5GjnIpUlLGEIYk052ISOw9</t>
  </si>
  <si>
    <t>This Is What It Feels Like</t>
  </si>
  <si>
    <t>2.77e-06</t>
  </si>
  <si>
    <t>5ZsK5SUsZilbAJ4B0vRVxF</t>
  </si>
  <si>
    <t>0.817</t>
  </si>
  <si>
    <t>AronChupa, Little Sis Nora</t>
  </si>
  <si>
    <t>https://api.spotify.com/v1/tracks/5MhsZlmKJG6X5kTHkdwC4B</t>
  </si>
  <si>
    <t>spotify:track:5MhsZlmKJG6X5kTHkdwC4B</t>
  </si>
  <si>
    <t>I'm an Albatraoz</t>
  </si>
  <si>
    <t>https://api.spotify.com/v1/audio-analysis/5MhsZlmKJG6X5kTHkdwC4B</t>
  </si>
  <si>
    <t>5MhsZlmKJG6X5kTHkdwC4B</t>
  </si>
  <si>
    <t>1qHVYbxQ6IS8YRviorKDJI</t>
  </si>
  <si>
    <t>Alesso, Tove Lo</t>
  </si>
  <si>
    <t>0.0619</t>
  </si>
  <si>
    <t>https://api.spotify.com/v1/tracks/3zU9rdflI65tK4dkkNSp77</t>
  </si>
  <si>
    <t>spotify:track:3zU9rdflI65tK4dkkNSp77</t>
  </si>
  <si>
    <t>Forever</t>
  </si>
  <si>
    <t>https://api.spotify.com/v1/audio-analysis/3zU9rdflI65tK4dkkNSp77</t>
  </si>
  <si>
    <t>3zU9rdflI65tK4dkkNSp77</t>
  </si>
  <si>
    <t>Heroes (we could be)</t>
  </si>
  <si>
    <t>0tRVSbmOwilUucqjzU0fQw</t>
  </si>
  <si>
    <t>0.0305</t>
  </si>
  <si>
    <t>0.599</t>
  </si>
  <si>
    <t>Disclosure, Eliza Doolittle, Flume</t>
  </si>
  <si>
    <t>0.0257</t>
  </si>
  <si>
    <t>https://api.spotify.com/v1/tracks/3W2ZcrRsInZbjWylOi6KhZ</t>
  </si>
  <si>
    <t>spotify:track:3W2ZcrRsInZbjWylOi6KhZ</t>
  </si>
  <si>
    <t>Settle (Special Edition)</t>
  </si>
  <si>
    <t>https://api.spotify.com/v1/audio-analysis/3W2ZcrRsInZbjWylOi6KhZ</t>
  </si>
  <si>
    <t>3W2ZcrRsInZbjWylOi6KhZ</t>
  </si>
  <si>
    <t>You &amp; Me - Flume Remix</t>
  </si>
  <si>
    <t>0.000107</t>
  </si>
  <si>
    <t>7bdjtx1RTkWoSoOaIl7a8E</t>
  </si>
  <si>
    <t>soul</t>
  </si>
  <si>
    <t>https://api.spotify.com/v1/tracks/6usohdchdzW9oML7VC4Uhk</t>
  </si>
  <si>
    <t>spotify:track:6usohdchdzW9oML7VC4Uhk</t>
  </si>
  <si>
    <t>Soul Coffee</t>
  </si>
  <si>
    <t>https://api.spotify.com/v1/audio-analysis/6usohdchdzW9oML7VC4Uhk</t>
  </si>
  <si>
    <t>6usohdchdzW9oML7VC4Uhk</t>
  </si>
  <si>
    <t>5QMiub2LonMqxB7dhtbPlX</t>
  </si>
  <si>
    <t>37i9dQZF1DXaXDsfv6nvZ5</t>
  </si>
  <si>
    <t>152.88</t>
  </si>
  <si>
    <t>Daniel Caesar</t>
  </si>
  <si>
    <t>https://api.spotify.com/v1/tracks/3ym8ajVmKm6Fybgov3WBI5</t>
  </si>
  <si>
    <t>spotify:track:3ym8ajVmKm6Fybgov3WBI5</t>
  </si>
  <si>
    <t>NEVER ENOUGH</t>
  </si>
  <si>
    <t>https://api.spotify.com/v1/audio-analysis/3ym8ajVmKm6Fybgov3WBI5</t>
  </si>
  <si>
    <t>3ym8ajVmKm6Fybgov3WBI5</t>
  </si>
  <si>
    <t>Let Me Go</t>
  </si>
  <si>
    <t>0.00334</t>
  </si>
  <si>
    <t>7ivbFszr1TbVadj89BIy1y</t>
  </si>
  <si>
    <t>gaming</t>
  </si>
  <si>
    <t>Top Gaming Tracks</t>
  </si>
  <si>
    <t>37i9dQZF1DWTyiBJ6yEqeu</t>
  </si>
  <si>
    <t>0.569</t>
  </si>
  <si>
    <t>0.201</t>
  </si>
  <si>
    <t>Travis Scott, Playboi Carti</t>
  </si>
  <si>
    <t>0.06</t>
  </si>
  <si>
    <t>https://api.spotify.com/v1/tracks/42VsgItocQwOQC3XWZ8JNA</t>
  </si>
  <si>
    <t>spotify:track:42VsgItocQwOQC3XWZ8JNA</t>
  </si>
  <si>
    <t>UTOPIA</t>
  </si>
  <si>
    <t>https://api.spotify.com/v1/audio-analysis/42VsgItocQwOQC3XWZ8JNA</t>
  </si>
  <si>
    <t>42VsgItocQwOQC3XWZ8JNA</t>
  </si>
  <si>
    <t>FE!N (feat. Playboi Carti)</t>
  </si>
  <si>
    <t>18NOKLkZETa4sWwLMIm0UZ</t>
  </si>
  <si>
    <t>0.0687</t>
  </si>
  <si>
    <t>https://api.spotify.com/v1/tracks/51eSHglvG1RJXtL3qI5trr</t>
  </si>
  <si>
    <t>spotify:track:51eSHglvG1RJXtL3qI5trr</t>
  </si>
  <si>
    <t>Fireworks &amp; Rollerblades</t>
  </si>
  <si>
    <t>https://api.spotify.com/v1/audio-analysis/51eSHglvG1RJXtL3qI5trr</t>
  </si>
  <si>
    <t>51eSHglvG1RJXtL3qI5trr</t>
  </si>
  <si>
    <t>Slow It Down</t>
  </si>
  <si>
    <t>168CdR21lfn0TTyw1Pkdcm</t>
  </si>
  <si>
    <t>Hanumankind, Kalmi</t>
  </si>
  <si>
    <t>https://api.spotify.com/v1/tracks/0OA00aPt3BV10qeMIs3meW</t>
  </si>
  <si>
    <t>spotify:track:0OA00aPt3BV10qeMIs3meW</t>
  </si>
  <si>
    <t>Big Dawgs</t>
  </si>
  <si>
    <t>https://api.spotify.com/v1/audio-analysis/0OA00aPt3BV10qeMIs3meW</t>
  </si>
  <si>
    <t>0OA00aPt3BV10qeMIs3meW</t>
  </si>
  <si>
    <t>6Yw4204wbgmpsGTzjXBhYD</t>
  </si>
  <si>
    <t>0.0235</t>
  </si>
  <si>
    <t>0.965</t>
  </si>
  <si>
    <t>128.04</t>
  </si>
  <si>
    <t>David Guetta, Bebe Rexha</t>
  </si>
  <si>
    <t>https://api.spotify.com/v1/tracks/4uUG5RXrOk84mYEfFvj3cK</t>
  </si>
  <si>
    <t>spotify:track:4uUG5RXrOk84mYEfFvj3cK</t>
  </si>
  <si>
    <t>I'm Good (Blue)</t>
  </si>
  <si>
    <t>https://api.spotify.com/v1/audio-analysis/4uUG5RXrOk84mYEfFvj3cK</t>
  </si>
  <si>
    <t>4uUG5RXrOk84mYEfFvj3cK</t>
  </si>
  <si>
    <t>7.07e-06</t>
  </si>
  <si>
    <t>7M842DMhYVALrXsw3ty7B3</t>
  </si>
  <si>
    <t>0.00383</t>
  </si>
  <si>
    <t>https://api.spotify.com/v1/tracks/1xK59OXxi2TAAAbmZK0kBL</t>
  </si>
  <si>
    <t>spotify:track:1xK59OXxi2TAAAbmZK0kBL</t>
  </si>
  <si>
    <t>Romantic Homicide</t>
  </si>
  <si>
    <t>https://api.spotify.com/v1/audio-analysis/1xK59OXxi2TAAAbmZK0kBL</t>
  </si>
  <si>
    <t>1xK59OXxi2TAAAbmZK0kBL</t>
  </si>
  <si>
    <t>0.00805</t>
  </si>
  <si>
    <t>4B3FsNFguOEJ4TWEsct83B</t>
  </si>
  <si>
    <t>0.453</t>
  </si>
  <si>
    <t>0.854</t>
  </si>
  <si>
    <t>LISA, ROSAL√çA</t>
  </si>
  <si>
    <t>https://api.spotify.com/v1/tracks/7ov3TDp5D00Rnu5R1viX4w</t>
  </si>
  <si>
    <t>spotify:track:7ov3TDp5D00Rnu5R1viX4w</t>
  </si>
  <si>
    <t>New Woman (feat. ROSAL√çA)</t>
  </si>
  <si>
    <t>https://api.spotify.com/v1/audio-analysis/7ov3TDp5D00Rnu5R1viX4w</t>
  </si>
  <si>
    <t>7ov3TDp5D00Rnu5R1viX4w</t>
  </si>
  <si>
    <t>2ha4ucrONN0cihLMkP02Ch</t>
  </si>
  <si>
    <t>0.0826</t>
  </si>
  <si>
    <t>Artemas</t>
  </si>
  <si>
    <t>0.0447</t>
  </si>
  <si>
    <t>https://api.spotify.com/v1/tracks/2GxrNKugF82CnoRFbQfzPf</t>
  </si>
  <si>
    <t>spotify:track:2GxrNKugF82CnoRFbQfzPf</t>
  </si>
  <si>
    <t>i like the way you kiss me</t>
  </si>
  <si>
    <t>https://api.spotify.com/v1/audio-analysis/2GxrNKugF82CnoRFbQfzPf</t>
  </si>
  <si>
    <t>2GxrNKugF82CnoRFbQfzPf</t>
  </si>
  <si>
    <t>0.0106</t>
  </si>
  <si>
    <t>5HIWDdg3g9CTOtnevKDl1z</t>
  </si>
  <si>
    <t>0.000938</t>
  </si>
  <si>
    <t>0.0658</t>
  </si>
  <si>
    <t>Lil Tecca</t>
  </si>
  <si>
    <t>https://api.spotify.com/v1/tracks/1lOe9qE0vR9zwWQAOk6CoO</t>
  </si>
  <si>
    <t>spotify:track:1lOe9qE0vR9zwWQAOk6CoO</t>
  </si>
  <si>
    <t>We Love You Tecca</t>
  </si>
  <si>
    <t>https://api.spotify.com/v1/audio-analysis/1lOe9qE0vR9zwWQAOk6CoO</t>
  </si>
  <si>
    <t>1lOe9qE0vR9zwWQAOk6CoO</t>
  </si>
  <si>
    <t>Ransom</t>
  </si>
  <si>
    <t>1I6FpscJIfwf4T56VxGVsB</t>
  </si>
  <si>
    <t>Odetari</t>
  </si>
  <si>
    <t>https://api.spotify.com/v1/tracks/2yR2sziCF4WEs3klW1F38d</t>
  </si>
  <si>
    <t>spotify:track:2yR2sziCF4WEs3klW1F38d</t>
  </si>
  <si>
    <t>KEEP UP // FROSTBITE</t>
  </si>
  <si>
    <t>https://api.spotify.com/v1/audio-analysis/2yR2sziCF4WEs3klW1F38d</t>
  </si>
  <si>
    <t>2yR2sziCF4WEs3klW1F38d</t>
  </si>
  <si>
    <t>KEEP UP</t>
  </si>
  <si>
    <t>0.00916</t>
  </si>
  <si>
    <t>526xuSD6c45Gb5hH4rN8RY</t>
  </si>
  <si>
    <t>0.0172</t>
  </si>
  <si>
    <t>https://api.spotify.com/v1/tracks/4Na2HfNSr58chvfX69fy36</t>
  </si>
  <si>
    <t>spotify:track:4Na2HfNSr58chvfX69fy36</t>
  </si>
  <si>
    <t>One of Wun</t>
  </si>
  <si>
    <t>https://api.spotify.com/v1/audio-analysis/4Na2HfNSr58chvfX69fy36</t>
  </si>
  <si>
    <t>4Na2HfNSr58chvfX69fy36</t>
  </si>
  <si>
    <t>one of wun</t>
  </si>
  <si>
    <t>0.000163</t>
  </si>
  <si>
    <t>7g0PJ7VbsOkYTECUFkyNPN</t>
  </si>
  <si>
    <t>0.0872</t>
  </si>
  <si>
    <t>HUGEL, Topic, Arash, Daecolm</t>
  </si>
  <si>
    <t>0.0462</t>
  </si>
  <si>
    <t>https://api.spotify.com/v1/tracks/5nPbKG04fhLkIAjcPFaZq7</t>
  </si>
  <si>
    <t>spotify:track:5nPbKG04fhLkIAjcPFaZq7</t>
  </si>
  <si>
    <t>I Adore You (feat. Daecolm)</t>
  </si>
  <si>
    <t>https://api.spotify.com/v1/audio-analysis/5nPbKG04fhLkIAjcPFaZq7</t>
  </si>
  <si>
    <t>5nPbKG04fhLkIAjcPFaZq7</t>
  </si>
  <si>
    <t>5MrdEMJrBnauBJsd1nYY00</t>
  </si>
  <si>
    <t>0.00926</t>
  </si>
  <si>
    <t>0.0972</t>
  </si>
  <si>
    <t>Lost Frequencies, Tom Odell</t>
  </si>
  <si>
    <t>0.0923</t>
  </si>
  <si>
    <t>https://api.spotify.com/v1/tracks/4MSj19TwYBLgDFj3ddEeco</t>
  </si>
  <si>
    <t>spotify:track:4MSj19TwYBLgDFj3ddEeco</t>
  </si>
  <si>
    <t>Black Friday (pretty like the sun)</t>
  </si>
  <si>
    <t>https://api.spotify.com/v1/audio-analysis/4MSj19TwYBLgDFj3ddEeco</t>
  </si>
  <si>
    <t>4MSj19TwYBLgDFj3ddEeco</t>
  </si>
  <si>
    <t>4CAe3r1nsTTAjGcWqGZbAr</t>
  </si>
  <si>
    <t>Taylor Swift</t>
  </si>
  <si>
    <t>https://api.spotify.com/v1/tracks/4q5YezDOIPcoLr8R81x9qy</t>
  </si>
  <si>
    <t>spotify:track:4q5YezDOIPcoLr8R81x9qy</t>
  </si>
  <si>
    <t>https://api.spotify.com/v1/audio-analysis/4q5YezDOIPcoLr8R81x9qy</t>
  </si>
  <si>
    <t>4q5YezDOIPcoLr8R81x9qy</t>
  </si>
  <si>
    <t>I Can Do It With a Broken Heart</t>
  </si>
  <si>
    <t>0.962</t>
  </si>
  <si>
    <t>Charli xcx</t>
  </si>
  <si>
    <t>https://api.spotify.com/v1/tracks/19RybK6XDbAVpcdxSbZL1o</t>
  </si>
  <si>
    <t>spotify:track:19RybK6XDbAVpcdxSbZL1o</t>
  </si>
  <si>
    <t>BRAT</t>
  </si>
  <si>
    <t>https://api.spotify.com/v1/audio-analysis/19RybK6XDbAVpcdxSbZL1o</t>
  </si>
  <si>
    <t>19RybK6XDbAVpcdxSbZL1o</t>
  </si>
  <si>
    <t>Apple</t>
  </si>
  <si>
    <t>2lIZef4lzdvZkiiCzvPKj7</t>
  </si>
  <si>
    <t>146.04</t>
  </si>
  <si>
    <t>XXXTENTACION</t>
  </si>
  <si>
    <t>https://api.spotify.com/v1/tracks/2ZRo7axmMPeSVUvDbGkJah</t>
  </si>
  <si>
    <t>spotify:track:2ZRo7axmMPeSVUvDbGkJah</t>
  </si>
  <si>
    <t>?</t>
  </si>
  <si>
    <t>https://api.spotify.com/v1/audio-analysis/2ZRo7axmMPeSVUvDbGkJah</t>
  </si>
  <si>
    <t>2ZRo7axmMPeSVUvDbGkJah</t>
  </si>
  <si>
    <t>Hope</t>
  </si>
  <si>
    <t>0.000331</t>
  </si>
  <si>
    <t>2Ti79nwTsont5ZHfdxIzAm</t>
  </si>
  <si>
    <t>Marshmello, Bastille</t>
  </si>
  <si>
    <t>https://api.spotify.com/v1/tracks/7BqHUALzNBTanL6OvsqmC1</t>
  </si>
  <si>
    <t>spotify:track:7BqHUALzNBTanL6OvsqmC1</t>
  </si>
  <si>
    <t>Happier</t>
  </si>
  <si>
    <t>https://api.spotify.com/v1/audio-analysis/7BqHUALzNBTanL6OvsqmC1</t>
  </si>
  <si>
    <t>7BqHUALzNBTanL6OvsqmC1</t>
  </si>
  <si>
    <t>2u4Yp2ADTKYPwFSBFL4ffa</t>
  </si>
  <si>
    <t>0.522</t>
  </si>
  <si>
    <t>89.96</t>
  </si>
  <si>
    <t>0.925</t>
  </si>
  <si>
    <t>Post Malone, Swae Lee</t>
  </si>
  <si>
    <t>https://api.spotify.com/v1/tracks/0RiRZpuVRbi7oqRdSMwhQY</t>
  </si>
  <si>
    <t>spotify:track:0RiRZpuVRbi7oqRdSMwhQY</t>
  </si>
  <si>
    <t>Hollywood's Bleeding</t>
  </si>
  <si>
    <t>https://api.spotify.com/v1/audio-analysis/0RiRZpuVRbi7oqRdSMwhQY</t>
  </si>
  <si>
    <t>0RiRZpuVRbi7oqRdSMwhQY</t>
  </si>
  <si>
    <t>Sunflower - Spider-Man: Into the Spider-Verse</t>
  </si>
  <si>
    <t>4g1ZRSobMefqF6nelkgibi</t>
  </si>
  <si>
    <t>https://api.spotify.com/v1/tracks/4rXLjWdF2ZZpXCVTfWcshS</t>
  </si>
  <si>
    <t>spotify:track:4rXLjWdF2ZZpXCVTfWcshS</t>
  </si>
  <si>
    <t>a Gift &amp; a Curse</t>
  </si>
  <si>
    <t>https://api.spotify.com/v1/audio-analysis/4rXLjWdF2ZZpXCVTfWcshS</t>
  </si>
  <si>
    <t>4rXLjWdF2ZZpXCVTfWcshS</t>
  </si>
  <si>
    <t>fukumean</t>
  </si>
  <si>
    <t>5qmZefgh78fN3jsyPPlvuw</t>
  </si>
  <si>
    <t>172.09</t>
  </si>
  <si>
    <t>21 Savage</t>
  </si>
  <si>
    <t>https://api.spotify.com/v1/tracks/52eIcoLUM25zbQupAZYoFh</t>
  </si>
  <si>
    <t>spotify:track:52eIcoLUM25zbQupAZYoFh</t>
  </si>
  <si>
    <t>https://api.spotify.com/v1/audio-analysis/52eIcoLUM25zbQupAZYoFh</t>
  </si>
  <si>
    <t>52eIcoLUM25zbQupAZYoFh</t>
  </si>
  <si>
    <t>redrum</t>
  </si>
  <si>
    <t>0.000983</t>
  </si>
  <si>
    <t>0.00598</t>
  </si>
  <si>
    <t>Future, Drake, Tems</t>
  </si>
  <si>
    <t>https://api.spotify.com/v1/tracks/59nOXPmaKlBfGMDeOVGrIK</t>
  </si>
  <si>
    <t>spotify:track:59nOXPmaKlBfGMDeOVGrIK</t>
  </si>
  <si>
    <t>https://api.spotify.com/v1/audio-analysis/59nOXPmaKlBfGMDeOVGrIK</t>
  </si>
  <si>
    <t>59nOXPmaKlBfGMDeOVGrIK</t>
  </si>
  <si>
    <t>WAIT FOR U (feat. Drake &amp; Tems)</t>
  </si>
  <si>
    <t>Marshmello, Kane Brown</t>
  </si>
  <si>
    <t>https://api.spotify.com/v1/tracks/4pkb8SbRGeHAvdb87v9rpf</t>
  </si>
  <si>
    <t>spotify:track:4pkb8SbRGeHAvdb87v9rpf</t>
  </si>
  <si>
    <t>Miles On It</t>
  </si>
  <si>
    <t>https://api.spotify.com/v1/audio-analysis/4pkb8SbRGeHAvdb87v9rpf</t>
  </si>
  <si>
    <t>4pkb8SbRGeHAvdb87v9rpf</t>
  </si>
  <si>
    <t>5gWV4yp27HCbXJ1YLe8hQM</t>
  </si>
  <si>
    <t>0.00537</t>
  </si>
  <si>
    <t>https://api.spotify.com/v1/tracks/0JP9xo3adEtGSdUEISiszL</t>
  </si>
  <si>
    <t>spotify:track:0JP9xo3adEtGSdUEISiszL</t>
  </si>
  <si>
    <t>https://api.spotify.com/v1/audio-analysis/0JP9xo3adEtGSdUEISiszL</t>
  </si>
  <si>
    <t>0JP9xo3adEtGSdUEISiszL</t>
  </si>
  <si>
    <t>Moonlight</t>
  </si>
  <si>
    <t>0.00404</t>
  </si>
  <si>
    <t>-5.26</t>
  </si>
  <si>
    <t>0.292</t>
  </si>
  <si>
    <t>Eminem, Juice WRLD</t>
  </si>
  <si>
    <t>https://api.spotify.com/v1/tracks/7FIWs0pqAYbP91WWM0vlTQ</t>
  </si>
  <si>
    <t>spotify:track:7FIWs0pqAYbP91WWM0vlTQ</t>
  </si>
  <si>
    <t>Music To Be Murdered By</t>
  </si>
  <si>
    <t>https://api.spotify.com/v1/audio-analysis/7FIWs0pqAYbP91WWM0vlTQ</t>
  </si>
  <si>
    <t>7FIWs0pqAYbP91WWM0vlTQ</t>
  </si>
  <si>
    <t>Godzilla (feat. Juice WRLD)</t>
  </si>
  <si>
    <t>4otkd9As6YaxxEkIjXPiZ6</t>
  </si>
  <si>
    <t>0.771</t>
  </si>
  <si>
    <t>Zerb, The Chainsmokers, Ink</t>
  </si>
  <si>
    <t>0.0374</t>
  </si>
  <si>
    <t>https://api.spotify.com/v1/tracks/5ZUIPLoTLJZrPQh2kFZEUM</t>
  </si>
  <si>
    <t>spotify:track:5ZUIPLoTLJZrPQh2kFZEUM</t>
  </si>
  <si>
    <t>Addicted</t>
  </si>
  <si>
    <t>https://api.spotify.com/v1/audio-analysis/5ZUIPLoTLJZrPQh2kFZEUM</t>
  </si>
  <si>
    <t>5ZUIPLoTLJZrPQh2kFZEUM</t>
  </si>
  <si>
    <t>7yO1vbedliKtwQ65jAjBQr</t>
  </si>
  <si>
    <t>0.0245</t>
  </si>
  <si>
    <t>https://api.spotify.com/v1/tracks/6EUcP55GlbmsmCzfL2vxtZ</t>
  </si>
  <si>
    <t>spotify:track:6EUcP55GlbmsmCzfL2vxtZ</t>
  </si>
  <si>
    <t>https://api.spotify.com/v1/audio-analysis/6EUcP55GlbmsmCzfL2vxtZ</t>
  </si>
  <si>
    <t>6EUcP55GlbmsmCzfL2vxtZ</t>
  </si>
  <si>
    <t>on one tonight</t>
  </si>
  <si>
    <t>1.16e-06</t>
  </si>
  <si>
    <t>0.95</t>
  </si>
  <si>
    <t>Dimitri Vegas &amp; Like Mike, Ti√´sto, Dido, W&amp;W, Dimitri Vegas, Like Mike</t>
  </si>
  <si>
    <t>https://api.spotify.com/v1/tracks/09CnYHiZ5jGT1wr1TXJ9Zt</t>
  </si>
  <si>
    <t>spotify:track:09CnYHiZ5jGT1wr1TXJ9Zt</t>
  </si>
  <si>
    <t>Thank You (Not So Bad)</t>
  </si>
  <si>
    <t>https://api.spotify.com/v1/audio-analysis/09CnYHiZ5jGT1wr1TXJ9Zt</t>
  </si>
  <si>
    <t>09CnYHiZ5jGT1wr1TXJ9Zt</t>
  </si>
  <si>
    <t>0.0823</t>
  </si>
  <si>
    <t>1J7XItLnNLegigdh4AjGKN</t>
  </si>
  <si>
    <t>0.0229</t>
  </si>
  <si>
    <t>-8.13</t>
  </si>
  <si>
    <t>https://api.spotify.com/v1/tracks/4w2GLmK2wnioVnb5CPQeex</t>
  </si>
  <si>
    <t>spotify:track:4w2GLmK2wnioVnb5CPQeex</t>
  </si>
  <si>
    <t>https://api.spotify.com/v1/audio-analysis/4w2GLmK2wnioVnb5CPQeex</t>
  </si>
  <si>
    <t>4w2GLmK2wnioVnb5CPQeex</t>
  </si>
  <si>
    <t>-2.76</t>
  </si>
  <si>
    <t>0.0582</t>
  </si>
  <si>
    <t>Eminem</t>
  </si>
  <si>
    <t>https://api.spotify.com/v1/tracks/2HYFX63wP3otVIvopRS99Z</t>
  </si>
  <si>
    <t>spotify:track:2HYFX63wP3otVIvopRS99Z</t>
  </si>
  <si>
    <t>Houdini</t>
  </si>
  <si>
    <t>https://api.spotify.com/v1/audio-analysis/2HYFX63wP3otVIvopRS99Z</t>
  </si>
  <si>
    <t>2HYFX63wP3otVIvopRS99Z</t>
  </si>
  <si>
    <t>1.88e-06</t>
  </si>
  <si>
    <t>6Xuu2z00jxRPZei4IJ9neK</t>
  </si>
  <si>
    <t>Roddy Ricch</t>
  </si>
  <si>
    <t>https://api.spotify.com/v1/tracks/0nbXyq5TXYPCO7pr3N8S4I</t>
  </si>
  <si>
    <t>spotify:track:0nbXyq5TXYPCO7pr3N8S4I</t>
  </si>
  <si>
    <t>Please Excuse Me for Being Antisocial</t>
  </si>
  <si>
    <t>https://api.spotify.com/v1/audio-analysis/0nbXyq5TXYPCO7pr3N8S4I</t>
  </si>
  <si>
    <t>0nbXyq5TXYPCO7pr3N8S4I</t>
  </si>
  <si>
    <t>The Box</t>
  </si>
  <si>
    <t>52u4anZbHd6UInnmHRFzba</t>
  </si>
  <si>
    <t>0.558</t>
  </si>
  <si>
    <t>0.0937</t>
  </si>
  <si>
    <t>Jack Harlow</t>
  </si>
  <si>
    <t>https://api.spotify.com/v1/tracks/4xhsWYTOGcal8zt0J161CU</t>
  </si>
  <si>
    <t>spotify:track:4xhsWYTOGcal8zt0J161CU</t>
  </si>
  <si>
    <t>Lovin On Me</t>
  </si>
  <si>
    <t>https://api.spotify.com/v1/audio-analysis/4xhsWYTOGcal8zt0J161CU</t>
  </si>
  <si>
    <t>4xhsWYTOGcal8zt0J161CU</t>
  </si>
  <si>
    <t>2.19e-06</t>
  </si>
  <si>
    <t>6VCO0fDBGbRW8mCEvV95af</t>
  </si>
  <si>
    <t>0.0026</t>
  </si>
  <si>
    <t>0.401</t>
  </si>
  <si>
    <t>https://api.spotify.com/v1/tracks/7GX5flRQZVHRAGd6B4TmDO</t>
  </si>
  <si>
    <t>spotify:track:7GX5flRQZVHRAGd6B4TmDO</t>
  </si>
  <si>
    <t>Luv Is Rage 2</t>
  </si>
  <si>
    <t>https://api.spotify.com/v1/audio-analysis/7GX5flRQZVHRAGd6B4TmDO</t>
  </si>
  <si>
    <t>7GX5flRQZVHRAGd6B4TmDO</t>
  </si>
  <si>
    <t>XO Tour Llif3</t>
  </si>
  <si>
    <t>733e1ZfktLSwj96X5rsMeE</t>
  </si>
  <si>
    <t>0.00264</t>
  </si>
  <si>
    <t>Lost Frequencies, Calum Scott</t>
  </si>
  <si>
    <t>0.085</t>
  </si>
  <si>
    <t>https://api.spotify.com/v1/tracks/3mfER4ORePHvN35cbZ3dkV</t>
  </si>
  <si>
    <t>spotify:track:3mfER4ORePHvN35cbZ3dkV</t>
  </si>
  <si>
    <t>All Stand Together</t>
  </si>
  <si>
    <t>https://api.spotify.com/v1/audio-analysis/3mfER4ORePHvN35cbZ3dkV</t>
  </si>
  <si>
    <t>3mfER4ORePHvN35cbZ3dkV</t>
  </si>
  <si>
    <t>Where Are You Now</t>
  </si>
  <si>
    <t>0.000205</t>
  </si>
  <si>
    <t>6Kk0U3JRoniLtiSjypjEVL</t>
  </si>
  <si>
    <t>Sleepy Hallow</t>
  </si>
  <si>
    <t>https://api.spotify.com/v1/tracks/4XvcHTUfIlWfyJTRG0aqlo</t>
  </si>
  <si>
    <t>spotify:track:4XvcHTUfIlWfyJTRG0aqlo</t>
  </si>
  <si>
    <t>Still Sleep?</t>
  </si>
  <si>
    <t>https://api.spotify.com/v1/audio-analysis/4XvcHTUfIlWfyJTRG0aqlo</t>
  </si>
  <si>
    <t>4XvcHTUfIlWfyJTRG0aqlo</t>
  </si>
  <si>
    <t>38nZLvJx8A9p4YYpTG5iFP</t>
  </si>
  <si>
    <t>24kGoldn, iann dior</t>
  </si>
  <si>
    <t>https://api.spotify.com/v1/tracks/4jPy3l0RUwlUI9T5XHBW2m</t>
  </si>
  <si>
    <t>spotify:track:4jPy3l0RUwlUI9T5XHBW2m</t>
  </si>
  <si>
    <t>El Dorado</t>
  </si>
  <si>
    <t>https://api.spotify.com/v1/audio-analysis/4jPy3l0RUwlUI9T5XHBW2m</t>
  </si>
  <si>
    <t>4jPy3l0RUwlUI9T5XHBW2m</t>
  </si>
  <si>
    <t>Mood (feat. iann dior)</t>
  </si>
  <si>
    <t>270o30h7cAlEhBnbuSpFZq</t>
  </si>
  <si>
    <t>0.0978</t>
  </si>
  <si>
    <t>Eternxlkz</t>
  </si>
  <si>
    <t>0.0345</t>
  </si>
  <si>
    <t>https://api.spotify.com/v1/tracks/67smGwuPEtA6GAfeweAVNO</t>
  </si>
  <si>
    <t>spotify:track:67smGwuPEtA6GAfeweAVNO</t>
  </si>
  <si>
    <t>SLAY!</t>
  </si>
  <si>
    <t>https://api.spotify.com/v1/audio-analysis/67smGwuPEtA6GAfeweAVNO</t>
  </si>
  <si>
    <t>67smGwuPEtA6GAfeweAVNO</t>
  </si>
  <si>
    <t>3xCc8FxQsm6AE7ZWJ7h5sx</t>
  </si>
  <si>
    <t>Disclosure, Eliza Doolittle, Rivo</t>
  </si>
  <si>
    <t>https://api.spotify.com/v1/tracks/0xoYZ45fgTfyQYREZPN7Sa</t>
  </si>
  <si>
    <t>spotify:track:0xoYZ45fgTfyQYREZPN7Sa</t>
  </si>
  <si>
    <t>You &amp; Me (Rivo Remix)</t>
  </si>
  <si>
    <t>https://api.spotify.com/v1/audio-analysis/0xoYZ45fgTfyQYREZPN7Sa</t>
  </si>
  <si>
    <t>0xoYZ45fgTfyQYREZPN7Sa</t>
  </si>
  <si>
    <t>You &amp; Me - Rivo Remix</t>
  </si>
  <si>
    <t>3QIGpfgWXKujfMaecgKV9u</t>
  </si>
  <si>
    <t>Dave, Central Cee</t>
  </si>
  <si>
    <t>https://api.spotify.com/v1/tracks/2FDTHlrBguDzQkp7PVj16Q</t>
  </si>
  <si>
    <t>spotify:track:2FDTHlrBguDzQkp7PVj16Q</t>
  </si>
  <si>
    <t>Sprinter</t>
  </si>
  <si>
    <t>https://api.spotify.com/v1/audio-analysis/2FDTHlrBguDzQkp7PVj16Q</t>
  </si>
  <si>
    <t>2FDTHlrBguDzQkp7PVj16Q</t>
  </si>
  <si>
    <t>5l0QlaI3wdZpE7ggoO5Rwg</t>
  </si>
  <si>
    <t>Sonny Fodera, Jazzy, D.O.D</t>
  </si>
  <si>
    <t>0.0298</t>
  </si>
  <si>
    <t>https://api.spotify.com/v1/tracks/3wo3d0I5H8KjkwGvnz8WbB</t>
  </si>
  <si>
    <t>spotify:track:3wo3d0I5H8KjkwGvnz8WbB</t>
  </si>
  <si>
    <t>Somedays</t>
  </si>
  <si>
    <t>https://api.spotify.com/v1/audio-analysis/3wo3d0I5H8KjkwGvnz8WbB</t>
  </si>
  <si>
    <t>3wo3d0I5H8KjkwGvnz8WbB</t>
  </si>
  <si>
    <t>1.29e-05</t>
  </si>
  <si>
    <t>54R5dT9BWKnR2RX9gOFzDK</t>
  </si>
  <si>
    <t>Jungle</t>
  </si>
  <si>
    <t>https://api.spotify.com/v1/tracks/19kHhX6f6EfLU7rcO3RqjO</t>
  </si>
  <si>
    <t>spotify:track:19kHhX6f6EfLU7rcO3RqjO</t>
  </si>
  <si>
    <t>Volcano</t>
  </si>
  <si>
    <t>https://api.spotify.com/v1/audio-analysis/19kHhX6f6EfLU7rcO3RqjO</t>
  </si>
  <si>
    <t>19kHhX6f6EfLU7rcO3RqjO</t>
  </si>
  <si>
    <t>Back On 74</t>
  </si>
  <si>
    <t>5xnXOCf5aZgZ43DgGN4EDv</t>
  </si>
  <si>
    <t>Tommy Richman</t>
  </si>
  <si>
    <t>https://api.spotify.com/v1/tracks/6jlG8gBPNAgBgoivw2Ig09</t>
  </si>
  <si>
    <t>spotify:track:6jlG8gBPNAgBgoivw2Ig09</t>
  </si>
  <si>
    <t>DEVIL IS A LIE</t>
  </si>
  <si>
    <t>https://api.spotify.com/v1/audio-analysis/6jlG8gBPNAgBgoivw2Ig09</t>
  </si>
  <si>
    <t>6jlG8gBPNAgBgoivw2Ig09</t>
  </si>
  <si>
    <t>4WvcBQIZXspq4MYyEPNem2</t>
  </si>
  <si>
    <t>96.02</t>
  </si>
  <si>
    <t>0.803</t>
  </si>
  <si>
    <t>0.0928</t>
  </si>
  <si>
    <t>Bryson Tiller</t>
  </si>
  <si>
    <t>0.066</t>
  </si>
  <si>
    <t>https://api.spotify.com/v1/tracks/57wp7VFnV8X0pSVnYArGeJ</t>
  </si>
  <si>
    <t>spotify:track:57wp7VFnV8X0pSVnYArGeJ</t>
  </si>
  <si>
    <t>Whatever She Wants</t>
  </si>
  <si>
    <t>https://api.spotify.com/v1/audio-analysis/57wp7VFnV8X0pSVnYArGeJ</t>
  </si>
  <si>
    <t>57wp7VFnV8X0pSVnYArGeJ</t>
  </si>
  <si>
    <t>60s0PMYFJhe34io9HuyUXf</t>
  </si>
  <si>
    <t>0.084</t>
  </si>
  <si>
    <t>https://api.spotify.com/v1/tracks/77DRzu7ERs0TX3roZcre7Q</t>
  </si>
  <si>
    <t>spotify:track:77DRzu7ERs0TX3roZcre7Q</t>
  </si>
  <si>
    <t>euphoria</t>
  </si>
  <si>
    <t>https://api.spotify.com/v1/audio-analysis/77DRzu7ERs0TX3roZcre7Q</t>
  </si>
  <si>
    <t>77DRzu7ERs0TX3roZcre7Q</t>
  </si>
  <si>
    <t>32bR4LcEc1PvJEhaKoo4ZN</t>
  </si>
  <si>
    <t>0.046</t>
  </si>
  <si>
    <t>0.83</t>
  </si>
  <si>
    <t>-8.78</t>
  </si>
  <si>
    <t>Creeds</t>
  </si>
  <si>
    <t>0.206</t>
  </si>
  <si>
    <t>https://api.spotify.com/v1/tracks/3AjSfp5FDvwtMU9XBsbS8j</t>
  </si>
  <si>
    <t>spotify:track:3AjSfp5FDvwtMU9XBsbS8j</t>
  </si>
  <si>
    <t>Push Up (Main Edit)</t>
  </si>
  <si>
    <t>https://api.spotify.com/v1/audio-analysis/3AjSfp5FDvwtMU9XBsbS8j</t>
  </si>
  <si>
    <t>3AjSfp5FDvwtMU9XBsbS8j</t>
  </si>
  <si>
    <t>Push Up - Main Edit</t>
  </si>
  <si>
    <t>3v5BP6gPT1nNU9rjs57fF0</t>
  </si>
  <si>
    <t>Kenya Grace</t>
  </si>
  <si>
    <t>0.0946</t>
  </si>
  <si>
    <t>https://api.spotify.com/v1/tracks/5mjYQaktjmjcMKcUIcqz4s</t>
  </si>
  <si>
    <t>spotify:track:5mjYQaktjmjcMKcUIcqz4s</t>
  </si>
  <si>
    <t>Strangers</t>
  </si>
  <si>
    <t>https://api.spotify.com/v1/audio-analysis/5mjYQaktjmjcMKcUIcqz4s</t>
  </si>
  <si>
    <t>5mjYQaktjmjcMKcUIcqz4s</t>
  </si>
  <si>
    <t>0.00274</t>
  </si>
  <si>
    <t>18ogtNq9F7DmMkNYO6Xb4k</t>
  </si>
  <si>
    <t>-0.959</t>
  </si>
  <si>
    <t>Chase &amp; Status, Stormzy</t>
  </si>
  <si>
    <t>https://api.spotify.com/v1/tracks/3HrHhTWonBqF4mDasi8xvC</t>
  </si>
  <si>
    <t>spotify:track:3HrHhTWonBqF4mDasi8xvC</t>
  </si>
  <si>
    <t>BACKBONE</t>
  </si>
  <si>
    <t>https://api.spotify.com/v1/audio-analysis/3HrHhTWonBqF4mDasi8xvC</t>
  </si>
  <si>
    <t>3HrHhTWonBqF4mDasi8xvC</t>
  </si>
  <si>
    <t>3.86e-05</t>
  </si>
  <si>
    <t>364RGa8yL2ZsIWlLoNSzIY</t>
  </si>
  <si>
    <t>0.0567</t>
  </si>
  <si>
    <t>xxanteria, isq</t>
  </si>
  <si>
    <t>0.0645</t>
  </si>
  <si>
    <t>https://api.spotify.com/v1/tracks/4VL5XwfATZuAVTW471Wpro</t>
  </si>
  <si>
    <t>spotify:track:4VL5XwfATZuAVTW471Wpro</t>
  </si>
  <si>
    <t>FUNKED UP</t>
  </si>
  <si>
    <t>https://api.spotify.com/v1/audio-analysis/4VL5XwfATZuAVTW471Wpro</t>
  </si>
  <si>
    <t>4VL5XwfATZuAVTW471Wpro</t>
  </si>
  <si>
    <t>FUNKED UP - SLOWED</t>
  </si>
  <si>
    <t>4FRxgE6LA2UGJ5yz8diaI9</t>
  </si>
  <si>
    <t>0.00288</t>
  </si>
  <si>
    <t>LXNGVX</t>
  </si>
  <si>
    <t>https://api.spotify.com/v1/tracks/7vOmSP2647oNUGGEhWd1cr</t>
  </si>
  <si>
    <t>spotify:track:7vOmSP2647oNUGGEhWd1cr</t>
  </si>
  <si>
    <t>Montagem Mysterious Game</t>
  </si>
  <si>
    <t>https://api.spotify.com/v1/audio-analysis/7vOmSP2647oNUGGEhWd1cr</t>
  </si>
  <si>
    <t>7vOmSP2647oNUGGEhWd1cr</t>
  </si>
  <si>
    <t>1l8if9zQ8F0MEHVWYrMREe</t>
  </si>
  <si>
    <t>CURSEDEVIL, DJ FKU, Skorde</t>
  </si>
  <si>
    <t>https://api.spotify.com/v1/tracks/7bxyNLXYaEYaZTxAuQTHlD</t>
  </si>
  <si>
    <t>spotify:track:7bxyNLXYaEYaZTxAuQTHlD</t>
  </si>
  <si>
    <t>TUCA DONKA</t>
  </si>
  <si>
    <t>https://api.spotify.com/v1/audio-analysis/7bxyNLXYaEYaZTxAuQTHlD</t>
  </si>
  <si>
    <t>7bxyNLXYaEYaZTxAuQTHlD</t>
  </si>
  <si>
    <t>27XmqsKeLyr5jDURAordcd</t>
  </si>
  <si>
    <t>Doja Cat</t>
  </si>
  <si>
    <t>https://api.spotify.com/v1/tracks/56y1jOTK0XSvJzVv9vHQBK</t>
  </si>
  <si>
    <t>spotify:track:56y1jOTK0XSvJzVv9vHQBK</t>
  </si>
  <si>
    <t>Scarlet</t>
  </si>
  <si>
    <t>https://api.spotify.com/v1/audio-analysis/56y1jOTK0XSvJzVv9vHQBK</t>
  </si>
  <si>
    <t>56y1jOTK0XSvJzVv9vHQBK</t>
  </si>
  <si>
    <t>Paint The Town Red</t>
  </si>
  <si>
    <t>3.85e-06</t>
  </si>
  <si>
    <t>1bBez9PNvkJPW08bU7NYta</t>
  </si>
  <si>
    <t>S3BZS, Mc Gw, Mc Menor Do Alvorada</t>
  </si>
  <si>
    <t>https://api.spotify.com/v1/tracks/6njJR3OIp3oA0Kc4aC9Tzf</t>
  </si>
  <si>
    <t>spotify:track:6njJR3OIp3oA0Kc4aC9Tzf</t>
  </si>
  <si>
    <t>MONTAGEM - PR FUNK</t>
  </si>
  <si>
    <t>https://api.spotify.com/v1/audio-analysis/6njJR3OIp3oA0Kc4aC9Tzf</t>
  </si>
  <si>
    <t>6njJR3OIp3oA0Kc4aC9Tzf</t>
  </si>
  <si>
    <t>0.056</t>
  </si>
  <si>
    <t>2HuMAoXpr6HDryNHipbCpB</t>
  </si>
  <si>
    <t>140.04</t>
  </si>
  <si>
    <t>-7.43</t>
  </si>
  <si>
    <t>0.972</t>
  </si>
  <si>
    <t>0.288</t>
  </si>
  <si>
    <t>https://api.spotify.com/v1/tracks/3LtpKP5abr2qqjunvjlX5i</t>
  </si>
  <si>
    <t>spotify:track:3LtpKP5abr2qqjunvjlX5i</t>
  </si>
  <si>
    <t>Doja</t>
  </si>
  <si>
    <t>https://api.spotify.com/v1/audio-analysis/3LtpKP5abr2qqjunvjlX5i</t>
  </si>
  <si>
    <t>3LtpKP5abr2qqjunvjlX5i</t>
  </si>
  <si>
    <t>6oECjagksATHu2UaclXrq1</t>
  </si>
  <si>
    <t>0.049</t>
  </si>
  <si>
    <t>Gotye, FISHER, Chris Lake, Kimbra, Sante Sansone</t>
  </si>
  <si>
    <t>0.0424</t>
  </si>
  <si>
    <t>https://api.spotify.com/v1/tracks/0agQ9vIV7NP4dntGKLcCXO</t>
  </si>
  <si>
    <t>spotify:track:0agQ9vIV7NP4dntGKLcCXO</t>
  </si>
  <si>
    <t>Somebody (2024)</t>
  </si>
  <si>
    <t>https://api.spotify.com/v1/audio-analysis/0agQ9vIV7NP4dntGKLcCXO</t>
  </si>
  <si>
    <t>0agQ9vIV7NP4dntGKLcCXO</t>
  </si>
  <si>
    <t>5eKQYtDqVmrHPZoKHG1LlH</t>
  </si>
  <si>
    <t>0.016</t>
  </si>
  <si>
    <t>-5.69</t>
  </si>
  <si>
    <t>Kygo, Ava Max</t>
  </si>
  <si>
    <t>0.0655</t>
  </si>
  <si>
    <t>https://api.spotify.com/v1/tracks/0LMwmV37RCmBO2so0szAFs</t>
  </si>
  <si>
    <t>spotify:track:0LMwmV37RCmBO2so0szAFs</t>
  </si>
  <si>
    <t>Whatever</t>
  </si>
  <si>
    <t>https://api.spotify.com/v1/audio-analysis/0LMwmV37RCmBO2so0szAFs</t>
  </si>
  <si>
    <t>0LMwmV37RCmBO2so0szAFs</t>
  </si>
  <si>
    <t>2DoFm78vsYw31kJRzvIP4l</t>
  </si>
  <si>
    <t>Rich Amiri</t>
  </si>
  <si>
    <t>https://api.spotify.com/v1/tracks/69phA1R4gmQsBFRQ3INW8C</t>
  </si>
  <si>
    <t>spotify:track:69phA1R4gmQsBFRQ3INW8C</t>
  </si>
  <si>
    <t>Ghetto Fabulous</t>
  </si>
  <si>
    <t>https://api.spotify.com/v1/audio-analysis/69phA1R4gmQsBFRQ3INW8C</t>
  </si>
  <si>
    <t>69phA1R4gmQsBFRQ3INW8C</t>
  </si>
  <si>
    <t>ONE CALL</t>
  </si>
  <si>
    <t>2D1j7mjB55lvygjMmYgTYT</t>
  </si>
  <si>
    <t>0.00617</t>
  </si>
  <si>
    <t>Drake, Yeat</t>
  </si>
  <si>
    <t>https://api.spotify.com/v1/tracks/2YSzYUF3jWqb9YP9VXmpjE</t>
  </si>
  <si>
    <t>spotify:track:2YSzYUF3jWqb9YP9VXmpjE</t>
  </si>
  <si>
    <t>For All The Dogs</t>
  </si>
  <si>
    <t>https://api.spotify.com/v1/audio-analysis/2YSzYUF3jWqb9YP9VXmpjE</t>
  </si>
  <si>
    <t>2YSzYUF3jWqb9YP9VXmpjE</t>
  </si>
  <si>
    <t>IDGAF (feat. Yeat)</t>
  </si>
  <si>
    <t>0.000284</t>
  </si>
  <si>
    <t>4czdORdCWP9umpbhFXK2fW</t>
  </si>
  <si>
    <t>0.818</t>
  </si>
  <si>
    <t>Alok, Ella Eyre, Kenny Dope, Never Dull</t>
  </si>
  <si>
    <t>0.0778</t>
  </si>
  <si>
    <t>https://api.spotify.com/v1/tracks/7MIhUdNJtaOnDmC5nBC1fb</t>
  </si>
  <si>
    <t>spotify:track:7MIhUdNJtaOnDmC5nBC1fb</t>
  </si>
  <si>
    <t>Deep Down (feat. Never Dull)</t>
  </si>
  <si>
    <t>https://api.spotify.com/v1/audio-analysis/7MIhUdNJtaOnDmC5nBC1fb</t>
  </si>
  <si>
    <t>7MIhUdNJtaOnDmC5nBC1fb</t>
  </si>
  <si>
    <t>3KpxpdySrMR2S7noneu1bI</t>
  </si>
  <si>
    <t>0.0112</t>
  </si>
  <si>
    <t>123.01</t>
  </si>
  <si>
    <t>https://api.spotify.com/v1/tracks/5PyDJG7SQRgWXefgexqIge</t>
  </si>
  <si>
    <t>spotify:track:5PyDJG7SQRgWXefgexqIge</t>
  </si>
  <si>
    <t>https://api.spotify.com/v1/audio-analysis/5PyDJG7SQRgWXefgexqIge</t>
  </si>
  <si>
    <t>5PyDJG7SQRgWXefgexqIge</t>
  </si>
  <si>
    <t>Agora Hills</t>
  </si>
  <si>
    <t>0.000177</t>
  </si>
  <si>
    <t>-2.12</t>
  </si>
  <si>
    <t>Dyan Dxddy</t>
  </si>
  <si>
    <t>https://api.spotify.com/v1/tracks/06PqeO7IInus2yvzsZwZhf</t>
  </si>
  <si>
    <t>spotify:track:06PqeO7IInus2yvzsZwZhf</t>
  </si>
  <si>
    <t>CUTE DEPRESSED</t>
  </si>
  <si>
    <t>https://api.spotify.com/v1/audio-analysis/06PqeO7IInus2yvzsZwZhf</t>
  </si>
  <si>
    <t>06PqeO7IInus2yvzsZwZhf</t>
  </si>
  <si>
    <t>5qaY84OJqYT635rMGeWBzJ</t>
  </si>
  <si>
    <t>0.738</t>
  </si>
  <si>
    <t>130.0</t>
  </si>
  <si>
    <t>https://api.spotify.com/v1/tracks/2V3hsJU3bTOATih0Fm4aDp</t>
  </si>
  <si>
    <t>spotify:track:2V3hsJU3bTOATih0Fm4aDp</t>
  </si>
  <si>
    <t>BRODYAGA FUNK</t>
  </si>
  <si>
    <t>https://api.spotify.com/v1/audio-analysis/2V3hsJU3bTOATih0Fm4aDp</t>
  </si>
  <si>
    <t>2V3hsJU3bTOATih0Fm4aDp</t>
  </si>
  <si>
    <t>0.968</t>
  </si>
  <si>
    <t>7EWDvEG6vKIjTBk3rGMtP0</t>
  </si>
  <si>
    <t>-6.16</t>
  </si>
  <si>
    <t>ZWE1HVNDXR, yatashigang</t>
  </si>
  <si>
    <t>https://api.spotify.com/v1/tracks/0EqczV3o6fwksegAavIHpX</t>
  </si>
  <si>
    <t>spotify:track:0EqczV3o6fwksegAavIHpX</t>
  </si>
  <si>
    <t>LOVELY BASTARDS</t>
  </si>
  <si>
    <t>https://api.spotify.com/v1/audio-analysis/0EqczV3o6fwksegAavIHpX</t>
  </si>
  <si>
    <t>0EqczV3o6fwksegAavIHpX</t>
  </si>
  <si>
    <t>2b3Kiolsu42XiVvhRmTEsM</t>
  </si>
  <si>
    <t>0.967</t>
  </si>
  <si>
    <t>Marnik, Naeleck, VINAI</t>
  </si>
  <si>
    <t>0.0485</t>
  </si>
  <si>
    <t>https://api.spotify.com/v1/tracks/17NHXI2CJp7KgdcwcDnRx4</t>
  </si>
  <si>
    <t>spotify:track:17NHXI2CJp7KgdcwcDnRx4</t>
  </si>
  <si>
    <t>Boyz In Paris (with VINAI)</t>
  </si>
  <si>
    <t>https://api.spotify.com/v1/audio-analysis/17NHXI2CJp7KgdcwcDnRx4</t>
  </si>
  <si>
    <t>17NHXI2CJp7KgdcwcDnRx4</t>
  </si>
  <si>
    <t>4.67e-05</t>
  </si>
  <si>
    <t>3FrWieInAhMTL33yALP6H0</t>
  </si>
  <si>
    <t>-7.18</t>
  </si>
  <si>
    <t>Lil Uzi Vert, sped up nightcore, ARIZONATEARS</t>
  </si>
  <si>
    <t>0.0386</t>
  </si>
  <si>
    <t>https://api.spotify.com/v1/tracks/0FA4wrjDJvJTTU8AepZTup</t>
  </si>
  <si>
    <t>spotify:track:0FA4wrjDJvJTTU8AepZTup</t>
  </si>
  <si>
    <t>Watch This (ARIZONATEARS Pluggnb Remix)</t>
  </si>
  <si>
    <t>https://api.spotify.com/v1/audio-analysis/0FA4wrjDJvJTTU8AepZTup</t>
  </si>
  <si>
    <t>0FA4wrjDJvJTTU8AepZTup</t>
  </si>
  <si>
    <t>Watch This - ARIZONATEARS Pluggnb Remix</t>
  </si>
  <si>
    <t>3VvPLpCZR5viLBFTbzm6E1</t>
  </si>
  <si>
    <t>0.0103</t>
  </si>
  <si>
    <t>Ti√´sto, Tate McRae</t>
  </si>
  <si>
    <t>0.097</t>
  </si>
  <si>
    <t>https://api.spotify.com/v1/tracks/36gcliMRX1vCpgnrZE3dFZ</t>
  </si>
  <si>
    <t>spotify:track:36gcliMRX1vCpgnrZE3dFZ</t>
  </si>
  <si>
    <t>DRIVE</t>
  </si>
  <si>
    <t>https://api.spotify.com/v1/audio-analysis/36gcliMRX1vCpgnrZE3dFZ</t>
  </si>
  <si>
    <t>36gcliMRX1vCpgnrZE3dFZ</t>
  </si>
  <si>
    <t>1Pl9ZGXwayXPg5qRVpYo74</t>
  </si>
  <si>
    <t>0.0598</t>
  </si>
  <si>
    <t>PAWSA</t>
  </si>
  <si>
    <t>https://api.spotify.com/v1/tracks/6KqM3xmPIDonsTjCSGrrr5</t>
  </si>
  <si>
    <t>spotify:track:6KqM3xmPIDonsTjCSGrrr5</t>
  </si>
  <si>
    <t>TOO COOL TO BE CARELESS</t>
  </si>
  <si>
    <t>https://api.spotify.com/v1/audio-analysis/6KqM3xmPIDonsTjCSGrrr5</t>
  </si>
  <si>
    <t>6KqM3xmPIDonsTjCSGrrr5</t>
  </si>
  <si>
    <t>0.302</t>
  </si>
  <si>
    <t>17zk2lz0xesn8Y4YncohZa</t>
  </si>
  <si>
    <t>Bibi Babydoll, Dj Brunin XM, KZA Produ√ß√µes</t>
  </si>
  <si>
    <t>https://api.spotify.com/v1/tracks/2JIzOc3HHo4MhiyZzhpBUV</t>
  </si>
  <si>
    <t>spotify:track:2JIzOc3HHo4MhiyZzhpBUV</t>
  </si>
  <si>
    <t>Automotivo Bibi Fogosa</t>
  </si>
  <si>
    <t>https://api.spotify.com/v1/audio-analysis/2JIzOc3HHo4MhiyZzhpBUV</t>
  </si>
  <si>
    <t>2JIzOc3HHo4MhiyZzhpBUV</t>
  </si>
  <si>
    <t>2.11e-06</t>
  </si>
  <si>
    <t>5YHGz0NvgBlhKefmyhP9zO</t>
  </si>
  <si>
    <t>Imagine Dragons</t>
  </si>
  <si>
    <t>https://api.spotify.com/v1/tracks/0HqZX76SFLDz2aW8aiqi7G</t>
  </si>
  <si>
    <t>spotify:track:0HqZX76SFLDz2aW8aiqi7G</t>
  </si>
  <si>
    <t>Bones</t>
  </si>
  <si>
    <t>https://api.spotify.com/v1/audio-analysis/0HqZX76SFLDz2aW8aiqi7G</t>
  </si>
  <si>
    <t>0HqZX76SFLDz2aW8aiqi7G</t>
  </si>
  <si>
    <t>1Q9SnHWPNEjVM0LrBFvJ1q</t>
  </si>
  <si>
    <t>0.0206</t>
  </si>
  <si>
    <t>Drake, J. Cole</t>
  </si>
  <si>
    <t>https://api.spotify.com/v1/tracks/7aqfrAY2p9BUSiupwk3svU</t>
  </si>
  <si>
    <t>spotify:track:7aqfrAY2p9BUSiupwk3svU</t>
  </si>
  <si>
    <t>https://api.spotify.com/v1/audio-analysis/7aqfrAY2p9BUSiupwk3svU</t>
  </si>
  <si>
    <t>7aqfrAY2p9BUSiupwk3svU</t>
  </si>
  <si>
    <t>First Person Shooter (feat. J. Cole)</t>
  </si>
  <si>
    <t>0.0306</t>
  </si>
  <si>
    <t>0.895</t>
  </si>
  <si>
    <t>FISHER, Kita Alexander</t>
  </si>
  <si>
    <t>0.0734</t>
  </si>
  <si>
    <t>https://api.spotify.com/v1/tracks/63HwAAXuSV2tzIUPoHOwZa</t>
  </si>
  <si>
    <t>spotify:track:63HwAAXuSV2tzIUPoHOwZa</t>
  </si>
  <si>
    <t>Atmosphere</t>
  </si>
  <si>
    <t>https://api.spotify.com/v1/audio-analysis/63HwAAXuSV2tzIUPoHOwZa</t>
  </si>
  <si>
    <t>63HwAAXuSV2tzIUPoHOwZa</t>
  </si>
  <si>
    <t>5WAQTwGucEJPQLgh235Pbz</t>
  </si>
  <si>
    <t>0.00623</t>
  </si>
  <si>
    <t>Memphis Cult, Groove Dealers, SPLYXER</t>
  </si>
  <si>
    <t>https://api.spotify.com/v1/tracks/3K5KXm1uZjiyQk0J7op1xf</t>
  </si>
  <si>
    <t>spotify:track:3K5KXm1uZjiyQk0J7op1xf</t>
  </si>
  <si>
    <t>Memphis Cult Vol. 6</t>
  </si>
  <si>
    <t>https://api.spotify.com/v1/audio-analysis/3K5KXm1uZjiyQk0J7op1xf</t>
  </si>
  <si>
    <t>3K5KXm1uZjiyQk0J7op1xf</t>
  </si>
  <si>
    <t>9mm</t>
  </si>
  <si>
    <t>2.58e-05</t>
  </si>
  <si>
    <t>5CZnhiTI3K85wLKwPLNOJB</t>
  </si>
  <si>
    <t>0.00322</t>
  </si>
  <si>
    <t>bbno$, Rich Brian</t>
  </si>
  <si>
    <t>https://api.spotify.com/v1/tracks/1golLrmqyxDWedF7YUHCOD</t>
  </si>
  <si>
    <t>spotify:track:1golLrmqyxDWedF7YUHCOD</t>
  </si>
  <si>
    <t>eat ya veggies</t>
  </si>
  <si>
    <t>https://api.spotify.com/v1/audio-analysis/1golLrmqyxDWedF7YUHCOD</t>
  </si>
  <si>
    <t>1golLrmqyxDWedF7YUHCOD</t>
  </si>
  <si>
    <t>edamame</t>
  </si>
  <si>
    <t>0.000143</t>
  </si>
  <si>
    <t>5uAILcUFqdFsH5K3Cip47a</t>
  </si>
  <si>
    <t>0.0232</t>
  </si>
  <si>
    <t>0.0616</t>
  </si>
  <si>
    <t>https://api.spotify.com/v1/tracks/5NAOhPAZ57eFAXr3qatS6i</t>
  </si>
  <si>
    <t>spotify:track:5NAOhPAZ57eFAXr3qatS6i</t>
  </si>
  <si>
    <t>https://api.spotify.com/v1/audio-analysis/5NAOhPAZ57eFAXr3qatS6i</t>
  </si>
  <si>
    <t>5NAOhPAZ57eFAXr3qatS6i</t>
  </si>
  <si>
    <t>Breathe</t>
  </si>
  <si>
    <t>1jXYc5gip5tqCTDOotfY5L</t>
  </si>
  <si>
    <t>https://api.spotify.com/v1/tracks/06tNJ27nVxbDwhiQMChWyr</t>
  </si>
  <si>
    <t>spotify:track:06tNJ27nVxbDwhiQMChWyr</t>
  </si>
  <si>
    <t>GOOD LOYAL THOTS</t>
  </si>
  <si>
    <t>https://api.spotify.com/v1/audio-analysis/06tNJ27nVxbDwhiQMChWyr</t>
  </si>
  <si>
    <t>06tNJ27nVxbDwhiQMChWyr</t>
  </si>
  <si>
    <t>0.000142</t>
  </si>
  <si>
    <t>0uj4fkv8FHhc7sZyxMnAAw</t>
  </si>
  <si>
    <t>0.0566</t>
  </si>
  <si>
    <t>https://api.spotify.com/v1/tracks/5GCU2LJWPzoP8Q6nexs61z</t>
  </si>
  <si>
    <t>spotify:track:5GCU2LJWPzoP8Q6nexs61z</t>
  </si>
  <si>
    <t>Glockoma 2 (Deluxe)</t>
  </si>
  <si>
    <t>https://api.spotify.com/v1/audio-analysis/5GCU2LJWPzoP8Q6nexs61z</t>
  </si>
  <si>
    <t>5GCU2LJWPzoP8Q6nexs61z</t>
  </si>
  <si>
    <t>Let's Go</t>
  </si>
  <si>
    <t>49vCWZ0yKkRvfetjsYVLnx</t>
  </si>
  <si>
    <t>0.00258</t>
  </si>
  <si>
    <t>0.765</t>
  </si>
  <si>
    <t>League of Legends, NewJeans</t>
  </si>
  <si>
    <t>0.0518</t>
  </si>
  <si>
    <t>https://api.spotify.com/v1/tracks/210JJAa9nJOgNa0YNrsT5g</t>
  </si>
  <si>
    <t>spotify:track:210JJAa9nJOgNa0YNrsT5g</t>
  </si>
  <si>
    <t>GODS</t>
  </si>
  <si>
    <t>https://api.spotify.com/v1/audio-analysis/210JJAa9nJOgNa0YNrsT5g</t>
  </si>
  <si>
    <t>210JJAa9nJOgNa0YNrsT5g</t>
  </si>
  <si>
    <t>3.23e-05</t>
  </si>
  <si>
    <t>0rAaP1OBxVCn2cIUZNjGRs</t>
  </si>
  <si>
    <t>0.00685</t>
  </si>
  <si>
    <t>African Heat</t>
  </si>
  <si>
    <t>african</t>
  </si>
  <si>
    <t>37i9dQZF1DWYkaDif7Ztbp</t>
  </si>
  <si>
    <t>110.14</t>
  </si>
  <si>
    <t>Young Jonn</t>
  </si>
  <si>
    <t>https://api.spotify.com/v1/tracks/4KZMoDuxwSYP63bhbnMqe3</t>
  </si>
  <si>
    <t>spotify:track:4KZMoDuxwSYP63bhbnMqe3</t>
  </si>
  <si>
    <t>Jiggy Forever</t>
  </si>
  <si>
    <t>https://api.spotify.com/v1/audio-analysis/4KZMoDuxwSYP63bhbnMqe3</t>
  </si>
  <si>
    <t>4KZMoDuxwSYP63bhbnMqe3</t>
  </si>
  <si>
    <t>Stronger</t>
  </si>
  <si>
    <t>9.65e-05</t>
  </si>
  <si>
    <t>6xr2tWr8pg5ndECtOD66lp</t>
  </si>
  <si>
    <t>0.44</t>
  </si>
  <si>
    <t>Ayo Maff</t>
  </si>
  <si>
    <t>0.0592</t>
  </si>
  <si>
    <t>https://api.spotify.com/v1/tracks/10y7iW3rc8bzGbhAC3mNPA</t>
  </si>
  <si>
    <t>spotify:track:10y7iW3rc8bzGbhAC3mNPA</t>
  </si>
  <si>
    <t>MAFFIAN</t>
  </si>
  <si>
    <t>https://api.spotify.com/v1/audio-analysis/10y7iW3rc8bzGbhAC3mNPA</t>
  </si>
  <si>
    <t>10y7iW3rc8bzGbhAC3mNPA</t>
  </si>
  <si>
    <t>Are you there?</t>
  </si>
  <si>
    <t>1.42e-06</t>
  </si>
  <si>
    <t>34MCeC9R3RzTxf3vzEJmWi</t>
  </si>
  <si>
    <t>Rema</t>
  </si>
  <si>
    <t>0.0921</t>
  </si>
  <si>
    <t>https://api.spotify.com/v1/tracks/7ySC0IjVS1PMEdsZOvsUK2</t>
  </si>
  <si>
    <t>spotify:track:7ySC0IjVS1PMEdsZOvsUK2</t>
  </si>
  <si>
    <t>HEIS</t>
  </si>
  <si>
    <t>https://api.spotify.com/v1/audio-analysis/7ySC0IjVS1PMEdsZOvsUK2</t>
  </si>
  <si>
    <t>7ySC0IjVS1PMEdsZOvsUK2</t>
  </si>
  <si>
    <t>OZEBA</t>
  </si>
  <si>
    <t>2DDaN7Pgx9uDPd8IbWWW9H</t>
  </si>
  <si>
    <t>197.98</t>
  </si>
  <si>
    <t>-8.37</t>
  </si>
  <si>
    <t>Hyce, BoyPee, Brown Joel</t>
  </si>
  <si>
    <t>https://api.spotify.com/v1/tracks/3MldGIMtPcupNBI4Dnxolr</t>
  </si>
  <si>
    <t>spotify:track:3MldGIMtPcupNBI4Dnxolr</t>
  </si>
  <si>
    <t>Constantly</t>
  </si>
  <si>
    <t>https://api.spotify.com/v1/audio-analysis/3MldGIMtPcupNBI4Dnxolr</t>
  </si>
  <si>
    <t>3MldGIMtPcupNBI4Dnxolr</t>
  </si>
  <si>
    <t>6tqG51134jDxxuWMaEgn8O</t>
  </si>
  <si>
    <t>0.0677</t>
  </si>
  <si>
    <t>Smur Lee, ODUMODUBLVCK, Shallipopi</t>
  </si>
  <si>
    <t>https://api.spotify.com/v1/tracks/6XBIOtdSL47qn201KKNCA0</t>
  </si>
  <si>
    <t>spotify:track:6XBIOtdSL47qn201KKNCA0</t>
  </si>
  <si>
    <t>JUJU (feat. Shallipopi)</t>
  </si>
  <si>
    <t>https://api.spotify.com/v1/audio-analysis/6XBIOtdSL47qn201KKNCA0</t>
  </si>
  <si>
    <t>6XBIOtdSL47qn201KKNCA0</t>
  </si>
  <si>
    <t>0.000531</t>
  </si>
  <si>
    <t>6xtWvj11zaodhnfa7izxCL</t>
  </si>
  <si>
    <t>FOLA, Bnxn</t>
  </si>
  <si>
    <t>https://api.spotify.com/v1/tracks/2GSK9VfsKWpVOV6ZzKiMA4</t>
  </si>
  <si>
    <t>spotify:track:2GSK9VfsKWpVOV6ZzKiMA4</t>
  </si>
  <si>
    <t>alone (Remix)</t>
  </si>
  <si>
    <t>https://api.spotify.com/v1/audio-analysis/2GSK9VfsKWpVOV6ZzKiMA4</t>
  </si>
  <si>
    <t>2GSK9VfsKWpVOV6ZzKiMA4</t>
  </si>
  <si>
    <t>alone - Remix</t>
  </si>
  <si>
    <t>3.38e-06</t>
  </si>
  <si>
    <t>1bE7lrP5TzEIX3UHiwMhKR</t>
  </si>
  <si>
    <t>Ayo Maff, Fireboy DML</t>
  </si>
  <si>
    <t>https://api.spotify.com/v1/tracks/5Wxkvvb6pLky16pwq4gBI3</t>
  </si>
  <si>
    <t>spotify:track:5Wxkvvb6pLky16pwq4gBI3</t>
  </si>
  <si>
    <t>Dealer</t>
  </si>
  <si>
    <t>https://api.spotify.com/v1/audio-analysis/5Wxkvvb6pLky16pwq4gBI3</t>
  </si>
  <si>
    <t>5Wxkvvb6pLky16pwq4gBI3</t>
  </si>
  <si>
    <t>7.59e-06</t>
  </si>
  <si>
    <t>3RShBBcnQmqfmBJgmfz3or</t>
  </si>
  <si>
    <t>0.935</t>
  </si>
  <si>
    <t>j-pop</t>
  </si>
  <si>
    <t>YOASOBI</t>
  </si>
  <si>
    <t>https://api.spotify.com/v1/tracks/7ovUcF5uHTBRzUpB6ZOmvt</t>
  </si>
  <si>
    <t>spotify:track:7ovUcF5uHTBRzUpB6ZOmvt</t>
  </si>
  <si>
    <t>„Ç¢„Ç§„Éâ„É´</t>
  </si>
  <si>
    <t>Anime Hits</t>
  </si>
  <si>
    <t>https://api.spotify.com/v1/audio-analysis/7ovUcF5uHTBRzUpB6ZOmvt</t>
  </si>
  <si>
    <t>7ovUcF5uHTBRzUpB6ZOmvt</t>
  </si>
  <si>
    <t>7yMkS4NCpG0FH6NoaH3F0a</t>
  </si>
  <si>
    <t>anime</t>
  </si>
  <si>
    <t>37i9dQZF1DX3f3gm9VK7fL</t>
  </si>
  <si>
    <t>0.941</t>
  </si>
  <si>
    <t>-5.17</t>
  </si>
  <si>
    <t>Kenshi Yonezu</t>
  </si>
  <si>
    <t>https://api.spotify.com/v1/tracks/3khEEPRyBeOUabbmOPJzAG</t>
  </si>
  <si>
    <t>spotify:track:3khEEPRyBeOUabbmOPJzAG</t>
  </si>
  <si>
    <t>KICK BACK</t>
  </si>
  <si>
    <t>https://api.spotify.com/v1/audio-analysis/3khEEPRyBeOUabbmOPJzAG</t>
  </si>
  <si>
    <t>3khEEPRyBeOUabbmOPJzAG</t>
  </si>
  <si>
    <t>3.36e-06</t>
  </si>
  <si>
    <t>6RH1fEIz8HVXregzz5Xp2B</t>
  </si>
  <si>
    <t>0.00207</t>
  </si>
  <si>
    <t>Mrs. GREEN APPLE</t>
  </si>
  <si>
    <t>https://api.spotify.com/v1/tracks/78W4mTLIh4qoLu92W4IQhO</t>
  </si>
  <si>
    <t>spotify:track:78W4mTLIh4qoLu92W4IQhO</t>
  </si>
  <si>
    <t>„É©„Ç§„É©„ÉÉ„ÇØ</t>
  </si>
  <si>
    <t>https://api.spotify.com/v1/audio-analysis/78W4mTLIh4qoLu92W4IQhO</t>
  </si>
  <si>
    <t>78W4mTLIh4qoLu92W4IQhO</t>
  </si>
  <si>
    <t>40CHqDtwO8xlI3Ns7sZZel</t>
  </si>
  <si>
    <t>0.0176</t>
  </si>
  <si>
    <t>151.99</t>
  </si>
  <si>
    <t>0.479</t>
  </si>
  <si>
    <t>0.639</t>
  </si>
  <si>
    <t>Tatsuya Kitani</t>
  </si>
  <si>
    <t>https://api.spotify.com/v1/tracks/12usPU2WnqgCHAW1EK2dfd</t>
  </si>
  <si>
    <t>spotify:track:12usPU2WnqgCHAW1EK2dfd</t>
  </si>
  <si>
    <t>Èùí„ÅÆ„Åô„Åø„Åã</t>
  </si>
  <si>
    <t>https://api.spotify.com/v1/audio-analysis/12usPU2WnqgCHAW1EK2dfd</t>
  </si>
  <si>
    <t>12usPU2WnqgCHAW1EK2dfd</t>
  </si>
  <si>
    <t>4QjNVlIw8Rx6jItSZtn2VS</t>
  </si>
  <si>
    <t>Creepy Nuts</t>
  </si>
  <si>
    <t>https://api.spotify.com/v1/tracks/0kdqcbwei4MDWFEX5f33yG</t>
  </si>
  <si>
    <t>spotify:track:0kdqcbwei4MDWFEX5f33yG</t>
  </si>
  <si>
    <t>Bling-Bang-Bang-Born</t>
  </si>
  <si>
    <t>https://api.spotify.com/v1/audio-analysis/0kdqcbwei4MDWFEX5f33yG</t>
  </si>
  <si>
    <t>0kdqcbwei4MDWFEX5f33yG</t>
  </si>
  <si>
    <t>0.00985</t>
  </si>
  <si>
    <t>6M2PMiBa5zM37GQChwBHA6</t>
  </si>
  <si>
    <t>Yuuri</t>
  </si>
  <si>
    <t>0.0684</t>
  </si>
  <si>
    <t>https://api.spotify.com/v1/tracks/1nysdCpKAh6yif4JkmoiNy</t>
  </si>
  <si>
    <t>spotify:track:1nysdCpKAh6yif4JkmoiNy</t>
  </si>
  <si>
    <t>„Ç´„Éº„ÉÜ„É≥„Ç≥„Éº„É´</t>
  </si>
  <si>
    <t>https://api.spotify.com/v1/audio-analysis/1nysdCpKAh6yif4JkmoiNy</t>
  </si>
  <si>
    <t>1nysdCpKAh6yif4JkmoiNy</t>
  </si>
  <si>
    <t>11GFYcT1N05hLyrWABo9BK</t>
  </si>
  <si>
    <t>„É®„É´„Ç∑„Ç´</t>
  </si>
  <si>
    <t>https://api.spotify.com/v1/tracks/5eY7692tmgHB9dbmq6wa2M</t>
  </si>
  <si>
    <t>spotify:track:5eY7692tmgHB9dbmq6wa2M</t>
  </si>
  <si>
    <t>Êô¥„Çã</t>
  </si>
  <si>
    <t>https://api.spotify.com/v1/audio-analysis/5eY7692tmgHB9dbmq6wa2M</t>
  </si>
  <si>
    <t>5eY7692tmgHB9dbmq6wa2M</t>
  </si>
  <si>
    <t>3.58e-06</t>
  </si>
  <si>
    <t>4O53dhmIctih3p2suAAgga</t>
  </si>
  <si>
    <t>OneRepublic</t>
  </si>
  <si>
    <t>0.0313</t>
  </si>
  <si>
    <t>https://api.spotify.com/v1/tracks/47N81NMkB488fuOwOC3Oip</t>
  </si>
  <si>
    <t>spotify:track:47N81NMkB488fuOwOC3Oip</t>
  </si>
  <si>
    <t>Nobody (from Kaiju No. 8)</t>
  </si>
  <si>
    <t>https://api.spotify.com/v1/audio-analysis/47N81NMkB488fuOwOC3Oip</t>
  </si>
  <si>
    <t>47N81NMkB488fuOwOC3Oip</t>
  </si>
  <si>
    <t>Nobody - from Kaiju No. 8</t>
  </si>
  <si>
    <t>3YmKf1haPAblZIrIPpuRTf</t>
  </si>
  <si>
    <t>YUNGBLUD</t>
  </si>
  <si>
    <t>0.0407</t>
  </si>
  <si>
    <t>https://api.spotify.com/v1/tracks/2kLWSmKHhfUBepkIA9oNe5</t>
  </si>
  <si>
    <t>spotify:track:2kLWSmKHhfUBepkIA9oNe5</t>
  </si>
  <si>
    <t>Abyss (from Kaiju No. 8)</t>
  </si>
  <si>
    <t>https://api.spotify.com/v1/audio-analysis/2kLWSmKHhfUBepkIA9oNe5</t>
  </si>
  <si>
    <t>2kLWSmKHhfUBepkIA9oNe5</t>
  </si>
  <si>
    <t>Abyss - from Kaiju No. 8</t>
  </si>
  <si>
    <t>1KuM2MPT5uEYg1aY4KrnZ0</t>
  </si>
  <si>
    <t>0.00615</t>
  </si>
  <si>
    <t>0.951</t>
  </si>
  <si>
    <t>MAN WITH A MISSION, milet</t>
  </si>
  <si>
    <t>https://api.spotify.com/v1/tracks/2VBLFxCUyFp5BfmsZpxcis</t>
  </si>
  <si>
    <t>spotify:track:2VBLFxCUyFp5BfmsZpxcis</t>
  </si>
  <si>
    <t>ÁµÜ„ÉéÂ•áË∑°</t>
  </si>
  <si>
    <t>https://api.spotify.com/v1/audio-analysis/2VBLFxCUyFp5BfmsZpxcis</t>
  </si>
  <si>
    <t>2VBLFxCUyFp5BfmsZpxcis</t>
  </si>
  <si>
    <t>1xml9CR90tJdvTESDk4Q4s</t>
  </si>
  <si>
    <t>0.0046</t>
  </si>
  <si>
    <t>82.05</t>
  </si>
  <si>
    <t>Vaundy</t>
  </si>
  <si>
    <t>0.0531</t>
  </si>
  <si>
    <t>https://api.spotify.com/v1/tracks/3jNwPOqdPvQIr5dRT0hzgY</t>
  </si>
  <si>
    <t>spotify:track:3jNwPOqdPvQIr5dRT0hzgY</t>
  </si>
  <si>
    <t>„Çø„Ç§„É†„Éë„É©„Éâ„ÉÉ„ÇØ„Çπ</t>
  </si>
  <si>
    <t>https://api.spotify.com/v1/audio-analysis/3jNwPOqdPvQIr5dRT0hzgY</t>
  </si>
  <si>
    <t>3jNwPOqdPvQIr5dRT0hzgY</t>
  </si>
  <si>
    <t>4cHdtiNVgGR80HprOsOdiK</t>
  </si>
  <si>
    <t>0.439</t>
  </si>
  <si>
    <t>metal</t>
  </si>
  <si>
    <t>-9.11</t>
  </si>
  <si>
    <t>https://api.spotify.com/v1/tracks/2MuWTIM3b0YEAskbeeFE1i</t>
  </si>
  <si>
    <t>spotify:track:2MuWTIM3b0YEAskbeeFE1i</t>
  </si>
  <si>
    <t>Master Of Puppets (Remastered)</t>
  </si>
  <si>
    <t>Metal Essentials</t>
  </si>
  <si>
    <t>https://api.spotify.com/v1/audio-analysis/2MuWTIM3b0YEAskbeeFE1i</t>
  </si>
  <si>
    <t>2MuWTIM3b0YEAskbeeFE1i</t>
  </si>
  <si>
    <t>Master Of Puppets</t>
  </si>
  <si>
    <t>2Lq2qX3hYhiuPckC8Flj21</t>
  </si>
  <si>
    <t>0.000647</t>
  </si>
  <si>
    <t>37i9dQZF1DWWOaP4H0w5b0</t>
  </si>
  <si>
    <t>0.908</t>
  </si>
  <si>
    <t>Iron Maiden</t>
  </si>
  <si>
    <t>0.0705</t>
  </si>
  <si>
    <t>https://api.spotify.com/v1/tracks/4OROzZUy6gOWN4UGQVaZMF</t>
  </si>
  <si>
    <t>spotify:track:4OROzZUy6gOWN4UGQVaZMF</t>
  </si>
  <si>
    <t>Piece of Mind (2015 Remaster)</t>
  </si>
  <si>
    <t>https://api.spotify.com/v1/audio-analysis/4OROzZUy6gOWN4UGQVaZMF</t>
  </si>
  <si>
    <t>4OROzZUy6gOWN4UGQVaZMF</t>
  </si>
  <si>
    <t>The Trooper - 2015 Remaster</t>
  </si>
  <si>
    <t>0.00909</t>
  </si>
  <si>
    <t>7I9Wh2IgvI3Nnr8Z1ZSWby</t>
  </si>
  <si>
    <t>Pantera</t>
  </si>
  <si>
    <t>https://api.spotify.com/v1/tracks/7fcfNW0XxTWlwVlftzfDOR</t>
  </si>
  <si>
    <t>spotify:track:7fcfNW0XxTWlwVlftzfDOR</t>
  </si>
  <si>
    <t>Vulgar Display of Power</t>
  </si>
  <si>
    <t>https://api.spotify.com/v1/audio-analysis/7fcfNW0XxTWlwVlftzfDOR</t>
  </si>
  <si>
    <t>7fcfNW0XxTWlwVlftzfDOR</t>
  </si>
  <si>
    <t>Walk</t>
  </si>
  <si>
    <t>0.00221</t>
  </si>
  <si>
    <t>7kW0cpKgSVsEqcc8xgbSb0</t>
  </si>
  <si>
    <t>0.000155</t>
  </si>
  <si>
    <t>System Of A Down</t>
  </si>
  <si>
    <t>https://api.spotify.com/v1/tracks/2DlHlPMa4M17kufBvI2lEN</t>
  </si>
  <si>
    <t>spotify:track:2DlHlPMa4M17kufBvI2lEN</t>
  </si>
  <si>
    <t>Toxicity</t>
  </si>
  <si>
    <t>https://api.spotify.com/v1/audio-analysis/2DlHlPMa4M17kufBvI2lEN</t>
  </si>
  <si>
    <t>2DlHlPMa4M17kufBvI2lEN</t>
  </si>
  <si>
    <t>Chop Suey!</t>
  </si>
  <si>
    <t>0.0015</t>
  </si>
  <si>
    <t>6jWde94ln40epKIQCd8XUh</t>
  </si>
  <si>
    <t>0.000278</t>
  </si>
  <si>
    <t>0.891</t>
  </si>
  <si>
    <t>Korn</t>
  </si>
  <si>
    <t>https://api.spotify.com/v1/tracks/1pr9TZGOXeJUggIal1Wq3R</t>
  </si>
  <si>
    <t>spotify:track:1pr9TZGOXeJUggIal1Wq3R</t>
  </si>
  <si>
    <t>https://api.spotify.com/v1/audio-analysis/1pr9TZGOXeJUggIal1Wq3R</t>
  </si>
  <si>
    <t>1pr9TZGOXeJUggIal1Wq3R</t>
  </si>
  <si>
    <t>Blind</t>
  </si>
  <si>
    <t>0.0038</t>
  </si>
  <si>
    <t>7D3XFJlfZIkmGWqZXm2X8z</t>
  </si>
  <si>
    <t>0.00678</t>
  </si>
  <si>
    <t>0.0617</t>
  </si>
  <si>
    <t>https://api.spotify.com/v1/tracks/5IX4TbIR5mMHGE4wiWwKW0</t>
  </si>
  <si>
    <t>spotify:track:5IX4TbIR5mMHGE4wiWwKW0</t>
  </si>
  <si>
    <t>...And Justice For All</t>
  </si>
  <si>
    <t>https://api.spotify.com/v1/audio-analysis/5IX4TbIR5mMHGE4wiWwKW0</t>
  </si>
  <si>
    <t>5IX4TbIR5mMHGE4wiWwKW0</t>
  </si>
  <si>
    <t>One</t>
  </si>
  <si>
    <t>6Eycw3dwcDMEFSqkUvLQ7g</t>
  </si>
  <si>
    <t>0.00111</t>
  </si>
  <si>
    <t>0.365</t>
  </si>
  <si>
    <t>-9.45</t>
  </si>
  <si>
    <t>Danzig</t>
  </si>
  <si>
    <t>https://api.spotify.com/v1/tracks/7txxAtOMwLLnQTpKeBL6bp</t>
  </si>
  <si>
    <t>spotify:track:7txxAtOMwLLnQTpKeBL6bp</t>
  </si>
  <si>
    <t>https://api.spotify.com/v1/audio-analysis/7txxAtOMwLLnQTpKeBL6bp</t>
  </si>
  <si>
    <t>7txxAtOMwLLnQTpKeBL6bp</t>
  </si>
  <si>
    <t>Mother</t>
  </si>
  <si>
    <t>0.000457</t>
  </si>
  <si>
    <t>3elIDlrTtrgKfbxYVgp3uW</t>
  </si>
  <si>
    <t>0.00726</t>
  </si>
  <si>
    <t>0.0765</t>
  </si>
  <si>
    <t>https://api.spotify.com/v1/tracks/2SgbR6ttzoNlCRGQOKjrop</t>
  </si>
  <si>
    <t>spotify:track:2SgbR6ttzoNlCRGQOKjrop</t>
  </si>
  <si>
    <t>Cowboys from Hell</t>
  </si>
  <si>
    <t>https://api.spotify.com/v1/audio-analysis/2SgbR6ttzoNlCRGQOKjrop</t>
  </si>
  <si>
    <t>2SgbR6ttzoNlCRGQOKjrop</t>
  </si>
  <si>
    <t>5szY4sBOSD6IFjFN1RtWTe</t>
  </si>
  <si>
    <t>0.00437</t>
  </si>
  <si>
    <t>0.982</t>
  </si>
  <si>
    <t>Slipknot</t>
  </si>
  <si>
    <t>https://api.spotify.com/v1/tracks/61mWefnWQOLf90gepjOCb3</t>
  </si>
  <si>
    <t>spotify:track:61mWefnWQOLf90gepjOCb3</t>
  </si>
  <si>
    <t>Vol. 3: The Subliminal Verses</t>
  </si>
  <si>
    <t>https://api.spotify.com/v1/audio-analysis/61mWefnWQOLf90gepjOCb3</t>
  </si>
  <si>
    <t>61mWefnWQOLf90gepjOCb3</t>
  </si>
  <si>
    <t>Duality</t>
  </si>
  <si>
    <t>0.000294</t>
  </si>
  <si>
    <t>4ZDBQSIDIZRUBOG2OHcN3T</t>
  </si>
  <si>
    <t>0.000237</t>
  </si>
  <si>
    <t>https://api.spotify.com/v1/tracks/5sICkBXVmaCQk5aISGR3x1</t>
  </si>
  <si>
    <t>spotify:track:5sICkBXVmaCQk5aISGR3x1</t>
  </si>
  <si>
    <t>https://api.spotify.com/v1/audio-analysis/5sICkBXVmaCQk5aISGR3x1</t>
  </si>
  <si>
    <t>5sICkBXVmaCQk5aISGR3x1</t>
  </si>
  <si>
    <t>Enter Sandman</t>
  </si>
  <si>
    <t>2Kh43m04B1UkVcpcRa1Zug</t>
  </si>
  <si>
    <t>0.00213</t>
  </si>
  <si>
    <t>Avenged Sevenfold</t>
  </si>
  <si>
    <t>https://api.spotify.com/v1/tracks/5anCkDvJ17aznvK5TED5uo</t>
  </si>
  <si>
    <t>spotify:track:5anCkDvJ17aznvK5TED5uo</t>
  </si>
  <si>
    <t>Hail to the King</t>
  </si>
  <si>
    <t>https://api.spotify.com/v1/audio-analysis/5anCkDvJ17aznvK5TED5uo</t>
  </si>
  <si>
    <t>5anCkDvJ17aznvK5TED5uo</t>
  </si>
  <si>
    <t>0.0259</t>
  </si>
  <si>
    <t>0ks45m1bsP2JsZpM5D2FFA</t>
  </si>
  <si>
    <t>0.000297</t>
  </si>
  <si>
    <t>0.353</t>
  </si>
  <si>
    <t>0.052</t>
  </si>
  <si>
    <t>https://api.spotify.com/v1/tracks/6W21LNLz9Sw7sUSNWMSHRu</t>
  </si>
  <si>
    <t>spotify:track:6W21LNLz9Sw7sUSNWMSHRu</t>
  </si>
  <si>
    <t>Follow The Leader</t>
  </si>
  <si>
    <t>https://api.spotify.com/v1/audio-analysis/6W21LNLz9Sw7sUSNWMSHRu</t>
  </si>
  <si>
    <t>6W21LNLz9Sw7sUSNWMSHRu</t>
  </si>
  <si>
    <t>Freak On a Leash</t>
  </si>
  <si>
    <t>0gsiszk6JWYwAyGvaTTud4</t>
  </si>
  <si>
    <t>2.23e-05</t>
  </si>
  <si>
    <t>0.0781</t>
  </si>
  <si>
    <t>Rob Zombie</t>
  </si>
  <si>
    <t>https://api.spotify.com/v1/tracks/6Nm8h73ycDG2saCnZV8poF</t>
  </si>
  <si>
    <t>spotify:track:6Nm8h73ycDG2saCnZV8poF</t>
  </si>
  <si>
    <t>Hellbilly Deluxe</t>
  </si>
  <si>
    <t>https://api.spotify.com/v1/audio-analysis/6Nm8h73ycDG2saCnZV8poF</t>
  </si>
  <si>
    <t>6Nm8h73ycDG2saCnZV8poF</t>
  </si>
  <si>
    <t>Dragula</t>
  </si>
  <si>
    <t>2B4lHoTCpWbxQPTZmCOjnH</t>
  </si>
  <si>
    <t>8.75e-05</t>
  </si>
  <si>
    <t>https://api.spotify.com/v1/tracks/4UEo1b0wWrtHMC8bVqPiH8</t>
  </si>
  <si>
    <t>spotify:track:4UEo1b0wWrtHMC8bVqPiH8</t>
  </si>
  <si>
    <t>Nightmare</t>
  </si>
  <si>
    <t>https://api.spotify.com/v1/audio-analysis/4UEo1b0wWrtHMC8bVqPiH8</t>
  </si>
  <si>
    <t>4UEo1b0wWrtHMC8bVqPiH8</t>
  </si>
  <si>
    <t>9.98e-05</t>
  </si>
  <si>
    <t>7vfuTRXIAYJz5Uc8SddnTr</t>
  </si>
  <si>
    <t>0.000318</t>
  </si>
  <si>
    <t>0.443</t>
  </si>
  <si>
    <t>Deftones</t>
  </si>
  <si>
    <t>https://api.spotify.com/v1/tracks/1158ckiB5S4cpsdYHDB9IF</t>
  </si>
  <si>
    <t>spotify:track:1158ckiB5S4cpsdYHDB9IF</t>
  </si>
  <si>
    <t>Around the Fur</t>
  </si>
  <si>
    <t>https://api.spotify.com/v1/audio-analysis/1158ckiB5S4cpsdYHDB9IF</t>
  </si>
  <si>
    <t>1158ckiB5S4cpsdYHDB9IF</t>
  </si>
  <si>
    <t>My Own Summer (Shove It)</t>
  </si>
  <si>
    <t>7o4UsmV37Sg5It2Eb7vHzu</t>
  </si>
  <si>
    <t>TOOL</t>
  </si>
  <si>
    <t>https://api.spotify.com/v1/tracks/55mJleti2WfWEFNFcBduhc</t>
  </si>
  <si>
    <t>spotify:track:55mJleti2WfWEFNFcBduhc</t>
  </si>
  <si>
    <t>Lateralus</t>
  </si>
  <si>
    <t>https://api.spotify.com/v1/audio-analysis/55mJleti2WfWEFNFcBduhc</t>
  </si>
  <si>
    <t>55mJleti2WfWEFNFcBduhc</t>
  </si>
  <si>
    <t>Schism</t>
  </si>
  <si>
    <t>5l5m1hnH4punS1GQXgEi3T</t>
  </si>
  <si>
    <t>0.821</t>
  </si>
  <si>
    <t>-4.37</t>
  </si>
  <si>
    <t>Dr. Dre, Snoop Dogg</t>
  </si>
  <si>
    <t>https://api.spotify.com/v1/tracks/5Tbpp3OLLClPJF8t1DmrFD</t>
  </si>
  <si>
    <t>spotify:track:5Tbpp3OLLClPJF8t1DmrFD</t>
  </si>
  <si>
    <t>The Chronic</t>
  </si>
  <si>
    <t>Hip-Hop Drive</t>
  </si>
  <si>
    <t>https://api.spotify.com/v1/audio-analysis/5Tbpp3OLLClPJF8t1DmrFD</t>
  </si>
  <si>
    <t>5Tbpp3OLLClPJF8t1DmrFD</t>
  </si>
  <si>
    <t>Nuthin' But A "G" Thang</t>
  </si>
  <si>
    <t>2V5rhszUpCudPcb01zevOt</t>
  </si>
  <si>
    <t>0.00182</t>
  </si>
  <si>
    <t>3i47D9xIUamcm3ZkOIWwkr</t>
  </si>
  <si>
    <t>reggae</t>
  </si>
  <si>
    <t>0.0958</t>
  </si>
  <si>
    <t>Bob Marley &amp; The Wailers</t>
  </si>
  <si>
    <t>https://api.spotify.com/v1/tracks/5O4erNlJ74PIF6kGol1ZrC</t>
  </si>
  <si>
    <t>spotify:track:5O4erNlJ74PIF6kGol1ZrC</t>
  </si>
  <si>
    <t>Reggae Classics</t>
  </si>
  <si>
    <t>https://api.spotify.com/v1/audio-analysis/5O4erNlJ74PIF6kGol1ZrC</t>
  </si>
  <si>
    <t>5O4erNlJ74PIF6kGol1ZrC</t>
  </si>
  <si>
    <t>Could You Be Loved</t>
  </si>
  <si>
    <t>321q9p7PELvzcFAWxml7VX</t>
  </si>
  <si>
    <t>0.36</t>
  </si>
  <si>
    <t>71R43lBYQZ6JQXH6LmRo1I</t>
  </si>
  <si>
    <t>76.71</t>
  </si>
  <si>
    <t>Damian Marley</t>
  </si>
  <si>
    <t>https://api.spotify.com/v1/tracks/22AbXxQbMdVqEz7xJjhccG</t>
  </si>
  <si>
    <t>spotify:track:22AbXxQbMdVqEz7xJjhccG</t>
  </si>
  <si>
    <t>Welcome to Jamrock</t>
  </si>
  <si>
    <t>https://api.spotify.com/v1/audio-analysis/22AbXxQbMdVqEz7xJjhccG</t>
  </si>
  <si>
    <t>22AbXxQbMdVqEz7xJjhccG</t>
  </si>
  <si>
    <t>Welcome To Jamrock</t>
  </si>
  <si>
    <t>4Y0PrDckfFKxKaVXsscDLB</t>
  </si>
  <si>
    <t>0.0208</t>
  </si>
  <si>
    <t>Chaka Demus &amp; Pliers</t>
  </si>
  <si>
    <t>https://api.spotify.com/v1/tracks/1HGyhNaRUFEDBiVLbvtbL6</t>
  </si>
  <si>
    <t>spotify:track:1HGyhNaRUFEDBiVLbvtbL6</t>
  </si>
  <si>
    <t>Tease Me</t>
  </si>
  <si>
    <t>https://api.spotify.com/v1/audio-analysis/1HGyhNaRUFEDBiVLbvtbL6</t>
  </si>
  <si>
    <t>1HGyhNaRUFEDBiVLbvtbL6</t>
  </si>
  <si>
    <t>Murder She Wrote</t>
  </si>
  <si>
    <t>0.00026</t>
  </si>
  <si>
    <t>6GTzBIyPe32G2mXBaYSqYY</t>
  </si>
  <si>
    <t>https://api.spotify.com/v1/tracks/7BfW1eoDh27W69nxsmRicb</t>
  </si>
  <si>
    <t>spotify:track:7BfW1eoDh27W69nxsmRicb</t>
  </si>
  <si>
    <t>Confrontation</t>
  </si>
  <si>
    <t>https://api.spotify.com/v1/audio-analysis/7BfW1eoDh27W69nxsmRicb</t>
  </si>
  <si>
    <t>7BfW1eoDh27W69nxsmRicb</t>
  </si>
  <si>
    <t>Buffalo Soldier</t>
  </si>
  <si>
    <t>5.3e-06</t>
  </si>
  <si>
    <t>5Rg4ZSwf1LPCuAMr0msdun</t>
  </si>
  <si>
    <t>https://api.spotify.com/v1/tracks/503OTo2dSqe7qk76rgsbep</t>
  </si>
  <si>
    <t>spotify:track:503OTo2dSqe7qk76rgsbep</t>
  </si>
  <si>
    <t>90s Hip-Hop</t>
  </si>
  <si>
    <t>https://api.spotify.com/v1/audio-analysis/503OTo2dSqe7qk76rgsbep</t>
  </si>
  <si>
    <t>503OTo2dSqe7qk76rgsbep</t>
  </si>
  <si>
    <t>Still D.R.E.</t>
  </si>
  <si>
    <t>0.00031</t>
  </si>
  <si>
    <t>7q2B4M5EiBkqrlsNW8lB7N</t>
  </si>
  <si>
    <t>90s</t>
  </si>
  <si>
    <t>37i9dQZF1DX186v583rmzp</t>
  </si>
  <si>
    <t>The Notorious B.I.G.</t>
  </si>
  <si>
    <t>0.28</t>
  </si>
  <si>
    <t>https://api.spotify.com/v1/tracks/7KwZNVEaqikRSBSpyhXK2j</t>
  </si>
  <si>
    <t>spotify:track:7KwZNVEaqikRSBSpyhXK2j</t>
  </si>
  <si>
    <t>Life After Death (2014 Remastered Edition)</t>
  </si>
  <si>
    <t>https://api.spotify.com/v1/audio-analysis/7KwZNVEaqikRSBSpyhXK2j</t>
  </si>
  <si>
    <t>7KwZNVEaqikRSBSpyhXK2j</t>
  </si>
  <si>
    <t>Hypnotize - 2014 Remaster</t>
  </si>
  <si>
    <t>7dRdaGSxgcBdJnrOviQRuB</t>
  </si>
  <si>
    <t>Ms. Lauryn Hill</t>
  </si>
  <si>
    <t>https://api.spotify.com/v1/tracks/0uEp9E98JB5awlA084uaIg</t>
  </si>
  <si>
    <t>spotify:track:0uEp9E98JB5awlA084uaIg</t>
  </si>
  <si>
    <t>The Miseducation of Lauryn Hill</t>
  </si>
  <si>
    <t>https://api.spotify.com/v1/audio-analysis/0uEp9E98JB5awlA084uaIg</t>
  </si>
  <si>
    <t>0uEp9E98JB5awlA084uaIg</t>
  </si>
  <si>
    <t>Doo Wop (That Thing)</t>
  </si>
  <si>
    <t>1BZoqf8Zje5nGdwZhOjAtD</t>
  </si>
  <si>
    <t>95.0</t>
  </si>
  <si>
    <t>2Pac</t>
  </si>
  <si>
    <t>https://api.spotify.com/v1/tracks/4AE7Lj39VnSZNOmGH2iZaq</t>
  </si>
  <si>
    <t>spotify:track:4AE7Lj39VnSZNOmGH2iZaq</t>
  </si>
  <si>
    <t>R U Still Down? [Remember Me]</t>
  </si>
  <si>
    <t>https://api.spotify.com/v1/audio-analysis/4AE7Lj39VnSZNOmGH2iZaq</t>
  </si>
  <si>
    <t>4AE7Lj39VnSZNOmGH2iZaq</t>
  </si>
  <si>
    <t>Do For Love</t>
  </si>
  <si>
    <t>0.00479</t>
  </si>
  <si>
    <t>7zURSbIVZ5vl3NIKkrVRvl</t>
  </si>
  <si>
    <t>0.0578</t>
  </si>
  <si>
    <t>Mobb Deep</t>
  </si>
  <si>
    <t>https://api.spotify.com/v1/tracks/33ZXjLCpiINn8eQIDYEPTD</t>
  </si>
  <si>
    <t>spotify:track:33ZXjLCpiINn8eQIDYEPTD</t>
  </si>
  <si>
    <t>The Infamous</t>
  </si>
  <si>
    <t>https://api.spotify.com/v1/audio-analysis/33ZXjLCpiINn8eQIDYEPTD</t>
  </si>
  <si>
    <t>33ZXjLCpiINn8eQIDYEPTD</t>
  </si>
  <si>
    <t>Shook Ones, Pt. II</t>
  </si>
  <si>
    <t>1cCAb1vN8uUsdfEylVmTLs</t>
  </si>
  <si>
    <t>Luniz, Michael Marshall</t>
  </si>
  <si>
    <t>https://api.spotify.com/v1/tracks/4IYKjN1DrYzxKXt0umJqsG</t>
  </si>
  <si>
    <t>spotify:track:4IYKjN1DrYzxKXt0umJqsG</t>
  </si>
  <si>
    <t>Operation Stackola</t>
  </si>
  <si>
    <t>https://api.spotify.com/v1/audio-analysis/4IYKjN1DrYzxKXt0umJqsG</t>
  </si>
  <si>
    <t>4IYKjN1DrYzxKXt0umJqsG</t>
  </si>
  <si>
    <t>I Got 5 On It</t>
  </si>
  <si>
    <t>5pMShIZc6oWiEtcQvXsKfb</t>
  </si>
  <si>
    <t>Big Pun, Joe</t>
  </si>
  <si>
    <t>https://api.spotify.com/v1/tracks/3GKL13lkM5nRc4zC1lIOrR</t>
  </si>
  <si>
    <t>spotify:track:3GKL13lkM5nRc4zC1lIOrR</t>
  </si>
  <si>
    <t>Capital Punishment</t>
  </si>
  <si>
    <t>https://api.spotify.com/v1/audio-analysis/3GKL13lkM5nRc4zC1lIOrR</t>
  </si>
  <si>
    <t>3GKL13lkM5nRc4zC1lIOrR</t>
  </si>
  <si>
    <t>Still Not a Player (feat. Joe) - Radio Version</t>
  </si>
  <si>
    <t>0.00156</t>
  </si>
  <si>
    <t>3IIHk2ZLXKWuVAjCbQ9g4Y</t>
  </si>
  <si>
    <t>https://api.spotify.com/v1/tracks/5ByAIlEEnxYdvpnezg7HTX</t>
  </si>
  <si>
    <t>spotify:track:5ByAIlEEnxYdvpnezg7HTX</t>
  </si>
  <si>
    <t>Ready to Die (The Remaster)</t>
  </si>
  <si>
    <t>https://api.spotify.com/v1/audio-analysis/5ByAIlEEnxYdvpnezg7HTX</t>
  </si>
  <si>
    <t>5ByAIlEEnxYdvpnezg7HTX</t>
  </si>
  <si>
    <t>Juicy - 2005 Remaster</t>
  </si>
  <si>
    <t>2HTbQ0RHwukKVXAlTmCZP2</t>
  </si>
  <si>
    <t>Wu-Tang Clan</t>
  </si>
  <si>
    <t>https://api.spotify.com/v1/tracks/119c93MHjrDLJTApCVGpvx</t>
  </si>
  <si>
    <t>spotify:track:119c93MHjrDLJTApCVGpvx</t>
  </si>
  <si>
    <t>Enter The Wu-Tang (36 Chambers) [Expanded Edition]</t>
  </si>
  <si>
    <t>https://api.spotify.com/v1/audio-analysis/119c93MHjrDLJTApCVGpvx</t>
  </si>
  <si>
    <t>119c93MHjrDLJTApCVGpvx</t>
  </si>
  <si>
    <t>C.R.E.A.M. (Cash Rules Everything Around Me)</t>
  </si>
  <si>
    <t>0.00958</t>
  </si>
  <si>
    <t>3tQd5mwBtVyxCoEo4htGAV</t>
  </si>
  <si>
    <t>Cypress Hill</t>
  </si>
  <si>
    <t>https://api.spotify.com/v1/tracks/1oTHteQbmJw15rPxPVXUTv</t>
  </si>
  <si>
    <t>spotify:track:1oTHteQbmJw15rPxPVXUTv</t>
  </si>
  <si>
    <t>Black Sunday</t>
  </si>
  <si>
    <t>https://api.spotify.com/v1/audio-analysis/1oTHteQbmJw15rPxPVXUTv</t>
  </si>
  <si>
    <t>1oTHteQbmJw15rPxPVXUTv</t>
  </si>
  <si>
    <t>Insane in the Brain</t>
  </si>
  <si>
    <t>02lktkm4J7K7N8T63Gm7KX</t>
  </si>
  <si>
    <t>0.0291</t>
  </si>
  <si>
    <t>Outkast</t>
  </si>
  <si>
    <t>https://api.spotify.com/v1/tracks/2vfvGlqCB7oertO5VLE0sz</t>
  </si>
  <si>
    <t>spotify:track:2vfvGlqCB7oertO5VLE0sz</t>
  </si>
  <si>
    <t>ATLiens</t>
  </si>
  <si>
    <t>https://api.spotify.com/v1/audio-analysis/2vfvGlqCB7oertO5VLE0sz</t>
  </si>
  <si>
    <t>2vfvGlqCB7oertO5VLE0sz</t>
  </si>
  <si>
    <t>8.01e-06</t>
  </si>
  <si>
    <t>1IaBCF26OjgYwUCEPaIyC0</t>
  </si>
  <si>
    <t>Nas</t>
  </si>
  <si>
    <t>https://api.spotify.com/v1/tracks/0trHOzAhNpGCsGBEu7dOJo</t>
  </si>
  <si>
    <t>spotify:track:0trHOzAhNpGCsGBEu7dOJo</t>
  </si>
  <si>
    <t>Illmatic</t>
  </si>
  <si>
    <t>https://api.spotify.com/v1/audio-analysis/0trHOzAhNpGCsGBEu7dOJo</t>
  </si>
  <si>
    <t>0trHOzAhNpGCsGBEu7dOJo</t>
  </si>
  <si>
    <t>N.Y. State of Mind</t>
  </si>
  <si>
    <t>3kEtdS2pH6hKcMU9Wioob1</t>
  </si>
  <si>
    <t>Ice Cube, Das EFX</t>
  </si>
  <si>
    <t>https://api.spotify.com/v1/tracks/3NGT0Td7H4Is1qrlDQJxma</t>
  </si>
  <si>
    <t>spotify:track:3NGT0Td7H4Is1qrlDQJxma</t>
  </si>
  <si>
    <t>Bootlegs And B-Sides</t>
  </si>
  <si>
    <t>https://api.spotify.com/v1/audio-analysis/3NGT0Td7H4Is1qrlDQJxma</t>
  </si>
  <si>
    <t>3NGT0Td7H4Is1qrlDQJxma</t>
  </si>
  <si>
    <t>Check Yo Self - Remix</t>
  </si>
  <si>
    <t>8.6e-06</t>
  </si>
  <si>
    <t>5WMLlQk7xLN9A40jipd3xo</t>
  </si>
  <si>
    <t>https://api.spotify.com/v1/tracks/6tDxrq4FxEL2q15y37tXT9</t>
  </si>
  <si>
    <t>spotify:track:6tDxrq4FxEL2q15y37tXT9</t>
  </si>
  <si>
    <t>Me Against The World</t>
  </si>
  <si>
    <t>https://api.spotify.com/v1/audio-analysis/6tDxrq4FxEL2q15y37tXT9</t>
  </si>
  <si>
    <t>6tDxrq4FxEL2q15y37tXT9</t>
  </si>
  <si>
    <t>Dear Mama</t>
  </si>
  <si>
    <t>3OrucS4sHv6Bl9GS4rafEk</t>
  </si>
  <si>
    <t>0.813</t>
  </si>
  <si>
    <t>0.237</t>
  </si>
  <si>
    <t>0.241</t>
  </si>
  <si>
    <t>0.268</t>
  </si>
  <si>
    <t>https://api.spotify.com/v1/tracks/7N1Vjtzr1lmmCW9iasQ8YO</t>
  </si>
  <si>
    <t>spotify:track:7N1Vjtzr1lmmCW9iasQ8YO</t>
  </si>
  <si>
    <t>https://api.spotify.com/v1/audio-analysis/7N1Vjtzr1lmmCW9iasQ8YO</t>
  </si>
  <si>
    <t>7N1Vjtzr1lmmCW9iasQ8YO</t>
  </si>
  <si>
    <t>Survival of the Fittest</t>
  </si>
  <si>
    <t>1.26e-06</t>
  </si>
  <si>
    <t>The Notorious B.I.G., Mase, Diddy</t>
  </si>
  <si>
    <t>0.0759</t>
  </si>
  <si>
    <t>https://api.spotify.com/v1/tracks/4INDiWSKvqSKDEu7mh8HFz</t>
  </si>
  <si>
    <t>spotify:track:4INDiWSKvqSKDEu7mh8HFz</t>
  </si>
  <si>
    <t>https://api.spotify.com/v1/audio-analysis/4INDiWSKvqSKDEu7mh8HFz</t>
  </si>
  <si>
    <t>4INDiWSKvqSKDEu7mh8HFz</t>
  </si>
  <si>
    <t>Mo Money Mo Problems (feat. Puff Daddy &amp; Mase) - 2014 Remaster</t>
  </si>
  <si>
    <t>2.1e-06</t>
  </si>
  <si>
    <t>0.0128</t>
  </si>
  <si>
    <t>A Tribe Called Quest</t>
  </si>
  <si>
    <t>https://api.spotify.com/v1/tracks/3Ti0GdlrotgwsAVBBugv0I</t>
  </si>
  <si>
    <t>spotify:track:3Ti0GdlrotgwsAVBBugv0I</t>
  </si>
  <si>
    <t>People's Instinctive Travels and the Paths of Rhythm (25th Anniversary Edition)</t>
  </si>
  <si>
    <t>https://api.spotify.com/v1/audio-analysis/3Ti0GdlrotgwsAVBBugv0I</t>
  </si>
  <si>
    <t>3Ti0GdlrotgwsAVBBugv0I</t>
  </si>
  <si>
    <t>Can I Kick It?</t>
  </si>
  <si>
    <t>0.000699</t>
  </si>
  <si>
    <t>3kV0i1qqudjf0PGawJ4jck</t>
  </si>
  <si>
    <t>https://api.spotify.com/v1/tracks/0XRbYXQUymj9SJkrr8YK5B</t>
  </si>
  <si>
    <t>spotify:track:0XRbYXQUymj9SJkrr8YK5B</t>
  </si>
  <si>
    <t>Strictly 4 My N.I.G.G.A.Z...</t>
  </si>
  <si>
    <t>https://api.spotify.com/v1/audio-analysis/0XRbYXQUymj9SJkrr8YK5B</t>
  </si>
  <si>
    <t>0XRbYXQUymj9SJkrr8YK5B</t>
  </si>
  <si>
    <t>Keep Ya Head Up</t>
  </si>
  <si>
    <t>7FK1855C3n1Q0RKbmvl7ll</t>
  </si>
  <si>
    <t>80s Rock Anthems</t>
  </si>
  <si>
    <t>80s</t>
  </si>
  <si>
    <t>37i9dQZF1DX1spT6G94GFC</t>
  </si>
  <si>
    <t>Tears For Fears</t>
  </si>
  <si>
    <t>https://api.spotify.com/v1/tracks/4RvWPyQ5RL0ao9LPZeSouE</t>
  </si>
  <si>
    <t>spotify:track:4RvWPyQ5RL0ao9LPZeSouE</t>
  </si>
  <si>
    <t>Songs From The Big Chair (Super Deluxe Edition)</t>
  </si>
  <si>
    <t>https://api.spotify.com/v1/audio-analysis/4RvWPyQ5RL0ao9LPZeSouE</t>
  </si>
  <si>
    <t>4RvWPyQ5RL0ao9LPZeSouE</t>
  </si>
  <si>
    <t>Everybody Wants To Rule The World</t>
  </si>
  <si>
    <t>0.00389</t>
  </si>
  <si>
    <t>3myPwaMYjdwhtq0nFgeG6W</t>
  </si>
  <si>
    <t>119.25</t>
  </si>
  <si>
    <t>Journey</t>
  </si>
  <si>
    <t>0.0392</t>
  </si>
  <si>
    <t>https://api.spotify.com/v1/tracks/77NNZQSqzLNqh2A9JhLRkg</t>
  </si>
  <si>
    <t>spotify:track:77NNZQSqzLNqh2A9JhLRkg</t>
  </si>
  <si>
    <t>The Essential Journey</t>
  </si>
  <si>
    <t>https://api.spotify.com/v1/audio-analysis/77NNZQSqzLNqh2A9JhLRkg</t>
  </si>
  <si>
    <t>77NNZQSqzLNqh2A9JhLRkg</t>
  </si>
  <si>
    <t>Don't Stop Believin'</t>
  </si>
  <si>
    <t>5pfpXvoJtSIFrbPIoBEv3R</t>
  </si>
  <si>
    <t>-5.64</t>
  </si>
  <si>
    <t>https://api.spotify.com/v1/tracks/7FwBtcecmlpc1sLySPXeGE</t>
  </si>
  <si>
    <t>spotify:track:7FwBtcecmlpc1sLySPXeGE</t>
  </si>
  <si>
    <t>https://api.spotify.com/v1/audio-analysis/7FwBtcecmlpc1sLySPXeGE</t>
  </si>
  <si>
    <t>7FwBtcecmlpc1sLySPXeGE</t>
  </si>
  <si>
    <t>Dancing In the Dark</t>
  </si>
  <si>
    <t>0.959</t>
  </si>
  <si>
    <t>0.541</t>
  </si>
  <si>
    <t>0.0505</t>
  </si>
  <si>
    <t>https://api.spotify.com/v1/tracks/0rmGAIH9LNJewFw7nKzZnc</t>
  </si>
  <si>
    <t>spotify:track:0rmGAIH9LNJewFw7nKzZnc</t>
  </si>
  <si>
    <t>Slippery When Wet</t>
  </si>
  <si>
    <t>https://api.spotify.com/v1/audio-analysis/0rmGAIH9LNJewFw7nKzZnc</t>
  </si>
  <si>
    <t>0rmGAIH9LNJewFw7nKzZnc</t>
  </si>
  <si>
    <t>You Give Love A Bad Name</t>
  </si>
  <si>
    <t>2.18e-06</t>
  </si>
  <si>
    <t>0kBfgEilUFCMIQY5IOjG4t</t>
  </si>
  <si>
    <t>0.0663</t>
  </si>
  <si>
    <t>139.13</t>
  </si>
  <si>
    <t>Bryan Adams</t>
  </si>
  <si>
    <t>https://api.spotify.com/v1/tracks/0GONea6G2XdnHWjNZd6zt3</t>
  </si>
  <si>
    <t>spotify:track:0GONea6G2XdnHWjNZd6zt3</t>
  </si>
  <si>
    <t>Reckless (30th Anniversary / Deluxe Edition)</t>
  </si>
  <si>
    <t>https://api.spotify.com/v1/audio-analysis/0GONea6G2XdnHWjNZd6zt3</t>
  </si>
  <si>
    <t>0GONea6G2XdnHWjNZd6zt3</t>
  </si>
  <si>
    <t>Summer Of '69</t>
  </si>
  <si>
    <t>2o2G49EPi4lua5zgxUKhLL</t>
  </si>
  <si>
    <t>0.0183</t>
  </si>
  <si>
    <t>0.462</t>
  </si>
  <si>
    <t>Queen, David Bowie</t>
  </si>
  <si>
    <t>https://api.spotify.com/v1/tracks/2fuCquhmrzHpu5xcA1ci9x</t>
  </si>
  <si>
    <t>spotify:track:2fuCquhmrzHpu5xcA1ci9x</t>
  </si>
  <si>
    <t>Hot Space (2011 Remaster)</t>
  </si>
  <si>
    <t>https://api.spotify.com/v1/audio-analysis/2fuCquhmrzHpu5xcA1ci9x</t>
  </si>
  <si>
    <t>2fuCquhmrzHpu5xcA1ci9x</t>
  </si>
  <si>
    <t>Under Pressure - Remastered 2011</t>
  </si>
  <si>
    <t>6reTSIf5MoBco62rk8T7Q1</t>
  </si>
  <si>
    <t>0.0918</t>
  </si>
  <si>
    <t>0.971</t>
  </si>
  <si>
    <t>0.0354</t>
  </si>
  <si>
    <t>https://api.spotify.com/v1/tracks/7HKez549fwJQDzx3zLjHKC</t>
  </si>
  <si>
    <t>spotify:track:7HKez549fwJQDzx3zLjHKC</t>
  </si>
  <si>
    <t>Tattoo You (2009 Re-Mastered)</t>
  </si>
  <si>
    <t>https://api.spotify.com/v1/audio-analysis/7HKez549fwJQDzx3zLjHKC</t>
  </si>
  <si>
    <t>7HKez549fwJQDzx3zLjHKC</t>
  </si>
  <si>
    <t>Start Me Up - Remastered 2009</t>
  </si>
  <si>
    <t>15XNBzVWARPMlu0sEbfBjJ</t>
  </si>
  <si>
    <t>0.0429</t>
  </si>
  <si>
    <t>0.0702</t>
  </si>
  <si>
    <t>https://api.spotify.com/v1/tracks/7N3PAbqfTjSEU1edb2tY8j</t>
  </si>
  <si>
    <t>spotify:track:7N3PAbqfTjSEU1edb2tY8j</t>
  </si>
  <si>
    <t>https://api.spotify.com/v1/audio-analysis/7N3PAbqfTjSEU1edb2tY8j</t>
  </si>
  <si>
    <t>7N3PAbqfTjSEU1edb2tY8j</t>
  </si>
  <si>
    <t>Jump - 2015 Remaster</t>
  </si>
  <si>
    <t>0.000377</t>
  </si>
  <si>
    <t>Europe</t>
  </si>
  <si>
    <t>https://api.spotify.com/v1/tracks/3MrRksHupTVEQ7YbA0FsZK</t>
  </si>
  <si>
    <t>spotify:track:3MrRksHupTVEQ7YbA0FsZK</t>
  </si>
  <si>
    <t>The Final Countdown (Expanded Edition)</t>
  </si>
  <si>
    <t>https://api.spotify.com/v1/audio-analysis/3MrRksHupTVEQ7YbA0FsZK</t>
  </si>
  <si>
    <t>3MrRksHupTVEQ7YbA0FsZK</t>
  </si>
  <si>
    <t>The Final Countdown</t>
  </si>
  <si>
    <t>0.000827</t>
  </si>
  <si>
    <t>5Jkd47JEaCU1g4DcGBnHm3</t>
  </si>
  <si>
    <t>0.0628</t>
  </si>
  <si>
    <t>0.873</t>
  </si>
  <si>
    <t>0.303</t>
  </si>
  <si>
    <t>https://api.spotify.com/v1/tracks/69QHm3pustz01CJRwdo20z</t>
  </si>
  <si>
    <t>spotify:track:69QHm3pustz01CJRwdo20z</t>
  </si>
  <si>
    <t>https://api.spotify.com/v1/audio-analysis/69QHm3pustz01CJRwdo20z</t>
  </si>
  <si>
    <t>69QHm3pustz01CJRwdo20z</t>
  </si>
  <si>
    <t>Hells Bells</t>
  </si>
  <si>
    <t>0.0055</t>
  </si>
  <si>
    <t>0.00532</t>
  </si>
  <si>
    <t>https://api.spotify.com/v1/tracks/44aTAUBF0g6sMkMNE8I5kd</t>
  </si>
  <si>
    <t>spotify:track:44aTAUBF0g6sMkMNE8I5kd</t>
  </si>
  <si>
    <t>Ghost In The Machine (Remastered 2003)</t>
  </si>
  <si>
    <t>https://api.spotify.com/v1/audio-analysis/44aTAUBF0g6sMkMNE8I5kd</t>
  </si>
  <si>
    <t>44aTAUBF0g6sMkMNE8I5kd</t>
  </si>
  <si>
    <t>Every Little Thing She Does Is Magic</t>
  </si>
  <si>
    <t>0.0626</t>
  </si>
  <si>
    <t>5jkwdY6jS1Hzi8epr6HW7h</t>
  </si>
  <si>
    <t>114.02</t>
  </si>
  <si>
    <t>https://api.spotify.com/v1/tracks/7gSQv1OHpkIoAdUiRLdmI6</t>
  </si>
  <si>
    <t>spotify:track:7gSQv1OHpkIoAdUiRLdmI6</t>
  </si>
  <si>
    <t>https://api.spotify.com/v1/audio-analysis/7gSQv1OHpkIoAdUiRLdmI6</t>
  </si>
  <si>
    <t>7gSQv1OHpkIoAdUiRLdmI6</t>
  </si>
  <si>
    <t>I Won't Back Down</t>
  </si>
  <si>
    <t>2.49e-06</t>
  </si>
  <si>
    <t>https://api.spotify.com/v1/tracks/0oerlffJSzhRVvtDfLcp3N</t>
  </si>
  <si>
    <t>spotify:track:0oerlffJSzhRVvtDfLcp3N</t>
  </si>
  <si>
    <t>https://api.spotify.com/v1/audio-analysis/0oerlffJSzhRVvtDfLcp3N</t>
  </si>
  <si>
    <t>0oerlffJSzhRVvtDfLcp3N</t>
  </si>
  <si>
    <t>Wanted Dead Or Alive</t>
  </si>
  <si>
    <t>126.59</t>
  </si>
  <si>
    <t>0.0265</t>
  </si>
  <si>
    <t>https://api.spotify.com/v1/tracks/2RWFncSWZEhSRRifqiDNVV</t>
  </si>
  <si>
    <t>spotify:track:2RWFncSWZEhSRRifqiDNVV</t>
  </si>
  <si>
    <t>https://api.spotify.com/v1/audio-analysis/2RWFncSWZEhSRRifqiDNVV</t>
  </si>
  <si>
    <t>2RWFncSWZEhSRRifqiDNVV</t>
  </si>
  <si>
    <t>Run To You</t>
  </si>
  <si>
    <t>3.66e-05</t>
  </si>
  <si>
    <t>0.00515</t>
  </si>
  <si>
    <t>https://api.spotify.com/v1/tracks/56KqaFSGTb7ifpt16t5Y1N</t>
  </si>
  <si>
    <t>spotify:track:56KqaFSGTb7ifpt16t5Y1N</t>
  </si>
  <si>
    <t>https://api.spotify.com/v1/audio-analysis/56KqaFSGTb7ifpt16t5Y1N</t>
  </si>
  <si>
    <t>56KqaFSGTb7ifpt16t5Y1N</t>
  </si>
  <si>
    <t>Rock the Casbah - Remastered</t>
  </si>
  <si>
    <t>0.299</t>
  </si>
  <si>
    <t>Duran Duran</t>
  </si>
  <si>
    <t>https://api.spotify.com/v1/tracks/39lSeqnyjZJejRuaREfyLL</t>
  </si>
  <si>
    <t>spotify:track:39lSeqnyjZJejRuaREfyLL</t>
  </si>
  <si>
    <t>Rio (Collector's Edition)</t>
  </si>
  <si>
    <t>https://api.spotify.com/v1/audio-analysis/39lSeqnyjZJejRuaREfyLL</t>
  </si>
  <si>
    <t>39lSeqnyjZJejRuaREfyLL</t>
  </si>
  <si>
    <t>Hungry Like the Wolf - 2009 Remaster</t>
  </si>
  <si>
    <t>02tfQwJSOLP77oCd9U8bqm</t>
  </si>
  <si>
    <t>-6.76</t>
  </si>
  <si>
    <t>https://api.spotify.com/v1/tracks/1YrnDTqvcnUKxAIeXyaEmU</t>
  </si>
  <si>
    <t>spotify:track:1YrnDTqvcnUKxAIeXyaEmU</t>
  </si>
  <si>
    <t>Hatful of Hollow</t>
  </si>
  <si>
    <t>https://api.spotify.com/v1/audio-analysis/1YrnDTqvcnUKxAIeXyaEmU</t>
  </si>
  <si>
    <t>1YrnDTqvcnUKxAIeXyaEmU</t>
  </si>
  <si>
    <t>How Soon Is Now? - 2011 Remaster</t>
  </si>
  <si>
    <t>1j57Q5ntVi7crpibb0h4sv</t>
  </si>
  <si>
    <t>0.000854</t>
  </si>
  <si>
    <t>0.511</t>
  </si>
  <si>
    <t>https://api.spotify.com/v1/tracks/2gQaQUhDCNGfBVXTvxAmXQ</t>
  </si>
  <si>
    <t>spotify:track:2gQaQUhDCNGfBVXTvxAmXQ</t>
  </si>
  <si>
    <t>Songs From The Big Chair</t>
  </si>
  <si>
    <t>https://api.spotify.com/v1/audio-analysis/2gQaQUhDCNGfBVXTvxAmXQ</t>
  </si>
  <si>
    <t>2gQaQUhDCNGfBVXTvxAmXQ</t>
  </si>
  <si>
    <t>Shout</t>
  </si>
  <si>
    <t>1.87e-05</t>
  </si>
  <si>
    <t>7y7459SFZReE5Wec4hejv5</t>
  </si>
  <si>
    <t>0.96</t>
  </si>
  <si>
    <t>https://api.spotify.com/v1/tracks/1pTw2cNrp9L3esxLAvWnN2</t>
  </si>
  <si>
    <t>spotify:track:1pTw2cNrp9L3esxLAvWnN2</t>
  </si>
  <si>
    <t>Frontiers (2023 Remaster)</t>
  </si>
  <si>
    <t>https://api.spotify.com/v1/audio-analysis/1pTw2cNrp9L3esxLAvWnN2</t>
  </si>
  <si>
    <t>1pTw2cNrp9L3esxLAvWnN2</t>
  </si>
  <si>
    <t>Separate Ways (Worlds Apart) [2023 Remaster]</t>
  </si>
  <si>
    <t>1.81e-06</t>
  </si>
  <si>
    <t>3pZ6D15onAaT2YyiTbcHmh</t>
  </si>
  <si>
    <t>https://api.spotify.com/v1/tracks/2Y90nL1ohB4sgYELDs7uNx</t>
  </si>
  <si>
    <t>spotify:track:2Y90nL1ohB4sgYELDs7uNx</t>
  </si>
  <si>
    <t>https://api.spotify.com/v1/audio-analysis/2Y90nL1ohB4sgYELDs7uNx</t>
  </si>
  <si>
    <t>2Y90nL1ohB4sgYELDs7uNx</t>
  </si>
  <si>
    <t>Glory Days</t>
  </si>
  <si>
    <t>0.0457</t>
  </si>
  <si>
    <t>0.0818</t>
  </si>
  <si>
    <t>Stevie Nicks</t>
  </si>
  <si>
    <t>0.0454</t>
  </si>
  <si>
    <t>https://api.spotify.com/v1/tracks/7L3b6iaVhDVjfo52Hbvh9Z</t>
  </si>
  <si>
    <t>spotify:track:7L3b6iaVhDVjfo52Hbvh9Z</t>
  </si>
  <si>
    <t>Bella Donna (2016 Remastered)</t>
  </si>
  <si>
    <t>https://api.spotify.com/v1/audio-analysis/7L3b6iaVhDVjfo52Hbvh9Z</t>
  </si>
  <si>
    <t>7L3b6iaVhDVjfo52Hbvh9Z</t>
  </si>
  <si>
    <t>Edge of Seventeen - 2016 Remaster</t>
  </si>
  <si>
    <t>5.98e-06</t>
  </si>
  <si>
    <t>0IomjU2bXFng4LQBYn7Het</t>
  </si>
  <si>
    <t>0.327</t>
  </si>
  <si>
    <t>119.18</t>
  </si>
  <si>
    <t>Midnight Oil</t>
  </si>
  <si>
    <t>https://api.spotify.com/v1/tracks/1CtAzw53AIXKjAemxy4b1j</t>
  </si>
  <si>
    <t>spotify:track:1CtAzw53AIXKjAemxy4b1j</t>
  </si>
  <si>
    <t>Diesel And Dust</t>
  </si>
  <si>
    <t>https://api.spotify.com/v1/audio-analysis/1CtAzw53AIXKjAemxy4b1j</t>
  </si>
  <si>
    <t>1CtAzw53AIXKjAemxy4b1j</t>
  </si>
  <si>
    <t>Beds Are Burning - Remastered</t>
  </si>
  <si>
    <t>0.00065</t>
  </si>
  <si>
    <t>243XzHQegX82bPnUVQ0SPV</t>
  </si>
  <si>
    <t>0.00787</t>
  </si>
  <si>
    <t>0.0365</t>
  </si>
  <si>
    <t>0.0606</t>
  </si>
  <si>
    <t>https://api.spotify.com/v1/tracks/5veJDT0MLsLbhYsx42GXUD</t>
  </si>
  <si>
    <t>spotify:track:5veJDT0MLsLbhYsx42GXUD</t>
  </si>
  <si>
    <t>Zenyatta Mondatta (Remastered 2003)</t>
  </si>
  <si>
    <t>https://api.spotify.com/v1/audio-analysis/5veJDT0MLsLbhYsx42GXUD</t>
  </si>
  <si>
    <t>5veJDT0MLsLbhYsx42GXUD</t>
  </si>
  <si>
    <t>Don't Stand So Close To Me</t>
  </si>
  <si>
    <t>0.00107</t>
  </si>
  <si>
    <t>23enz9nXJhH1BR1Rm5CzDJ</t>
  </si>
  <si>
    <t>0.0453</t>
  </si>
  <si>
    <t>John Mellencamp</t>
  </si>
  <si>
    <t>https://api.spotify.com/v1/tracks/67eX1ovaHyVPUinMHeUtIM</t>
  </si>
  <si>
    <t>spotify:track:67eX1ovaHyVPUinMHeUtIM</t>
  </si>
  <si>
    <t>American Fool</t>
  </si>
  <si>
    <t>https://api.spotify.com/v1/audio-analysis/67eX1ovaHyVPUinMHeUtIM</t>
  </si>
  <si>
    <t>67eX1ovaHyVPUinMHeUtIM</t>
  </si>
  <si>
    <t>Hurts So Good</t>
  </si>
  <si>
    <t>4gouGcdQn9OvjX42xnWrF0</t>
  </si>
  <si>
    <t>107.01</t>
  </si>
  <si>
    <t>0.0274</t>
  </si>
  <si>
    <t>https://api.spotify.com/v1/tracks/2PFIZFcGry0po3ZfRZkzKc</t>
  </si>
  <si>
    <t>spotify:track:2PFIZFcGry0po3ZfRZkzKc</t>
  </si>
  <si>
    <t>Hysteria</t>
  </si>
  <si>
    <t>https://api.spotify.com/v1/audio-analysis/2PFIZFcGry0po3ZfRZkzKc</t>
  </si>
  <si>
    <t>2PFIZFcGry0po3ZfRZkzKc</t>
  </si>
  <si>
    <t>1ja2qzCrh6bZykcojbZs82</t>
  </si>
  <si>
    <t>0.553</t>
  </si>
  <si>
    <t>0.0737</t>
  </si>
  <si>
    <t>Blondie</t>
  </si>
  <si>
    <t>0.0347</t>
  </si>
  <si>
    <t>https://api.spotify.com/v1/tracks/7HKxTNVlkHsfMLhigmhC0I</t>
  </si>
  <si>
    <t>spotify:track:7HKxTNVlkHsfMLhigmhC0I</t>
  </si>
  <si>
    <t>Call Me</t>
  </si>
  <si>
    <t>https://api.spotify.com/v1/audio-analysis/7HKxTNVlkHsfMLhigmhC0I</t>
  </si>
  <si>
    <t>7HKxTNVlkHsfMLhigmhC0I</t>
  </si>
  <si>
    <t>0.00246</t>
  </si>
  <si>
    <t>18fOLsMG8Msf1DEaW0E71K</t>
  </si>
  <si>
    <t>0.000646</t>
  </si>
  <si>
    <t>0.0803</t>
  </si>
  <si>
    <t>0.0657</t>
  </si>
  <si>
    <t>https://api.spotify.com/v1/tracks/5NLuC70kZQv8q34QyQa1DP</t>
  </si>
  <si>
    <t>spotify:track:5NLuC70kZQv8q34QyQa1DP</t>
  </si>
  <si>
    <t>Licensed To Ill</t>
  </si>
  <si>
    <t>https://api.spotify.com/v1/audio-analysis/5NLuC70kZQv8q34QyQa1DP</t>
  </si>
  <si>
    <t>5NLuC70kZQv8q34QyQa1DP</t>
  </si>
  <si>
    <t>Fight For Your Right</t>
  </si>
  <si>
    <t>0.00234</t>
  </si>
  <si>
    <t>11oR0ZuqB3ucZwb5TGbZxb</t>
  </si>
  <si>
    <t>https://api.spotify.com/v1/tracks/43GS3mtezoIFiuIZCLLiDY</t>
  </si>
  <si>
    <t>spotify:track:43GS3mtezoIFiuIZCLLiDY</t>
  </si>
  <si>
    <t>Open Up And Say...Ahh! (20th Anniversary Edition)</t>
  </si>
  <si>
    <t>https://api.spotify.com/v1/audio-analysis/43GS3mtezoIFiuIZCLLiDY</t>
  </si>
  <si>
    <t>43GS3mtezoIFiuIZCLLiDY</t>
  </si>
  <si>
    <t>Every Rose Has Its Thorn - 2003 Remaster</t>
  </si>
  <si>
    <t>1.14e-05</t>
  </si>
  <si>
    <t>2AMWVB3FWknjcMeb6hMZnd</t>
  </si>
  <si>
    <t>119.96</t>
  </si>
  <si>
    <t>GIMS, DYSTINCT</t>
  </si>
  <si>
    <t>0.197</t>
  </si>
  <si>
    <t>https://api.spotify.com/v1/tracks/2fFTn0f94EopgZyfSGQuyK</t>
  </si>
  <si>
    <t>spotify:track:2fFTn0f94EopgZyfSGQuyK</t>
  </si>
  <si>
    <t>SPIDER</t>
  </si>
  <si>
    <t>French Rap Classics</t>
  </si>
  <si>
    <t>https://api.spotify.com/v1/audio-analysis/2fFTn0f94EopgZyfSGQuyK</t>
  </si>
  <si>
    <t>2fFTn0f94EopgZyfSGQuyK</t>
  </si>
  <si>
    <t>1.73e-06</t>
  </si>
  <si>
    <t>5stpXgOAVPkVA7WDPB4IZf</t>
  </si>
  <si>
    <t>french</t>
  </si>
  <si>
    <t>6OYaw7arTfoGEHpGdItkLQ</t>
  </si>
  <si>
    <t>Central Cee, JRK 19</t>
  </si>
  <si>
    <t>https://api.spotify.com/v1/tracks/14DLZ9FaTofhnXBiV38axE</t>
  </si>
  <si>
    <t>spotify:track:14DLZ9FaTofhnXBiV38axE</t>
  </si>
  <si>
    <t>Bolide Noir</t>
  </si>
  <si>
    <t>https://api.spotify.com/v1/audio-analysis/14DLZ9FaTofhnXBiV38axE</t>
  </si>
  <si>
    <t>14DLZ9FaTofhnXBiV38axE</t>
  </si>
  <si>
    <t>6ujcbx6rGcYFkLw6epuWHW</t>
  </si>
  <si>
    <t>Gazo, Tiakola</t>
  </si>
  <si>
    <t>https://api.spotify.com/v1/tracks/6yqwxY8qifBBhyryjZutxk</t>
  </si>
  <si>
    <t>spotify:track:6yqwxY8qifBBhyryjZutxk</t>
  </si>
  <si>
    <t>LA MELO EST GANGX</t>
  </si>
  <si>
    <t>https://api.spotify.com/v1/audio-analysis/6yqwxY8qifBBhyryjZutxk</t>
  </si>
  <si>
    <t>6yqwxY8qifBBhyryjZutxk</t>
  </si>
  <si>
    <t>MAMI WATA</t>
  </si>
  <si>
    <t>4C9mVDiMHuxOZ2eORwkCE1</t>
  </si>
  <si>
    <t>k-pop</t>
  </si>
  <si>
    <t>NAYEON</t>
  </si>
  <si>
    <t>0.0607</t>
  </si>
  <si>
    <t>https://api.spotify.com/v1/tracks/0V2passWyAXnON67kfAj7y</t>
  </si>
  <si>
    <t>spotify:track:0V2passWyAXnON67kfAj7y</t>
  </si>
  <si>
    <t>NA</t>
  </si>
  <si>
    <t>K-Pop Daebak</t>
  </si>
  <si>
    <t>https://api.spotify.com/v1/audio-analysis/0V2passWyAXnON67kfAj7y</t>
  </si>
  <si>
    <t>0V2passWyAXnON67kfAj7y</t>
  </si>
  <si>
    <t>ABCD</t>
  </si>
  <si>
    <t>5zQI9dFbS9TrhvC9clgjz7</t>
  </si>
  <si>
    <t>0.0404</t>
  </si>
  <si>
    <t>1bNuDsel3P60p11Z7vfHMR</t>
  </si>
  <si>
    <t>0.0293</t>
  </si>
  <si>
    <t>https://api.spotify.com/v1/tracks/6vvPecFTmWxDfEJ6cYT1wa</t>
  </si>
  <si>
    <t>spotify:track:6vvPecFTmWxDfEJ6cYT1wa</t>
  </si>
  <si>
    <t>Rockstar</t>
  </si>
  <si>
    <t>https://api.spotify.com/v1/audio-analysis/6vvPecFTmWxDfEJ6cYT1wa</t>
  </si>
  <si>
    <t>6vvPecFTmWxDfEJ6cYT1wa</t>
  </si>
  <si>
    <t>7wIIhHPyaxAHRvdNQQO2G9</t>
  </si>
  <si>
    <t>0.0738</t>
  </si>
  <si>
    <t>aespa</t>
  </si>
  <si>
    <t>https://api.spotify.com/v1/tracks/2VdSktBqFfkW7y6q5Ik4Z4</t>
  </si>
  <si>
    <t>spotify:track:2VdSktBqFfkW7y6q5Ik4Z4</t>
  </si>
  <si>
    <t>Armageddon - The 1st Album</t>
  </si>
  <si>
    <t>https://api.spotify.com/v1/audio-analysis/2VdSktBqFfkW7y6q5Ik4Z4</t>
  </si>
  <si>
    <t>2VdSktBqFfkW7y6q5Ik4Z4</t>
  </si>
  <si>
    <t>Supernova</t>
  </si>
  <si>
    <t>1.69e-06</t>
  </si>
  <si>
    <t>3gHhPm8z8tid1kvpniUKuK</t>
  </si>
  <si>
    <t>0.0073</t>
  </si>
  <si>
    <t>0.0666</t>
  </si>
  <si>
    <t>https://api.spotify.com/v1/tracks/5eWcGfUCrVFMoYskyfkEPE</t>
  </si>
  <si>
    <t>spotify:track:5eWcGfUCrVFMoYskyfkEPE</t>
  </si>
  <si>
    <t>https://api.spotify.com/v1/audio-analysis/5eWcGfUCrVFMoYskyfkEPE</t>
  </si>
  <si>
    <t>5eWcGfUCrVFMoYskyfkEPE</t>
  </si>
  <si>
    <t>Armageddon</t>
  </si>
  <si>
    <t>1.41e-06</t>
  </si>
  <si>
    <t>0.0668</t>
  </si>
  <si>
    <t>0.597</t>
  </si>
  <si>
    <t>Lee Young Ji, D.O.</t>
  </si>
  <si>
    <t>https://api.spotify.com/v1/tracks/1AtFSBJibfaqfiOByQCwZ5</t>
  </si>
  <si>
    <t>spotify:track:1AtFSBJibfaqfiOByQCwZ5</t>
  </si>
  <si>
    <t>16 Fantasy</t>
  </si>
  <si>
    <t>https://api.spotify.com/v1/audio-analysis/1AtFSBJibfaqfiOByQCwZ5</t>
  </si>
  <si>
    <t>1AtFSBJibfaqfiOByQCwZ5</t>
  </si>
  <si>
    <t>Small girl (feat. D.O.)</t>
  </si>
  <si>
    <t>6ZE4nvpIEabJ0O9HbxqPHR</t>
  </si>
  <si>
    <t>ZICO, JENNIE</t>
  </si>
  <si>
    <t>0.078</t>
  </si>
  <si>
    <t>https://api.spotify.com/v1/tracks/1SS0WlKhJewviwEDZ6dWj0</t>
  </si>
  <si>
    <t>spotify:track:1SS0WlKhJewviwEDZ6dWj0</t>
  </si>
  <si>
    <t>SPOT!</t>
  </si>
  <si>
    <t>https://api.spotify.com/v1/audio-analysis/1SS0WlKhJewviwEDZ6dWj0</t>
  </si>
  <si>
    <t>1SS0WlKhJewviwEDZ6dWj0</t>
  </si>
  <si>
    <t>3K3C9JjwCGQAzj3Bu7BUaI</t>
  </si>
  <si>
    <t>NewJeans</t>
  </si>
  <si>
    <t>https://api.spotify.com/v1/tracks/38tXZcL1gZRfbqfOG0VMTH</t>
  </si>
  <si>
    <t>spotify:track:38tXZcL1gZRfbqfOG0VMTH</t>
  </si>
  <si>
    <t>How Sweet</t>
  </si>
  <si>
    <t>https://api.spotify.com/v1/audio-analysis/38tXZcL1gZRfbqfOG0VMTH</t>
  </si>
  <si>
    <t>38tXZcL1gZRfbqfOG0VMTH</t>
  </si>
  <si>
    <t>5.67e-06</t>
  </si>
  <si>
    <t>0EhZEM4RRz0yioTgucDhJq</t>
  </si>
  <si>
    <t>0.0816</t>
  </si>
  <si>
    <t>BABYMONSTER</t>
  </si>
  <si>
    <t>https://api.spotify.com/v1/tracks/1njlnn8ZKHI77Pe9szIONR</t>
  </si>
  <si>
    <t>spotify:track:1njlnn8ZKHI77Pe9szIONR</t>
  </si>
  <si>
    <t>BABYMONS7ER</t>
  </si>
  <si>
    <t>https://api.spotify.com/v1/audio-analysis/1njlnn8ZKHI77Pe9szIONR</t>
  </si>
  <si>
    <t>1njlnn8ZKHI77Pe9szIONR</t>
  </si>
  <si>
    <t>SHEESH</t>
  </si>
  <si>
    <t>0eSbsl3j8jz96LC2NCLPc4</t>
  </si>
  <si>
    <t>0.0672</t>
  </si>
  <si>
    <t>https://api.spotify.com/v1/tracks/7GDgpad2BQVuDUzaxHFakc</t>
  </si>
  <si>
    <t>spotify:track:7GDgpad2BQVuDUzaxHFakc</t>
  </si>
  <si>
    <t>https://api.spotify.com/v1/audio-analysis/7GDgpad2BQVuDUzaxHFakc</t>
  </si>
  <si>
    <t>7GDgpad2BQVuDUzaxHFakc</t>
  </si>
  <si>
    <t>LIKE THAT</t>
  </si>
  <si>
    <t>3.49e-06</t>
  </si>
  <si>
    <t>0.0968</t>
  </si>
  <si>
    <t>NCT DREAM</t>
  </si>
  <si>
    <t>https://api.spotify.com/v1/tracks/5qrFeNSIrwIc0B6Elp16Dl</t>
  </si>
  <si>
    <t>spotify:track:5qrFeNSIrwIc0B6Elp16Dl</t>
  </si>
  <si>
    <t>DREAM( )SCAPE</t>
  </si>
  <si>
    <t>https://api.spotify.com/v1/audio-analysis/5qrFeNSIrwIc0B6Elp16Dl</t>
  </si>
  <si>
    <t>5qrFeNSIrwIc0B6Elp16Dl</t>
  </si>
  <si>
    <t>Smoothie</t>
  </si>
  <si>
    <t>7aIpspBgbsrUgU7nWvz5sp</t>
  </si>
  <si>
    <t>0.00871</t>
  </si>
  <si>
    <t>-1.54</t>
  </si>
  <si>
    <t>https://api.spotify.com/v1/tracks/5XWlyfo0kZ8LF7VSyfS4Ew</t>
  </si>
  <si>
    <t>spotify:track:5XWlyfo0kZ8LF7VSyfS4Ew</t>
  </si>
  <si>
    <t>Drama - The 4th Mini Album</t>
  </si>
  <si>
    <t>https://api.spotify.com/v1/audio-analysis/5XWlyfo0kZ8LF7VSyfS4Ew</t>
  </si>
  <si>
    <t>5XWlyfo0kZ8LF7VSyfS4Ew</t>
  </si>
  <si>
    <t>Drama</t>
  </si>
  <si>
    <t>5NMtxQJy4wq3mpo3ERVnLs</t>
  </si>
  <si>
    <t>Global Top 50</t>
  </si>
  <si>
    <t>global</t>
  </si>
  <si>
    <t>37i9dQZEVXbMDoHDwVN2tF</t>
  </si>
  <si>
    <t>https://api.spotify.com/v1/tracks/50zAEIE4B1QqhPjRMK2Xmh</t>
  </si>
  <si>
    <t>spotify:track:50zAEIE4B1QqhPjRMK2Xmh</t>
  </si>
  <si>
    <t>Happy - :') (Remixes)</t>
  </si>
  <si>
    <t>https://api.spotify.com/v1/audio-analysis/50zAEIE4B1QqhPjRMK2Xmh</t>
  </si>
  <si>
    <t>50zAEIE4B1QqhPjRMK2Xmh</t>
  </si>
  <si>
    <t>3nRmQ70bczWCLWyj1aRbt6</t>
  </si>
  <si>
    <t>0.494</t>
  </si>
  <si>
    <t>https://api.spotify.com/v1/tracks/2262bWmqomIaJXwCRHr13j</t>
  </si>
  <si>
    <t>spotify:track:2262bWmqomIaJXwCRHr13j</t>
  </si>
  <si>
    <t>https://api.spotify.com/v1/audio-analysis/2262bWmqomIaJXwCRHr13j</t>
  </si>
  <si>
    <t>2262bWmqomIaJXwCRHr13j</t>
  </si>
  <si>
    <t>6.72e-05</t>
  </si>
  <si>
    <t>68CN2LzY8MoxO2udy2C22e</t>
  </si>
  <si>
    <t>https://api.spotify.com/v1/tracks/5G2f63n7IPVPPjfNIGih7Q</t>
  </si>
  <si>
    <t>spotify:track:5G2f63n7IPVPPjfNIGih7Q</t>
  </si>
  <si>
    <t>https://api.spotify.com/v1/audio-analysis/5G2f63n7IPVPPjfNIGih7Q</t>
  </si>
  <si>
    <t>5G2f63n7IPVPPjfNIGih7Q</t>
  </si>
  <si>
    <t>3iPSVi54hsacKKl1xIR2eH</t>
  </si>
  <si>
    <t>https://api.spotify.com/v1/tracks/2HRqTpkrJO5ggZyyK6NPWz</t>
  </si>
  <si>
    <t>spotify:track:2HRqTpkrJO5ggZyyK6NPWz</t>
  </si>
  <si>
    <t>https://api.spotify.com/v1/audio-analysis/2HRqTpkrJO5ggZyyK6NPWz</t>
  </si>
  <si>
    <t>2HRqTpkrJO5ggZyyK6NPWz</t>
  </si>
  <si>
    <t>5.36e-06</t>
  </si>
  <si>
    <t>Mariah Carey</t>
  </si>
  <si>
    <t>https://api.spotify.com/v1/tracks/0bYg9bo50gSsH3LtXe2SQn</t>
  </si>
  <si>
    <t>spotify:track:0bYg9bo50gSsH3LtXe2SQn</t>
  </si>
  <si>
    <t>Merry Christmas</t>
  </si>
  <si>
    <t>https://api.spotify.com/v1/audio-analysis/0bYg9bo50gSsH3LtXe2SQn</t>
  </si>
  <si>
    <t>0bYg9bo50gSsH3LtXe2SQn</t>
  </si>
  <si>
    <t>All I Want for Christmas Is You</t>
  </si>
  <si>
    <t>61ulfFSmmxMhc2wCdmdMkN</t>
  </si>
  <si>
    <t>Wham!</t>
  </si>
  <si>
    <t>https://api.spotify.com/v1/tracks/06qMRF18gwbOYYbnP2du6i</t>
  </si>
  <si>
    <t>spotify:track:06qMRF18gwbOYYbnP2du6i</t>
  </si>
  <si>
    <t>The Singles: Echoes from the Edge of Heaven</t>
  </si>
  <si>
    <t>https://api.spotify.com/v1/audio-analysis/06qMRF18gwbOYYbnP2du6i</t>
  </si>
  <si>
    <t>06qMRF18gwbOYYbnP2du6i</t>
  </si>
  <si>
    <t>Last Christmas - Single Version</t>
  </si>
  <si>
    <t>3.71e-06</t>
  </si>
  <si>
    <t>2wyHNTisH8PtZG8OG58xr6</t>
  </si>
  <si>
    <t>https://api.spotify.com/v1/tracks/3xkHsmpQCBMytMJNiDf3Ii</t>
  </si>
  <si>
    <t>spotify:track:3xkHsmpQCBMytMJNiDf3Ii</t>
  </si>
  <si>
    <t>https://api.spotify.com/v1/audio-analysis/3xkHsmpQCBMytMJNiDf3Ii</t>
  </si>
  <si>
    <t>3xkHsmpQCBMytMJNiDf3Ii</t>
  </si>
  <si>
    <t>https://api.spotify.com/v1/tracks/1EDPVGbyPKJPeGqATwXZvN</t>
  </si>
  <si>
    <t>spotify:track:1EDPVGbyPKJPeGqATwXZvN</t>
  </si>
  <si>
    <t>From Zero</t>
  </si>
  <si>
    <t>https://api.spotify.com/v1/audio-analysis/1EDPVGbyPKJPeGqATwXZvN</t>
  </si>
  <si>
    <t>1EDPVGbyPKJPeGqATwXZvN</t>
  </si>
  <si>
    <t>4R6FV9NSzhPihHR0h4pI93</t>
  </si>
  <si>
    <t>https://api.spotify.com/v1/tracks/2tHwzyyOLoWSFqYNjeVMzj</t>
  </si>
  <si>
    <t>spotify:track:2tHwzyyOLoWSFqYNjeVMzj</t>
  </si>
  <si>
    <t>https://api.spotify.com/v1/audio-analysis/2tHwzyyOLoWSFqYNjeVMzj</t>
  </si>
  <si>
    <t>2tHwzyyOLoWSFqYNjeVMzj</t>
  </si>
  <si>
    <t>0.369</t>
  </si>
  <si>
    <t>0.448</t>
  </si>
  <si>
    <t>Lord Huron</t>
  </si>
  <si>
    <t>https://api.spotify.com/v1/tracks/3hRV0jL3vUpRrcy398teAU</t>
  </si>
  <si>
    <t>spotify:track:3hRV0jL3vUpRrcy398teAU</t>
  </si>
  <si>
    <t>Strange Trails</t>
  </si>
  <si>
    <t>https://api.spotify.com/v1/audio-analysis/3hRV0jL3vUpRrcy398teAU</t>
  </si>
  <si>
    <t>3hRV0jL3vUpRrcy398teAU</t>
  </si>
  <si>
    <t>The Night We Met</t>
  </si>
  <si>
    <t>4sD1qg4jwTZR4mvR4Iflk5</t>
  </si>
  <si>
    <t>-2.81</t>
  </si>
  <si>
    <t>The Neighbourhood</t>
  </si>
  <si>
    <t>https://api.spotify.com/v1/tracks/2QjOHCTQ1Jl3zawyYOpxh6</t>
  </si>
  <si>
    <t>spotify:track:2QjOHCTQ1Jl3zawyYOpxh6</t>
  </si>
  <si>
    <t>I Love You.</t>
  </si>
  <si>
    <t>https://api.spotify.com/v1/audio-analysis/2QjOHCTQ1Jl3zawyYOpxh6</t>
  </si>
  <si>
    <t>2QjOHCTQ1Jl3zawyYOpxh6</t>
  </si>
  <si>
    <t>Sweater Weather</t>
  </si>
  <si>
    <t>0.0177</t>
  </si>
  <si>
    <t>4xkM0BwLM9H2IUcbYzpcBI</t>
  </si>
  <si>
    <t>0.0495</t>
  </si>
  <si>
    <t>0.0256</t>
  </si>
  <si>
    <t>https://api.spotify.com/v1/tracks/5XeFesFbtLpXzIVDNQP22n</t>
  </si>
  <si>
    <t>spotify:track:5XeFesFbtLpXzIVDNQP22n</t>
  </si>
  <si>
    <t>AM</t>
  </si>
  <si>
    <t>https://api.spotify.com/v1/audio-analysis/5XeFesFbtLpXzIVDNQP22n</t>
  </si>
  <si>
    <t>5XeFesFbtLpXzIVDNQP22n</t>
  </si>
  <si>
    <t>I Wanna Be Yours</t>
  </si>
  <si>
    <t>0.022</t>
  </si>
  <si>
    <t>78bpIziExqiI9qztvNFlQu</t>
  </si>
  <si>
    <t>Tyler, The Creator, Kali Uchis</t>
  </si>
  <si>
    <t>0.0959</t>
  </si>
  <si>
    <t>https://api.spotify.com/v1/tracks/7KA4W4McWYRpgf0fWsJZWB</t>
  </si>
  <si>
    <t>spotify:track:7KA4W4McWYRpgf0fWsJZWB</t>
  </si>
  <si>
    <t>Flower Boy</t>
  </si>
  <si>
    <t>https://api.spotify.com/v1/audio-analysis/7KA4W4McWYRpgf0fWsJZWB</t>
  </si>
  <si>
    <t>7KA4W4McWYRpgf0fWsJZWB</t>
  </si>
  <si>
    <t>See You Again (feat. Kali Uchis)</t>
  </si>
  <si>
    <t>7.49e-06</t>
  </si>
  <si>
    <t>2nkto6YNI4rUYTLqEwWJ3o</t>
  </si>
  <si>
    <t>Coldplay</t>
  </si>
  <si>
    <t>https://api.spotify.com/v1/tracks/3AJwUDP919kvQ9QcozQPxg</t>
  </si>
  <si>
    <t>spotify:track:3AJwUDP919kvQ9QcozQPxg</t>
  </si>
  <si>
    <t>Parachutes</t>
  </si>
  <si>
    <t>https://api.spotify.com/v1/audio-analysis/3AJwUDP919kvQ9QcozQPxg</t>
  </si>
  <si>
    <t>3AJwUDP919kvQ9QcozQPxg</t>
  </si>
  <si>
    <t>Yellow</t>
  </si>
  <si>
    <t>0.000121</t>
  </si>
  <si>
    <t>6ZG5lRT77aJ3btmArcykra</t>
  </si>
  <si>
    <t>0.00239</t>
  </si>
  <si>
    <t>0.0944</t>
  </si>
  <si>
    <t>Bruno Mars</t>
  </si>
  <si>
    <t>0.0406</t>
  </si>
  <si>
    <t>https://api.spotify.com/v1/tracks/0KKkJNfGyhkQ5aFogxQAPU</t>
  </si>
  <si>
    <t>spotify:track:0KKkJNfGyhkQ5aFogxQAPU</t>
  </si>
  <si>
    <t>24K Magic</t>
  </si>
  <si>
    <t>https://api.spotify.com/v1/audio-analysis/0KKkJNfGyhkQ5aFogxQAPU</t>
  </si>
  <si>
    <t>0KKkJNfGyhkQ5aFogxQAPU</t>
  </si>
  <si>
    <t>That's What I Like</t>
  </si>
  <si>
    <t>4PgleR09JVnm3zY1fW3XBA</t>
  </si>
  <si>
    <t>https://api.spotify.com/v1/tracks/3w3y8KPTfNeOKPiqUTakBh</t>
  </si>
  <si>
    <t>spotify:track:3w3y8KPTfNeOKPiqUTakBh</t>
  </si>
  <si>
    <t>Unorthodox Jukebox</t>
  </si>
  <si>
    <t>https://api.spotify.com/v1/audio-analysis/3w3y8KPTfNeOKPiqUTakBh</t>
  </si>
  <si>
    <t>3w3y8KPTfNeOKPiqUTakBh</t>
  </si>
  <si>
    <t>Locked out of Heaven</t>
  </si>
  <si>
    <t>58ufpQsJ1DS5kq4hhzQDiI</t>
  </si>
  <si>
    <t>94.99</t>
  </si>
  <si>
    <t>https://api.spotify.com/v1/tracks/1UHS8Rf6h5Ar3CDWRd3wjF</t>
  </si>
  <si>
    <t>spotify:track:1UHS8Rf6h5Ar3CDWRd3wjF</t>
  </si>
  <si>
    <t>https://api.spotify.com/v1/audio-analysis/1UHS8Rf6h5Ar3CDWRd3wjF</t>
  </si>
  <si>
    <t>1UHS8Rf6h5Ar3CDWRd3wjF</t>
  </si>
  <si>
    <t>Bed Chem</t>
  </si>
  <si>
    <t>Tyler, The Creator, Lola Young</t>
  </si>
  <si>
    <t>https://api.spotify.com/v1/tracks/6jbYpRPTEFl1HFKHk1IC0m</t>
  </si>
  <si>
    <t>spotify:track:6jbYpRPTEFl1HFKHk1IC0m</t>
  </si>
  <si>
    <t>https://api.spotify.com/v1/audio-analysis/6jbYpRPTEFl1HFKHk1IC0m</t>
  </si>
  <si>
    <t>6jbYpRPTEFl1HFKHk1IC0m</t>
  </si>
  <si>
    <t>Like Him (feat. Lola Young)</t>
  </si>
  <si>
    <t>0.000253</t>
  </si>
  <si>
    <t>One Direction</t>
  </si>
  <si>
    <t>https://api.spotify.com/v1/tracks/5O2P9iiztwhomNh8xkR9lJ</t>
  </si>
  <si>
    <t>spotify:track:5O2P9iiztwhomNh8xkR9lJ</t>
  </si>
  <si>
    <t>FOUR (Deluxe)</t>
  </si>
  <si>
    <t>https://api.spotify.com/v1/audio-analysis/5O2P9iiztwhomNh8xkR9lJ</t>
  </si>
  <si>
    <t>5O2P9iiztwhomNh8xkR9lJ</t>
  </si>
  <si>
    <t>Night Changes</t>
  </si>
  <si>
    <t>4gCNyS7pidfK3rKWhB3JOY</t>
  </si>
  <si>
    <t>0.879</t>
  </si>
  <si>
    <t>Brenda Lee</t>
  </si>
  <si>
    <t>https://api.spotify.com/v1/tracks/2EjXfH91m7f8HiJN1yQg97</t>
  </si>
  <si>
    <t>spotify:track:2EjXfH91m7f8HiJN1yQg97</t>
  </si>
  <si>
    <t>Merry Christmas From Brenda Lee</t>
  </si>
  <si>
    <t>https://api.spotify.com/v1/audio-analysis/2EjXfH91m7f8HiJN1yQg97</t>
  </si>
  <si>
    <t>2EjXfH91m7f8HiJN1yQg97</t>
  </si>
  <si>
    <t>Rockin' Around The Christmas Tree</t>
  </si>
  <si>
    <t>34wa3zf2prXFMk47t9zHFG</t>
  </si>
  <si>
    <t>The Weeknd, JENNIE, Lily-Rose Depp</t>
  </si>
  <si>
    <t>https://api.spotify.com/v1/tracks/7CyPwkp0oE8Ro9Dd5CUDjW</t>
  </si>
  <si>
    <t>spotify:track:7CyPwkp0oE8Ro9Dd5CUDjW</t>
  </si>
  <si>
    <t>The Idol Episode 4 (Music from the HBO Original Series)</t>
  </si>
  <si>
    <t>https://api.spotify.com/v1/audio-analysis/7CyPwkp0oE8Ro9Dd5CUDjW</t>
  </si>
  <si>
    <t>7CyPwkp0oE8Ro9Dd5CUDjW</t>
  </si>
  <si>
    <t>One Of The Girls (with JENNIE, Lily Rose Depp)</t>
  </si>
  <si>
    <t>2.31e-06</t>
  </si>
  <si>
    <t>7tzVd1fwkxsorytCBjEJkU</t>
  </si>
  <si>
    <t>0.424</t>
  </si>
  <si>
    <t>https://api.spotify.com/v1/tracks/7BqBn9nzAq8spo5e7cZ0dJ</t>
  </si>
  <si>
    <t>spotify:track:7BqBn9nzAq8spo5e7cZ0dJ</t>
  </si>
  <si>
    <t>Doo-Wops &amp; Hooligans</t>
  </si>
  <si>
    <t>https://api.spotify.com/v1/audio-analysis/7BqBn9nzAq8spo5e7cZ0dJ</t>
  </si>
  <si>
    <t>7BqBn9nzAq8spo5e7cZ0dJ</t>
  </si>
  <si>
    <t>Just the Way You Are</t>
  </si>
  <si>
    <t>1uyf3l2d4XYwiEqAb7t7fX</t>
  </si>
  <si>
    <t>0.067</t>
  </si>
  <si>
    <t>https://api.spotify.com/v1/tracks/5fZJQrFKWQLb7FpJXZ1g7K</t>
  </si>
  <si>
    <t>spotify:track:5fZJQrFKWQLb7FpJXZ1g7K</t>
  </si>
  <si>
    <t>Where I've Been, Isn't Where I'm Going</t>
  </si>
  <si>
    <t>https://api.spotify.com/v1/audio-analysis/5fZJQrFKWQLb7FpJXZ1g7K</t>
  </si>
  <si>
    <t>5fZJQrFKWQLb7FpJXZ1g7K</t>
  </si>
  <si>
    <t>0DLvFVIfwt3OHdK9kGeEM3</t>
  </si>
  <si>
    <t>The Kid LAROI</t>
  </si>
  <si>
    <t>https://api.spotify.com/v1/tracks/1XBYiRV30ykHw5f4wm6qEn</t>
  </si>
  <si>
    <t>spotify:track:1XBYiRV30ykHw5f4wm6qEn</t>
  </si>
  <si>
    <t>THE FIRST TIME</t>
  </si>
  <si>
    <t>https://api.spotify.com/v1/audio-analysis/1XBYiRV30ykHw5f4wm6qEn</t>
  </si>
  <si>
    <t>1XBYiRV30ykHw5f4wm6qEn</t>
  </si>
  <si>
    <t>NIGHTS LIKE THIS</t>
  </si>
  <si>
    <t>0.0016</t>
  </si>
  <si>
    <t>63IolVUykZCHMlu2zu9jHS</t>
  </si>
  <si>
    <t>0.0137</t>
  </si>
  <si>
    <t>0.0942</t>
  </si>
  <si>
    <t>The Goo Goo Dolls</t>
  </si>
  <si>
    <t>0.0362</t>
  </si>
  <si>
    <t>https://api.spotify.com/v1/tracks/6Qyc6fS4DsZjB2mRW9DsQs</t>
  </si>
  <si>
    <t>spotify:track:6Qyc6fS4DsZjB2mRW9DsQs</t>
  </si>
  <si>
    <t>Dizzy up the Girl</t>
  </si>
  <si>
    <t>https://api.spotify.com/v1/audio-analysis/6Qyc6fS4DsZjB2mRW9DsQs</t>
  </si>
  <si>
    <t>6Qyc6fS4DsZjB2mRW9DsQs</t>
  </si>
  <si>
    <t>Iris</t>
  </si>
  <si>
    <t>4UMjBXcRqIgMZ1XumU2x5T</t>
  </si>
  <si>
    <t>-5.87</t>
  </si>
  <si>
    <t>https://api.spotify.com/v1/tracks/60a0Rd6pjrkxjPbaKzXjfq</t>
  </si>
  <si>
    <t>spotify:track:60a0Rd6pjrkxjPbaKzXjfq</t>
  </si>
  <si>
    <t>Hybrid Theory (Bonus Edition)</t>
  </si>
  <si>
    <t>https://api.spotify.com/v1/audio-analysis/60a0Rd6pjrkxjPbaKzXjfq</t>
  </si>
  <si>
    <t>60a0Rd6pjrkxjPbaKzXjfq</t>
  </si>
  <si>
    <t>In the End</t>
  </si>
  <si>
    <t>6hPkbAV3ZXpGZBGUvL6jVM</t>
  </si>
  <si>
    <t>https://api.spotify.com/v1/tracks/19XpFsce28aByvCC4g89tJ</t>
  </si>
  <si>
    <t>spotify:track:19XpFsce28aByvCC4g89tJ</t>
  </si>
  <si>
    <t>Unreal Unearth: Unaired</t>
  </si>
  <si>
    <t>https://api.spotify.com/v1/audio-analysis/19XpFsce28aByvCC4g89tJ</t>
  </si>
  <si>
    <t>19XpFsce28aByvCC4g89tJ</t>
  </si>
  <si>
    <t>0.00229</t>
  </si>
  <si>
    <t>48qd9sU3xqYJbKaxHCciJL</t>
  </si>
  <si>
    <t>https://api.spotify.com/v1/tracks/21B4gaTWnTkuSh77iWEXdS</t>
  </si>
  <si>
    <t>spotify:track:21B4gaTWnTkuSh77iWEXdS</t>
  </si>
  <si>
    <t>https://api.spotify.com/v1/audio-analysis/21B4gaTWnTkuSh77iWEXdS</t>
  </si>
  <si>
    <t>21B4gaTWnTkuSh77iWEXdS</t>
  </si>
  <si>
    <t>Juno</t>
  </si>
  <si>
    <t>Vance Joy</t>
  </si>
  <si>
    <t>0.0381</t>
  </si>
  <si>
    <t>https://api.spotify.com/v1/tracks/2uXlHCUbq9OMUwx3hrk06o</t>
  </si>
  <si>
    <t>spotify:track:2uXlHCUbq9OMUwx3hrk06o</t>
  </si>
  <si>
    <t>Dream Your Life Away (Deluxe Edition)</t>
  </si>
  <si>
    <t>https://api.spotify.com/v1/audio-analysis/2uXlHCUbq9OMUwx3hrk06o</t>
  </si>
  <si>
    <t>2uXlHCUbq9OMUwx3hrk06o</t>
  </si>
  <si>
    <t>Riptide</t>
  </si>
  <si>
    <t>2biVG6BYnVVSwLYd1OjbPT</t>
  </si>
  <si>
    <t>https://api.spotify.com/v1/tracks/2HBBM75Xv3o2Mqdyh1NcM0</t>
  </si>
  <si>
    <t>spotify:track:2HBBM75Xv3o2Mqdyh1NcM0</t>
  </si>
  <si>
    <t>https://api.spotify.com/v1/audio-analysis/2HBBM75Xv3o2Mqdyh1NcM0</t>
  </si>
  <si>
    <t>2HBBM75Xv3o2Mqdyh1NcM0</t>
  </si>
  <si>
    <t>Heavy Is the Crown</t>
  </si>
  <si>
    <t>0.00932</t>
  </si>
  <si>
    <t>https://api.spotify.com/v1/tracks/0lizgQ7Qw35od7CYaoMBZb</t>
  </si>
  <si>
    <t>spotify:track:0lizgQ7Qw35od7CYaoMBZb</t>
  </si>
  <si>
    <t>Santa Tell Me</t>
  </si>
  <si>
    <t>https://api.spotify.com/v1/audio-analysis/0lizgQ7Qw35od7CYaoMBZb</t>
  </si>
  <si>
    <t>0lizgQ7Qw35od7CYaoMBZb</t>
  </si>
  <si>
    <t>27MNgBEnLCKoafz1g2Zu97</t>
  </si>
  <si>
    <t>0.0489</t>
  </si>
  <si>
    <t>0.0652</t>
  </si>
  <si>
    <t>Bobby Helms</t>
  </si>
  <si>
    <t>https://api.spotify.com/v1/tracks/7vQbuQcyTflfCIOu3Uzzya</t>
  </si>
  <si>
    <t>spotify:track:7vQbuQcyTflfCIOu3Uzzya</t>
  </si>
  <si>
    <t>Jingle Bell Rock/Captain Santa Claus (And His Reindeer Space Patrol)</t>
  </si>
  <si>
    <t>https://api.spotify.com/v1/audio-analysis/7vQbuQcyTflfCIOu3Uzzya</t>
  </si>
  <si>
    <t>7vQbuQcyTflfCIOu3Uzzya</t>
  </si>
  <si>
    <t>Jingle Bell Rock</t>
  </si>
  <si>
    <t>3wivyOdotHWZ9dcuXMjPKT</t>
  </si>
  <si>
    <t>https://api.spotify.com/v1/tracks/51ZQ1vr10ffzbwIjDCwqm4</t>
  </si>
  <si>
    <t>spotify:track:51ZQ1vr10ffzbwIjDCwqm4</t>
  </si>
  <si>
    <t>https://api.spotify.com/v1/audio-analysis/51ZQ1vr10ffzbwIjDCwqm4</t>
  </si>
  <si>
    <t>51ZQ1vr10ffzbwIjDCwqm4</t>
  </si>
  <si>
    <t>5EYKrEDnKhhcNxGedaRQeK</t>
  </si>
  <si>
    <t>-3.46</t>
  </si>
  <si>
    <t>Mora, Feid</t>
  </si>
  <si>
    <t>0.0583</t>
  </si>
  <si>
    <t>https://api.spotify.com/v1/tracks/5jt25aFjW2kNoBqaEVaz5W</t>
  </si>
  <si>
    <t>spotify:track:5jt25aFjW2kNoBqaEVaz5W</t>
  </si>
  <si>
    <t>MICRODOSIS</t>
  </si>
  <si>
    <t>Chill Spanish Vibes</t>
  </si>
  <si>
    <t>https://api.spotify.com/v1/audio-analysis/5jt25aFjW2kNoBqaEVaz5W</t>
  </si>
  <si>
    <t>5jt25aFjW2kNoBqaEVaz5W</t>
  </si>
  <si>
    <t>LA INOCENTE</t>
  </si>
  <si>
    <t>0QLDQG7Jx78rEUDW03IhHC</t>
  </si>
  <si>
    <t>chill</t>
  </si>
  <si>
    <t>0jqQDMmHIkdbkFQdQTlMEQ</t>
  </si>
  <si>
    <t>Bad Bunny, Feid</t>
  </si>
  <si>
    <t>https://api.spotify.com/v1/tracks/7iQXYTyuG13aoeHxGG28Nh</t>
  </si>
  <si>
    <t>spotify:track:7iQXYTyuG13aoeHxGG28Nh</t>
  </si>
  <si>
    <t>nadie sabe lo que va a pasar ma√±ana</t>
  </si>
  <si>
    <t>https://api.spotify.com/v1/audio-analysis/7iQXYTyuG13aoeHxGG28Nh</t>
  </si>
  <si>
    <t>7iQXYTyuG13aoeHxGG28Nh</t>
  </si>
  <si>
    <t>PERRO NEGRO</t>
  </si>
  <si>
    <t>2.16e-05</t>
  </si>
  <si>
    <t>4FftCsAcXXD1nFO9RFUNFO</t>
  </si>
  <si>
    <t>0.759</t>
  </si>
  <si>
    <t>Feid, Rema</t>
  </si>
  <si>
    <t>0.0885</t>
  </si>
  <si>
    <t>https://api.spotify.com/v1/tracks/36FTXlmbiV2diZdZukzLDm</t>
  </si>
  <si>
    <t>spotify:track:36FTXlmbiV2diZdZukzLDm</t>
  </si>
  <si>
    <t>BUBALU</t>
  </si>
  <si>
    <t>https://api.spotify.com/v1/audio-analysis/36FTXlmbiV2diZdZukzLDm</t>
  </si>
  <si>
    <t>36FTXlmbiV2diZdZukzLDm</t>
  </si>
  <si>
    <t>5.88e-06</t>
  </si>
  <si>
    <t>0RjxDLuy3YP0zLuo8VB0JX</t>
  </si>
  <si>
    <t>0.0955</t>
  </si>
  <si>
    <t>0.0838</t>
  </si>
  <si>
    <t>https://api.spotify.com/v1/tracks/26QApq0cuO9brJigr0C0W4</t>
  </si>
  <si>
    <t>spotify:track:26QApq0cuO9brJigr0C0W4</t>
  </si>
  <si>
    <t>https://api.spotify.com/v1/audio-analysis/26QApq0cuO9brJigr0C0W4</t>
  </si>
  <si>
    <t>26QApq0cuO9brJigr0C0W4</t>
  </si>
  <si>
    <t>HACIENDO QUE ME AMAS</t>
  </si>
  <si>
    <t>4.47e-05</t>
  </si>
  <si>
    <t>0.844</t>
  </si>
  <si>
    <t>Piso 21</t>
  </si>
  <si>
    <t>0.0528</t>
  </si>
  <si>
    <t>https://api.spotify.com/v1/tracks/6mm3K0yWp6uzfOMuipM9Zh</t>
  </si>
  <si>
    <t>spotify:track:6mm3K0yWp6uzfOMuipM9Zh</t>
  </si>
  <si>
    <t>El Amor En Los Tiempos Del Perreo</t>
  </si>
  <si>
    <t>https://api.spotify.com/v1/audio-analysis/6mm3K0yWp6uzfOMuipM9Zh</t>
  </si>
  <si>
    <t>6mm3K0yWp6uzfOMuipM9Zh</t>
  </si>
  <si>
    <t>Tan Bonita</t>
  </si>
  <si>
    <t>0.00215</t>
  </si>
  <si>
    <t>4ARUAVQnIDB02yVO8uvaJE</t>
  </si>
  <si>
    <t>0.0743</t>
  </si>
  <si>
    <t>Marc Segu√≠, Rauw Alejandro, Pol Granch</t>
  </si>
  <si>
    <t>https://api.spotify.com/v1/tracks/4OwhwvKESFtuu06dTgct7i</t>
  </si>
  <si>
    <t>spotify:track:4OwhwvKESFtuu06dTgct7i</t>
  </si>
  <si>
    <t>Tiroteo (Remix)</t>
  </si>
  <si>
    <t>https://api.spotify.com/v1/audio-analysis/4OwhwvKESFtuu06dTgct7i</t>
  </si>
  <si>
    <t>4OwhwvKESFtuu06dTgct7i</t>
  </si>
  <si>
    <t>Tiroteo - Remix</t>
  </si>
  <si>
    <t>2Ke07jWpOWaNVYpNMmXt7C</t>
  </si>
  <si>
    <t>0.888</t>
  </si>
  <si>
    <t>130.97</t>
  </si>
  <si>
    <t>Morat</t>
  </si>
  <si>
    <t>https://api.spotify.com/v1/tracks/7M6CFruBrM5x7u0lTMtm6r</t>
  </si>
  <si>
    <t>spotify:track:7M6CFruBrM5x7u0lTMtm6r</t>
  </si>
  <si>
    <t>Sobre El Amor Y Sus Efectos Secundarios</t>
  </si>
  <si>
    <t>https://api.spotify.com/v1/audio-analysis/7M6CFruBrM5x7u0lTMtm6r</t>
  </si>
  <si>
    <t>7M6CFruBrM5x7u0lTMtm6r</t>
  </si>
  <si>
    <t>C√≥mo Te Atreves</t>
  </si>
  <si>
    <t>50eHcXc4qede9mUKCYOuoz</t>
  </si>
  <si>
    <t>Sebastian Yatra</t>
  </si>
  <si>
    <t>https://api.spotify.com/v1/tracks/0Be7sopyKMv8Y8npsUkax2</t>
  </si>
  <si>
    <t>spotify:track:0Be7sopyKMv8Y8npsUkax2</t>
  </si>
  <si>
    <t>Tacones Rojos</t>
  </si>
  <si>
    <t>https://api.spotify.com/v1/audio-analysis/0Be7sopyKMv8Y8npsUkax2</t>
  </si>
  <si>
    <t>0Be7sopyKMv8Y8npsUkax2</t>
  </si>
  <si>
    <t>4mdWMx4VouAqsIqgLt3R6S</t>
  </si>
  <si>
    <t>0.0824</t>
  </si>
  <si>
    <t>92.06</t>
  </si>
  <si>
    <t>Danny Ocean</t>
  </si>
  <si>
    <t>https://api.spotify.com/v1/tracks/1UdzJEpgJxtuXAlCOvD4S0</t>
  </si>
  <si>
    <t>spotify:track:1UdzJEpgJxtuXAlCOvD4S0</t>
  </si>
  <si>
    <t>@dannocean</t>
  </si>
  <si>
    <t>https://api.spotify.com/v1/audio-analysis/1UdzJEpgJxtuXAlCOvD4S0</t>
  </si>
  <si>
    <t>1UdzJEpgJxtuXAlCOvD4S0</t>
  </si>
  <si>
    <t>Fuera del mercado</t>
  </si>
  <si>
    <t>21IzWBMtUfaOOfFx8CiR6I</t>
  </si>
  <si>
    <t>Bad Bunny, Bomba Est√©reo</t>
  </si>
  <si>
    <t>https://api.spotify.com/v1/tracks/3k3NWokhRRkEPhCzPmV8TW</t>
  </si>
  <si>
    <t>spotify:track:3k3NWokhRRkEPhCzPmV8TW</t>
  </si>
  <si>
    <t>Un Verano Sin Ti</t>
  </si>
  <si>
    <t>https://api.spotify.com/v1/audio-analysis/3k3NWokhRRkEPhCzPmV8TW</t>
  </si>
  <si>
    <t>3k3NWokhRRkEPhCzPmV8TW</t>
  </si>
  <si>
    <t>Ojitos Lindos</t>
  </si>
  <si>
    <t>1.34e-06</t>
  </si>
  <si>
    <t>3RQQmkQEvNCY4prGKE6oc5</t>
  </si>
  <si>
    <t>108.02</t>
  </si>
  <si>
    <t>-6.79</t>
  </si>
  <si>
    <t>0.0669</t>
  </si>
  <si>
    <t>Bad Bunny, The Mar√≠as</t>
  </si>
  <si>
    <t>0.0375</t>
  </si>
  <si>
    <t>https://api.spotify.com/v1/tracks/0E0DRHf5PfMeor0ZCwB3oT</t>
  </si>
  <si>
    <t>spotify:track:0E0DRHf5PfMeor0ZCwB3oT</t>
  </si>
  <si>
    <t>https://api.spotify.com/v1/audio-analysis/0E0DRHf5PfMeor0ZCwB3oT</t>
  </si>
  <si>
    <t>0E0DRHf5PfMeor0ZCwB3oT</t>
  </si>
  <si>
    <t>Otro Atardecer</t>
  </si>
  <si>
    <t>0.00139</t>
  </si>
  <si>
    <t>0.0492</t>
  </si>
  <si>
    <t>https://api.spotify.com/v1/tracks/5kVZxyMY1gfdCLiChsfjn1</t>
  </si>
  <si>
    <t>spotify:track:5kVZxyMY1gfdCLiChsfjn1</t>
  </si>
  <si>
    <t>https://api.spotify.com/v1/audio-analysis/5kVZxyMY1gfdCLiChsfjn1</t>
  </si>
  <si>
    <t>5kVZxyMY1gfdCLiChsfjn1</t>
  </si>
  <si>
    <t>Yo No Soy Celoso</t>
  </si>
  <si>
    <t>0.0478</t>
  </si>
  <si>
    <t>https://api.spotify.com/v1/tracks/31i56LZnwE6uSu3exoHjtB</t>
  </si>
  <si>
    <t>spotify:track:31i56LZnwE6uSu3exoHjtB</t>
  </si>
  <si>
    <t>https://api.spotify.com/v1/audio-analysis/31i56LZnwE6uSu3exoHjtB</t>
  </si>
  <si>
    <t>31i56LZnwE6uSu3exoHjtB</t>
  </si>
  <si>
    <t>Neverita</t>
  </si>
  <si>
    <t>0.0706</t>
  </si>
  <si>
    <t>0.839</t>
  </si>
  <si>
    <t>https://api.spotify.com/v1/tracks/6VrQTLzzuyGIYjUDe4kAZk</t>
  </si>
  <si>
    <t>spotify:track:6VrQTLzzuyGIYjUDe4kAZk</t>
  </si>
  <si>
    <t>https://api.spotify.com/v1/audio-analysis/6VrQTLzzuyGIYjUDe4kAZk</t>
  </si>
  <si>
    <t>6VrQTLzzuyGIYjUDe4kAZk</t>
  </si>
  <si>
    <t>Un Coco</t>
  </si>
  <si>
    <t>8.33e-06</t>
  </si>
  <si>
    <t>Bad Bunny, Buscabulla</t>
  </si>
  <si>
    <t>https://api.spotify.com/v1/tracks/44XjoNvtwevktFKjvVe1vH</t>
  </si>
  <si>
    <t>spotify:track:44XjoNvtwevktFKjvVe1vH</t>
  </si>
  <si>
    <t>https://api.spotify.com/v1/audio-analysis/44XjoNvtwevktFKjvVe1vH</t>
  </si>
  <si>
    <t>44XjoNvtwevktFKjvVe1vH</t>
  </si>
  <si>
    <t>Andrea</t>
  </si>
  <si>
    <t>0.000293</t>
  </si>
  <si>
    <t>0.87</t>
  </si>
  <si>
    <t>0.0541</t>
  </si>
  <si>
    <t>https://api.spotify.com/v1/tracks/7dSZ6zGTQx66c2GF91xCrb</t>
  </si>
  <si>
    <t>spotify:track:7dSZ6zGTQx66c2GF91xCrb</t>
  </si>
  <si>
    <t>PROVENZA</t>
  </si>
  <si>
    <t>https://api.spotify.com/v1/audio-analysis/7dSZ6zGTQx66c2GF91xCrb</t>
  </si>
  <si>
    <t>7dSZ6zGTQx66c2GF91xCrb</t>
  </si>
  <si>
    <t>0.00823</t>
  </si>
  <si>
    <t>1wLB2bnCl2m5m9M9g8r93Y</t>
  </si>
  <si>
    <t>0.84</t>
  </si>
  <si>
    <t>Ovy On The Drums, Be√©le</t>
  </si>
  <si>
    <t>https://api.spotify.com/v1/tracks/0OTtnwUO8natNWSwdZvXVF</t>
  </si>
  <si>
    <t>spotify:track:0OTtnwUO8natNWSwdZvXVF</t>
  </si>
  <si>
    <t>Inolvidable</t>
  </si>
  <si>
    <t>https://api.spotify.com/v1/audio-analysis/0OTtnwUO8natNWSwdZvXVF</t>
  </si>
  <si>
    <t>0OTtnwUO8natNWSwdZvXVF</t>
  </si>
  <si>
    <t>3MdsEVhC9AMtDTXB8n2yXI</t>
  </si>
  <si>
    <t>0.678</t>
  </si>
  <si>
    <t>0.0609</t>
  </si>
  <si>
    <t>ROSAL√çA</t>
  </si>
  <si>
    <t>0.0992</t>
  </si>
  <si>
    <t>https://api.spotify.com/v1/tracks/5ildQOEKmJuWGl2vRkFdYc</t>
  </si>
  <si>
    <t>spotify:track:5ildQOEKmJuWGl2vRkFdYc</t>
  </si>
  <si>
    <t>DESPECH√Å</t>
  </si>
  <si>
    <t>https://api.spotify.com/v1/audio-analysis/5ildQOEKmJuWGl2vRkFdYc</t>
  </si>
  <si>
    <t>5ildQOEKmJuWGl2vRkFdYc</t>
  </si>
  <si>
    <t>5omNd3Mkij9C3ZeW19rRmv</t>
  </si>
  <si>
    <t>Bizarrap, Quevedo</t>
  </si>
  <si>
    <t>0.044</t>
  </si>
  <si>
    <t>https://api.spotify.com/v1/tracks/2tTmW7RDtMQtBk7m2rYeSw</t>
  </si>
  <si>
    <t>spotify:track:2tTmW7RDtMQtBk7m2rYeSw</t>
  </si>
  <si>
    <t>Quevedo: Bzrp Music Sessions, Vol. 52</t>
  </si>
  <si>
    <t>https://api.spotify.com/v1/audio-analysis/2tTmW7RDtMQtBk7m2rYeSw</t>
  </si>
  <si>
    <t>2tTmW7RDtMQtBk7m2rYeSw</t>
  </si>
  <si>
    <t>4PNqWiJAfjj32hVvlchV5u</t>
  </si>
  <si>
    <t>0.0125</t>
  </si>
  <si>
    <t>83.97</t>
  </si>
  <si>
    <t>Kali Uchis</t>
  </si>
  <si>
    <t>https://api.spotify.com/v1/tracks/6tDDoYIxWvMLTdKpjFkc1B</t>
  </si>
  <si>
    <t>spotify:track:6tDDoYIxWvMLTdKpjFkc1B</t>
  </si>
  <si>
    <t>Sin Miedo (del Amor y Otros Demonios) ‚àû</t>
  </si>
  <si>
    <t>https://api.spotify.com/v1/audio-analysis/6tDDoYIxWvMLTdKpjFkc1B</t>
  </si>
  <si>
    <t>6tDDoYIxWvMLTdKpjFkc1B</t>
  </si>
  <si>
    <t>telepat√≠a</t>
  </si>
  <si>
    <t>00wSTrFxoSzA7eeS1UxHgd</t>
  </si>
  <si>
    <t>0.0605</t>
  </si>
  <si>
    <t>https://api.spotify.com/v1/tracks/0v9UztY5A12cJUsWD7PZzS</t>
  </si>
  <si>
    <t>spotify:track:0v9UztY5A12cJUsWD7PZzS</t>
  </si>
  <si>
    <t>AURORA</t>
  </si>
  <si>
    <t>https://api.spotify.com/v1/audio-analysis/0v9UztY5A12cJUsWD7PZzS</t>
  </si>
  <si>
    <t>0v9UztY5A12cJUsWD7PZzS</t>
  </si>
  <si>
    <t>AMOR DE CINE</t>
  </si>
  <si>
    <t>2Yjubr5GHX41ht808oZPzs</t>
  </si>
  <si>
    <t>0.892</t>
  </si>
  <si>
    <t>√ëengo Flow, Bad Bunny</t>
  </si>
  <si>
    <t>https://api.spotify.com/v1/tracks/54ELExv56KCAB4UP9cOCzC</t>
  </si>
  <si>
    <t>spotify:track:54ELExv56KCAB4UP9cOCzC</t>
  </si>
  <si>
    <t>Gato de Noche</t>
  </si>
  <si>
    <t>https://api.spotify.com/v1/audio-analysis/54ELExv56KCAB4UP9cOCzC</t>
  </si>
  <si>
    <t>54ELExv56KCAB4UP9cOCzC</t>
  </si>
  <si>
    <t>1.24e-06</t>
  </si>
  <si>
    <t>2GS2h80Dp8rFdGEa0j0JhH</t>
  </si>
  <si>
    <t>Grupo Frontera, Bad Bunny</t>
  </si>
  <si>
    <t>0.0474</t>
  </si>
  <si>
    <t>https://api.spotify.com/v1/tracks/6pD0ufEQq0xdHSsRbg9LBK</t>
  </si>
  <si>
    <t>spotify:track:6pD0ufEQq0xdHSsRbg9LBK</t>
  </si>
  <si>
    <t>un x100to</t>
  </si>
  <si>
    <t>https://api.spotify.com/v1/audio-analysis/6pD0ufEQq0xdHSsRbg9LBK</t>
  </si>
  <si>
    <t>6pD0ufEQq0xdHSsRbg9LBK</t>
  </si>
  <si>
    <t>7aGzSSUD8S6IhPCsZSiuMT</t>
  </si>
  <si>
    <t>0.228</t>
  </si>
  <si>
    <t>-8.72</t>
  </si>
  <si>
    <t>i√±igo quintero</t>
  </si>
  <si>
    <t>https://api.spotify.com/v1/tracks/2HafqoJbgXdtjwCOvNEF14</t>
  </si>
  <si>
    <t>spotify:track:2HafqoJbgXdtjwCOvNEF14</t>
  </si>
  <si>
    <t>Si No Est√°s</t>
  </si>
  <si>
    <t>https://api.spotify.com/v1/audio-analysis/2HafqoJbgXdtjwCOvNEF14</t>
  </si>
  <si>
    <t>2HafqoJbgXdtjwCOvNEF14</t>
  </si>
  <si>
    <t>66k6EGkPtYoN44anGIsEPW</t>
  </si>
  <si>
    <t>0.827</t>
  </si>
  <si>
    <t>100.09</t>
  </si>
  <si>
    <t>Feid, Young Miko</t>
  </si>
  <si>
    <t>https://api.spotify.com/v1/tracks/1hZsWUnLbqRw09jLAMQSsb</t>
  </si>
  <si>
    <t>spotify:track:1hZsWUnLbqRw09jLAMQSsb</t>
  </si>
  <si>
    <t>FERXXOCALIPSIS</t>
  </si>
  <si>
    <t>https://api.spotify.com/v1/audio-analysis/1hZsWUnLbqRw09jLAMQSsb</t>
  </si>
  <si>
    <t>1hZsWUnLbqRw09jLAMQSsb</t>
  </si>
  <si>
    <t>CLASSY 101</t>
  </si>
  <si>
    <t>0lgs2Sa82lyX89nBUWyUy6</t>
  </si>
  <si>
    <t>arabic</t>
  </si>
  <si>
    <t>https://api.spotify.com/v1/tracks/1VLtjHwRWOVJiE5Py7JxoQ</t>
  </si>
  <si>
    <t>spotify:track:1VLtjHwRWOVJiE5Py7JxoQ</t>
  </si>
  <si>
    <t>THE GOAT</t>
  </si>
  <si>
    <t>Arab X</t>
  </si>
  <si>
    <t>https://api.spotify.com/v1/audio-analysis/1VLtjHwRWOVJiE5Py7JxoQ</t>
  </si>
  <si>
    <t>1VLtjHwRWOVJiE5Py7JxoQ</t>
  </si>
  <si>
    <t>Martin &amp; Gina</t>
  </si>
  <si>
    <t>39xhYyNNDatQtgKw2KdXMz</t>
  </si>
  <si>
    <t>3gZgGRvDn9tTUy8n7699pD</t>
  </si>
  <si>
    <t>https://api.spotify.com/v1/tracks/40QrLHWdsxyXLAdjJG4Rxs</t>
  </si>
  <si>
    <t>spotify:track:40QrLHWdsxyXLAdjJG4Rxs</t>
  </si>
  <si>
    <t>Die A Legend</t>
  </si>
  <si>
    <t>https://api.spotify.com/v1/audio-analysis/40QrLHWdsxyXLAdjJG4Rxs</t>
  </si>
  <si>
    <t>40QrLHWdsxyXLAdjJG4Rxs</t>
  </si>
  <si>
    <t>Chosen 1</t>
  </si>
  <si>
    <t>26ztFK3E69j5THJQdyxC5w</t>
  </si>
  <si>
    <t>Internet Money, Gunna, Don Toliver, NAV</t>
  </si>
  <si>
    <t>0.079</t>
  </si>
  <si>
    <t>https://api.spotify.com/v1/tracks/1p0rEzrK7YtdRZVtiyV7RN</t>
  </si>
  <si>
    <t>spotify:track:1p0rEzrK7YtdRZVtiyV7RN</t>
  </si>
  <si>
    <t>B4 The Storm</t>
  </si>
  <si>
    <t>https://api.spotify.com/v1/audio-analysis/1p0rEzrK7YtdRZVtiyV7RN</t>
  </si>
  <si>
    <t>1p0rEzrK7YtdRZVtiyV7RN</t>
  </si>
  <si>
    <t>Lemonade (feat. NAV)</t>
  </si>
  <si>
    <t>4Y5lQYgpDrkyru90jltD5a</t>
  </si>
  <si>
    <t>https://api.spotify.com/v1/tracks/78QR3Wp35dqAhFEc2qAGjE</t>
  </si>
  <si>
    <t>spotify:track:78QR3Wp35dqAhFEc2qAGjE</t>
  </si>
  <si>
    <t>Drip Harder</t>
  </si>
  <si>
    <t>https://api.spotify.com/v1/audio-analysis/78QR3Wp35dqAhFEc2qAGjE</t>
  </si>
  <si>
    <t>78QR3Wp35dqAhFEc2qAGjE</t>
  </si>
  <si>
    <t>Drip Too Hard (Lil Baby &amp; Gunna)</t>
  </si>
  <si>
    <t>2yXnY2NiaZk9QiJJittS81</t>
  </si>
  <si>
    <t>Kodak Black, XXXTENTACION</t>
  </si>
  <si>
    <t>https://api.spotify.com/v1/tracks/40oKW22ZNNkEdZLJTScaQI</t>
  </si>
  <si>
    <t>spotify:track:40oKW22ZNNkEdZLJTScaQI</t>
  </si>
  <si>
    <t>Project Baby 2: All Grown Up</t>
  </si>
  <si>
    <t>https://api.spotify.com/v1/audio-analysis/40oKW22ZNNkEdZLJTScaQI</t>
  </si>
  <si>
    <t>40oKW22ZNNkEdZLJTScaQI</t>
  </si>
  <si>
    <t>Roll in Peace (feat. XXXTENTACION)</t>
  </si>
  <si>
    <t>51wp3EOOp2mBIjhZjR7W0i</t>
  </si>
  <si>
    <t>https://api.spotify.com/v1/tracks/4gmmRb6bZJffOOiww1JGTO</t>
  </si>
  <si>
    <t>spotify:track:4gmmRb6bZJffOOiww1JGTO</t>
  </si>
  <si>
    <t>Savage Mode</t>
  </si>
  <si>
    <t>https://api.spotify.com/v1/audio-analysis/4gmmRb6bZJffOOiww1JGTO</t>
  </si>
  <si>
    <t>4gmmRb6bZJffOOiww1JGTO</t>
  </si>
  <si>
    <t>No Heart</t>
  </si>
  <si>
    <t>6.44e-05</t>
  </si>
  <si>
    <t>4I3EcXD4e3KcEoDJfFEZ5b</t>
  </si>
  <si>
    <t>Polo G, Lil Tjay</t>
  </si>
  <si>
    <t>https://api.spotify.com/v1/tracks/6uFn47ACjqYkc0jADwEdj1</t>
  </si>
  <si>
    <t>spotify:track:6uFn47ACjqYkc0jADwEdj1</t>
  </si>
  <si>
    <t>https://api.spotify.com/v1/audio-analysis/6uFn47ACjqYkc0jADwEdj1</t>
  </si>
  <si>
    <t>6uFn47ACjqYkc0jADwEdj1</t>
  </si>
  <si>
    <t>Pop Out (feat. Lil Tjay)</t>
  </si>
  <si>
    <t>0.0871</t>
  </si>
  <si>
    <t>https://api.spotify.com/v1/tracks/5eqK0tbzUPo2SoeZsov04s</t>
  </si>
  <si>
    <t>spotify:track:5eqK0tbzUPo2SoeZsov04s</t>
  </si>
  <si>
    <t>Issa Album</t>
  </si>
  <si>
    <t>https://api.spotify.com/v1/audio-analysis/5eqK0tbzUPo2SoeZsov04s</t>
  </si>
  <si>
    <t>5eqK0tbzUPo2SoeZsov04s</t>
  </si>
  <si>
    <t>Bank Account</t>
  </si>
  <si>
    <t>4skCiJhVVSKrDOBtoFbsxU</t>
  </si>
  <si>
    <t>0.083</t>
  </si>
  <si>
    <t>https://api.spotify.com/v1/tracks/5m0yZ33oOy0yYBtdTXuxQe</t>
  </si>
  <si>
    <t>spotify:track:5m0yZ33oOy0yYBtdTXuxQe</t>
  </si>
  <si>
    <t>https://api.spotify.com/v1/audio-analysis/5m0yZ33oOy0yYBtdTXuxQe</t>
  </si>
  <si>
    <t>5m0yZ33oOy0yYBtdTXuxQe</t>
  </si>
  <si>
    <t>Low Down</t>
  </si>
  <si>
    <t>Metro Boomin, 21 Savage</t>
  </si>
  <si>
    <t>https://api.spotify.com/v1/tracks/0AluA5RNsa4Cx6XRhf2hWZ</t>
  </si>
  <si>
    <t>spotify:track:0AluA5RNsa4Cx6XRhf2hWZ</t>
  </si>
  <si>
    <t>NOT ALL HEROES WEAR CAPES (Deluxe)</t>
  </si>
  <si>
    <t>https://api.spotify.com/v1/audio-analysis/0AluA5RNsa4Cx6XRhf2hWZ</t>
  </si>
  <si>
    <t>0AluA5RNsa4Cx6XRhf2hWZ</t>
  </si>
  <si>
    <t>10 Freaky Girls (with 21 Savage)</t>
  </si>
  <si>
    <t>3IO8IPjwXuzPJnoaqkwYrj</t>
  </si>
  <si>
    <t>https://api.spotify.com/v1/tracks/5BbdKBZO0TH0GhfxUfyhL9</t>
  </si>
  <si>
    <t>spotify:track:5BbdKBZO0TH0GhfxUfyhL9</t>
  </si>
  <si>
    <t>Too Hard</t>
  </si>
  <si>
    <t>https://api.spotify.com/v1/audio-analysis/5BbdKBZO0TH0GhfxUfyhL9</t>
  </si>
  <si>
    <t>5BbdKBZO0TH0GhfxUfyhL9</t>
  </si>
  <si>
    <t>Freestyle</t>
  </si>
  <si>
    <t>750APP0eKVlcgOxaZnBnVt</t>
  </si>
  <si>
    <t>0.0713</t>
  </si>
  <si>
    <t>NLE Choppa, Roddy Ricch</t>
  </si>
  <si>
    <t>https://api.spotify.com/v1/tracks/1Z0cZI0UzNbP9L8MzzGxqf</t>
  </si>
  <si>
    <t>spotify:track:1Z0cZI0UzNbP9L8MzzGxqf</t>
  </si>
  <si>
    <t>Top Shotta</t>
  </si>
  <si>
    <t>https://api.spotify.com/v1/audio-analysis/1Z0cZI0UzNbP9L8MzzGxqf</t>
  </si>
  <si>
    <t>1Z0cZI0UzNbP9L8MzzGxqf</t>
  </si>
  <si>
    <t>Walk Em Down (feat. Roddy Ricch)</t>
  </si>
  <si>
    <t>4dsMe3EBC8xURaxMhyorgf</t>
  </si>
  <si>
    <t>120.1</t>
  </si>
  <si>
    <t>Lil Tjay</t>
  </si>
  <si>
    <t>https://api.spotify.com/v1/tracks/0RLLvYBopDwooCyvnTwgYu</t>
  </si>
  <si>
    <t>spotify:track:0RLLvYBopDwooCyvnTwgYu</t>
  </si>
  <si>
    <t>True 2 Myself</t>
  </si>
  <si>
    <t>https://api.spotify.com/v1/audio-analysis/0RLLvYBopDwooCyvnTwgYu</t>
  </si>
  <si>
    <t>0RLLvYBopDwooCyvnTwgYu</t>
  </si>
  <si>
    <t>F.N</t>
  </si>
  <si>
    <t>1bCBZ8LedqwVYOLDLrRbbY</t>
  </si>
  <si>
    <t>0.97</t>
  </si>
  <si>
    <t>0.46</t>
  </si>
  <si>
    <t>Quality Control, Lil Baby, DaBaby</t>
  </si>
  <si>
    <t>https://api.spotify.com/v1/tracks/5MPPttjfGap2C6j6eKcO6J</t>
  </si>
  <si>
    <t>spotify:track:5MPPttjfGap2C6j6eKcO6J</t>
  </si>
  <si>
    <t>Quality Control: Control The Streets Volume 2</t>
  </si>
  <si>
    <t>https://api.spotify.com/v1/audio-analysis/5MPPttjfGap2C6j6eKcO6J</t>
  </si>
  <si>
    <t>5MPPttjfGap2C6j6eKcO6J</t>
  </si>
  <si>
    <t>Baby (Lil Baby feat. DaBaby)</t>
  </si>
  <si>
    <t>59zpaLOByFkJhc9D5Xqna9</t>
  </si>
  <si>
    <t>0.0957</t>
  </si>
  <si>
    <t>https://api.spotify.com/v1/tracks/3OGCNLxpBmTYRxPZg2yDE5</t>
  </si>
  <si>
    <t>spotify:track:3OGCNLxpBmTYRxPZg2yDE5</t>
  </si>
  <si>
    <t>https://api.spotify.com/v1/audio-analysis/3OGCNLxpBmTYRxPZg2yDE5</t>
  </si>
  <si>
    <t>3OGCNLxpBmTYRxPZg2yDE5</t>
  </si>
  <si>
    <t>back to the moon</t>
  </si>
  <si>
    <t>Lil Durk, Morgan Wallen</t>
  </si>
  <si>
    <t>https://api.spotify.com/v1/tracks/1fXnu2HzxbDtoyvFPWG3Bw</t>
  </si>
  <si>
    <t>spotify:track:1fXnu2HzxbDtoyvFPWG3Bw</t>
  </si>
  <si>
    <t>Almost Healed</t>
  </si>
  <si>
    <t>https://api.spotify.com/v1/audio-analysis/1fXnu2HzxbDtoyvFPWG3Bw</t>
  </si>
  <si>
    <t>1fXnu2HzxbDtoyvFPWG3Bw</t>
  </si>
  <si>
    <t>Stand By Me (feat. Morgan Wallen)</t>
  </si>
  <si>
    <t>6ciIG1XKTlVIn0Yl8rvsce</t>
  </si>
  <si>
    <t>0.0105</t>
  </si>
  <si>
    <t>0.0896</t>
  </si>
  <si>
    <t>https://api.spotify.com/v1/tracks/3oDkdAySo1VQQG0ptV7uwa</t>
  </si>
  <si>
    <t>spotify:track:3oDkdAySo1VQQG0ptV7uwa</t>
  </si>
  <si>
    <t>Goodbye &amp; Good Riddance</t>
  </si>
  <si>
    <t>https://api.spotify.com/v1/audio-analysis/3oDkdAySo1VQQG0ptV7uwa</t>
  </si>
  <si>
    <t>3oDkdAySo1VQQG0ptV7uwa</t>
  </si>
  <si>
    <t>Lean Wit Me</t>
  </si>
  <si>
    <t>6tkjU4Umpo79wwkgPMV3nZ</t>
  </si>
  <si>
    <t>https://api.spotify.com/v1/tracks/6iaSML1PIYq936g62BDtBq</t>
  </si>
  <si>
    <t>spotify:track:6iaSML1PIYq936g62BDtBq</t>
  </si>
  <si>
    <t>Death Race For Love (Bonus Track Version)</t>
  </si>
  <si>
    <t>https://api.spotify.com/v1/audio-analysis/6iaSML1PIYq936g62BDtBq</t>
  </si>
  <si>
    <t>6iaSML1PIYq936g62BDtBq</t>
  </si>
  <si>
    <t>Robbery</t>
  </si>
  <si>
    <t>1btu0SV2DOI5HoFsvUd78F</t>
  </si>
  <si>
    <t>Trippie Redd, Juice WRLD</t>
  </si>
  <si>
    <t>https://api.spotify.com/v1/tracks/0axBgt9y0GvMCLuRl2xBKG</t>
  </si>
  <si>
    <t>spotify:track:0axBgt9y0GvMCLuRl2xBKG</t>
  </si>
  <si>
    <t>A Love Letter To You 3</t>
  </si>
  <si>
    <t>https://api.spotify.com/v1/audio-analysis/0axBgt9y0GvMCLuRl2xBKG</t>
  </si>
  <si>
    <t>0axBgt9y0GvMCLuRl2xBKG</t>
  </si>
  <si>
    <t>1400 / 999 Freestyle (feat. Juice WRLD)</t>
  </si>
  <si>
    <t>1fFwMXuTJ8J3KXo14Vvsna</t>
  </si>
  <si>
    <t>0.0079</t>
  </si>
  <si>
    <t>-6.13</t>
  </si>
  <si>
    <t>https://api.spotify.com/v1/tracks/2U5WueTLIK5WJLD7mvDODv</t>
  </si>
  <si>
    <t>spotify:track:2U5WueTLIK5WJLD7mvDODv</t>
  </si>
  <si>
    <t>Legends Never Die</t>
  </si>
  <si>
    <t>https://api.spotify.com/v1/audio-analysis/2U5WueTLIK5WJLD7mvDODv</t>
  </si>
  <si>
    <t>2U5WueTLIK5WJLD7mvDODv</t>
  </si>
  <si>
    <t>Wishing Well</t>
  </si>
  <si>
    <t>6n9DKpOxwifT5hOXtgLZSL</t>
  </si>
  <si>
    <t>0.00336</t>
  </si>
  <si>
    <t>https://api.spotify.com/v1/tracks/4VXIryQMWpIdGgYR4TrjT1</t>
  </si>
  <si>
    <t>spotify:track:4VXIryQMWpIdGgYR4TrjT1</t>
  </si>
  <si>
    <t>https://api.spotify.com/v1/audio-analysis/4VXIryQMWpIdGgYR4TrjT1</t>
  </si>
  <si>
    <t>4VXIryQMWpIdGgYR4TrjT1</t>
  </si>
  <si>
    <t>All Girls Are The Same</t>
  </si>
  <si>
    <t>0.000335</t>
  </si>
  <si>
    <t>0.0769</t>
  </si>
  <si>
    <t>https://api.spotify.com/v1/tracks/1fCeXjoRExPP2qwSBh2aST</t>
  </si>
  <si>
    <t>spotify:track:1fCeXjoRExPP2qwSBh2aST</t>
  </si>
  <si>
    <t>https://api.spotify.com/v1/audio-analysis/1fCeXjoRExPP2qwSBh2aST</t>
  </si>
  <si>
    <t>1fCeXjoRExPP2qwSBh2aST</t>
  </si>
  <si>
    <t>Black &amp; White</t>
  </si>
  <si>
    <t>0.0802</t>
  </si>
  <si>
    <t>0.914</t>
  </si>
  <si>
    <t>Asake</t>
  </si>
  <si>
    <t>https://api.spotify.com/v1/tracks/5ZtK8XAVnoaGdBXZWCEVCY</t>
  </si>
  <si>
    <t>spotify:track:5ZtK8XAVnoaGdBXZWCEVCY</t>
  </si>
  <si>
    <t>Work Of Art</t>
  </si>
  <si>
    <t>https://api.spotify.com/v1/audio-analysis/5ZtK8XAVnoaGdBXZWCEVCY</t>
  </si>
  <si>
    <t>5ZtK8XAVnoaGdBXZWCEVCY</t>
  </si>
  <si>
    <t>Lonely At The Top</t>
  </si>
  <si>
    <t>2O9VJaLSnwjZ2HPpMaVoPU</t>
  </si>
  <si>
    <t>Post Malone, Young Thug</t>
  </si>
  <si>
    <t>https://api.spotify.com/v1/tracks/0t3ZvGKlmYmVsDzBJAXK8C</t>
  </si>
  <si>
    <t>spotify:track:0t3ZvGKlmYmVsDzBJAXK8C</t>
  </si>
  <si>
    <t>https://api.spotify.com/v1/audio-analysis/0t3ZvGKlmYmVsDzBJAXK8C</t>
  </si>
  <si>
    <t>0t3ZvGKlmYmVsDzBJAXK8C</t>
  </si>
  <si>
    <t>Goodbyes (feat. Young Thug)</t>
  </si>
  <si>
    <t>0.456</t>
  </si>
  <si>
    <t>Metro Boomin, Travis Scott, Young Thug</t>
  </si>
  <si>
    <t>https://api.spotify.com/v1/tracks/5wG3HvLhF6Y5KTGlK0IW3J</t>
  </si>
  <si>
    <t>spotify:track:5wG3HvLhF6Y5KTGlK0IW3J</t>
  </si>
  <si>
    <t>https://api.spotify.com/v1/audio-analysis/5wG3HvLhF6Y5KTGlK0IW3J</t>
  </si>
  <si>
    <t>5wG3HvLhF6Y5KTGlK0IW3J</t>
  </si>
  <si>
    <t>Trance (with Travis Scott &amp; Young Thug)</t>
  </si>
  <si>
    <t>0.0747</t>
  </si>
  <si>
    <t>Asake, Travis Scott</t>
  </si>
  <si>
    <t>https://api.spotify.com/v1/tracks/1qxKva4IzWde7m2jLpZvDU</t>
  </si>
  <si>
    <t>spotify:track:1qxKva4IzWde7m2jLpZvDU</t>
  </si>
  <si>
    <t>https://api.spotify.com/v1/audio-analysis/1qxKva4IzWde7m2jLpZvDU</t>
  </si>
  <si>
    <t>1qxKva4IzWde7m2jLpZvDU</t>
  </si>
  <si>
    <t>Active</t>
  </si>
  <si>
    <t>Lil Baby, Gunna, Lil Uzi Vert</t>
  </si>
  <si>
    <t>https://api.spotify.com/v1/tracks/2bSk87AVkCIIC3Bcligq1z</t>
  </si>
  <si>
    <t>spotify:track:2bSk87AVkCIIC3Bcligq1z</t>
  </si>
  <si>
    <t>https://api.spotify.com/v1/audio-analysis/2bSk87AVkCIIC3Bcligq1z</t>
  </si>
  <si>
    <t>2bSk87AVkCIIC3Bcligq1z</t>
  </si>
  <si>
    <t>Life Goes On</t>
  </si>
  <si>
    <t>Soft Pop Hits</t>
  </si>
  <si>
    <t>soft</t>
  </si>
  <si>
    <t>37i9dQZF1DWTwnEm1IYyoj</t>
  </si>
  <si>
    <t>Adele</t>
  </si>
  <si>
    <t>https://api.spotify.com/v1/tracks/0gplL1WMoJ6iYaPgMCL0gX</t>
  </si>
  <si>
    <t>spotify:track:0gplL1WMoJ6iYaPgMCL0gX</t>
  </si>
  <si>
    <t>Easy On Me</t>
  </si>
  <si>
    <t>https://api.spotify.com/v1/audio-analysis/0gplL1WMoJ6iYaPgMCL0gX</t>
  </si>
  <si>
    <t>0gplL1WMoJ6iYaPgMCL0gX</t>
  </si>
  <si>
    <t>224jZ4sUX7OhAuMwaxp86S</t>
  </si>
  <si>
    <t>Miley Cyrus</t>
  </si>
  <si>
    <t>0.0342</t>
  </si>
  <si>
    <t>https://api.spotify.com/v1/tracks/2vwlzO0Qp8kfEtzTsCXfyE</t>
  </si>
  <si>
    <t>spotify:track:2vwlzO0Qp8kfEtzTsCXfyE</t>
  </si>
  <si>
    <t>Bangerz (Deluxe Version)</t>
  </si>
  <si>
    <t>https://api.spotify.com/v1/audio-analysis/2vwlzO0Qp8kfEtzTsCXfyE</t>
  </si>
  <si>
    <t>2vwlzO0Qp8kfEtzTsCXfyE</t>
  </si>
  <si>
    <t>Wrecking Ball</t>
  </si>
  <si>
    <t>3RDqXDc1bAETps54MSSOW0</t>
  </si>
  <si>
    <t>119.93</t>
  </si>
  <si>
    <t>John Legend</t>
  </si>
  <si>
    <t>https://api.spotify.com/v1/tracks/3U4isOIWM3VvDubwSI3y7a</t>
  </si>
  <si>
    <t>spotify:track:3U4isOIWM3VvDubwSI3y7a</t>
  </si>
  <si>
    <t>Love In The Future (Expanded Edition)</t>
  </si>
  <si>
    <t>https://api.spotify.com/v1/audio-analysis/3U4isOIWM3VvDubwSI3y7a</t>
  </si>
  <si>
    <t>3U4isOIWM3VvDubwSI3y7a</t>
  </si>
  <si>
    <t>All of Me</t>
  </si>
  <si>
    <t>4OTAx9un4e6NfoHuVRiOrC</t>
  </si>
  <si>
    <t>0.922</t>
  </si>
  <si>
    <t>P!nk, Nate Ruess</t>
  </si>
  <si>
    <t>https://api.spotify.com/v1/tracks/1mKXFLRA179hdOWQBwUk9e</t>
  </si>
  <si>
    <t>spotify:track:1mKXFLRA179hdOWQBwUk9e</t>
  </si>
  <si>
    <t>The Truth About Love</t>
  </si>
  <si>
    <t>https://api.spotify.com/v1/audio-analysis/1mKXFLRA179hdOWQBwUk9e</t>
  </si>
  <si>
    <t>1mKXFLRA179hdOWQBwUk9e</t>
  </si>
  <si>
    <t>Just Give Me a Reason (feat. Nate Ruess)</t>
  </si>
  <si>
    <t>0.000306</t>
  </si>
  <si>
    <t>2Q9oTK48eb85waX1fFJsvj</t>
  </si>
  <si>
    <t>0.474</t>
  </si>
  <si>
    <t>https://api.spotify.com/v1/tracks/6sy3LkhNFjJWlaeSMNwQ62</t>
  </si>
  <si>
    <t>spotify:track:6sy3LkhNFjJWlaeSMNwQ62</t>
  </si>
  <si>
    <t>Native</t>
  </si>
  <si>
    <t>https://api.spotify.com/v1/audio-analysis/6sy3LkhNFjJWlaeSMNwQ62</t>
  </si>
  <si>
    <t>6sy3LkhNFjJWlaeSMNwQ62</t>
  </si>
  <si>
    <t>Counting Stars</t>
  </si>
  <si>
    <t>2bbhW5ifCwOYM8DMkqoYBF</t>
  </si>
  <si>
    <t>0.0654</t>
  </si>
  <si>
    <t>Sia</t>
  </si>
  <si>
    <t>https://api.spotify.com/v1/tracks/1yvMUkIOTeUNtNWlWRgANS</t>
  </si>
  <si>
    <t>spotify:track:1yvMUkIOTeUNtNWlWRgANS</t>
  </si>
  <si>
    <t>This Is Acting (Deluxe Version)</t>
  </si>
  <si>
    <t>https://api.spotify.com/v1/audio-analysis/1yvMUkIOTeUNtNWlWRgANS</t>
  </si>
  <si>
    <t>1yvMUkIOTeUNtNWlWRgANS</t>
  </si>
  <si>
    <t>Unstoppable</t>
  </si>
  <si>
    <t>2eV6DIPDnGl1idcjww6xyX</t>
  </si>
  <si>
    <t>Noah Kahan</t>
  </si>
  <si>
    <t>0.0651</t>
  </si>
  <si>
    <t>https://api.spotify.com/v1/tracks/0mflMxspEfB0VbI1kyLiAv</t>
  </si>
  <si>
    <t>spotify:track:0mflMxspEfB0VbI1kyLiAv</t>
  </si>
  <si>
    <t>Stick Season</t>
  </si>
  <si>
    <t>https://api.spotify.com/v1/audio-analysis/0mflMxspEfB0VbI1kyLiAv</t>
  </si>
  <si>
    <t>0mflMxspEfB0VbI1kyLiAv</t>
  </si>
  <si>
    <t>50ZenUP4O2Q5eCy2NRNvuz</t>
  </si>
  <si>
    <t>0.088</t>
  </si>
  <si>
    <t>https://api.spotify.com/v1/tracks/0nJW01T7XtvILxQgC5J7Wh</t>
  </si>
  <si>
    <t>spotify:track:0nJW01T7XtvILxQgC5J7Wh</t>
  </si>
  <si>
    <t>https://api.spotify.com/v1/audio-analysis/0nJW01T7XtvILxQgC5J7Wh</t>
  </si>
  <si>
    <t>0nJW01T7XtvILxQgC5J7Wh</t>
  </si>
  <si>
    <t>When I Was Your Man</t>
  </si>
  <si>
    <t>121.07</t>
  </si>
  <si>
    <t>0.0477</t>
  </si>
  <si>
    <t>https://api.spotify.com/v1/tracks/4nVBt6MZDDP6tRVdQTgxJg</t>
  </si>
  <si>
    <t>spotify:track:4nVBt6MZDDP6tRVdQTgxJg</t>
  </si>
  <si>
    <t>Midnight Memories (Deluxe)</t>
  </si>
  <si>
    <t>https://api.spotify.com/v1/audio-analysis/4nVBt6MZDDP6tRVdQTgxJg</t>
  </si>
  <si>
    <t>4nVBt6MZDDP6tRVdQTgxJg</t>
  </si>
  <si>
    <t>Story of My Life</t>
  </si>
  <si>
    <t>7p1fX8aUySrBdx4WSYspOu</t>
  </si>
  <si>
    <t>Tom Odell</t>
  </si>
  <si>
    <t>https://api.spotify.com/v1/tracks/3JvKfv6T31zO0ini8iNItO</t>
  </si>
  <si>
    <t>spotify:track:3JvKfv6T31zO0ini8iNItO</t>
  </si>
  <si>
    <t>Long Way Down (Deluxe)</t>
  </si>
  <si>
    <t>https://api.spotify.com/v1/audio-analysis/3JvKfv6T31zO0ini8iNItO</t>
  </si>
  <si>
    <t>3JvKfv6T31zO0ini8iNItO</t>
  </si>
  <si>
    <t>Another Love</t>
  </si>
  <si>
    <t>1.65e-05</t>
  </si>
  <si>
    <t>0Gf1yE895FKK4YWVRuAeg8</t>
  </si>
  <si>
    <t>0.095</t>
  </si>
  <si>
    <t>Billie Eilish, Khalid</t>
  </si>
  <si>
    <t>https://api.spotify.com/v1/tracks/0u2P5u6lvoDfwTYjAADbn4</t>
  </si>
  <si>
    <t>spotify:track:0u2P5u6lvoDfwTYjAADbn4</t>
  </si>
  <si>
    <t>lovely (with Khalid)</t>
  </si>
  <si>
    <t>https://api.spotify.com/v1/audio-analysis/0u2P5u6lvoDfwTYjAADbn4</t>
  </si>
  <si>
    <t>0u2P5u6lvoDfwTYjAADbn4</t>
  </si>
  <si>
    <t>2sBB17RXTamvj7Ncps15AK</t>
  </si>
  <si>
    <t>https://api.spotify.com/v1/tracks/6dgUya35uo964z7GZXM07g</t>
  </si>
  <si>
    <t>spotify:track:6dgUya35uo964z7GZXM07g</t>
  </si>
  <si>
    <t>emails i can't send</t>
  </si>
  <si>
    <t>https://api.spotify.com/v1/audio-analysis/6dgUya35uo964z7GZXM07g</t>
  </si>
  <si>
    <t>6dgUya35uo964z7GZXM07g</t>
  </si>
  <si>
    <t>Nonsense</t>
  </si>
  <si>
    <t>5kDmlA2g9Y1YCbNo2Ufxlz</t>
  </si>
  <si>
    <t>0.0268</t>
  </si>
  <si>
    <t>Ed Sheeran</t>
  </si>
  <si>
    <t>https://api.spotify.com/v1/tracks/7qiZfU4dY1lWllzX7mPBI3</t>
  </si>
  <si>
    <t>spotify:track:7qiZfU4dY1lWllzX7mPBI3</t>
  </si>
  <si>
    <t>√∑ (Deluxe)</t>
  </si>
  <si>
    <t>https://api.spotify.com/v1/audio-analysis/7qiZfU4dY1lWllzX7mPBI3</t>
  </si>
  <si>
    <t>7qiZfU4dY1lWllzX7mPBI3</t>
  </si>
  <si>
    <t>Shape of You</t>
  </si>
  <si>
    <t>3T4tUhGYeRNVUGevb0wThu</t>
  </si>
  <si>
    <t>Zach Bryan</t>
  </si>
  <si>
    <t>https://api.spotify.com/v1/tracks/3WMj8moIAXJhHsyLaqIIHI</t>
  </si>
  <si>
    <t>spotify:track:3WMj8moIAXJhHsyLaqIIHI</t>
  </si>
  <si>
    <t>Something in the Orange</t>
  </si>
  <si>
    <t>https://api.spotify.com/v1/audio-analysis/3WMj8moIAXJhHsyLaqIIHI</t>
  </si>
  <si>
    <t>3WMj8moIAXJhHsyLaqIIHI</t>
  </si>
  <si>
    <t>8.35e-06</t>
  </si>
  <si>
    <t>1CmTOKCeyz1aHH04OwvTPv</t>
  </si>
  <si>
    <t>0.0902</t>
  </si>
  <si>
    <t>James Arthur</t>
  </si>
  <si>
    <t>0.059</t>
  </si>
  <si>
    <t>https://api.spotify.com/v1/tracks/5uCax9HTNlzGybIStD3vDh</t>
  </si>
  <si>
    <t>spotify:track:5uCax9HTNlzGybIStD3vDh</t>
  </si>
  <si>
    <t>Back from the Edge</t>
  </si>
  <si>
    <t>https://api.spotify.com/v1/audio-analysis/5uCax9HTNlzGybIStD3vDh</t>
  </si>
  <si>
    <t>5uCax9HTNlzGybIStD3vDh</t>
  </si>
  <si>
    <t>Say You Won't Let Go</t>
  </si>
  <si>
    <t>7oiJYvEJHsmYtrgviAVIBD</t>
  </si>
  <si>
    <t>95.05</t>
  </si>
  <si>
    <t>https://api.spotify.com/v1/tracks/0tgVpDi06FyKpA1z0VMD4v</t>
  </si>
  <si>
    <t>spotify:track:0tgVpDi06FyKpA1z0VMD4v</t>
  </si>
  <si>
    <t>https://api.spotify.com/v1/audio-analysis/0tgVpDi06FyKpA1z0VMD4v</t>
  </si>
  <si>
    <t>0tgVpDi06FyKpA1z0VMD4v</t>
  </si>
  <si>
    <t>Perfect</t>
  </si>
  <si>
    <t>0.0243</t>
  </si>
  <si>
    <t>https://api.spotify.com/v1/tracks/75JFxkI2RXiU7L9VXzMkle</t>
  </si>
  <si>
    <t>spotify:track:75JFxkI2RXiU7L9VXzMkle</t>
  </si>
  <si>
    <t>A Rush of Blood to the Head</t>
  </si>
  <si>
    <t>https://api.spotify.com/v1/audio-analysis/75JFxkI2RXiU7L9VXzMkle</t>
  </si>
  <si>
    <t>75JFxkI2RXiU7L9VXzMkle</t>
  </si>
  <si>
    <t>The Scientist</t>
  </si>
  <si>
    <t>1.46e-05</t>
  </si>
  <si>
    <t>0RHX9XECH8IVI3LNgWDpmQ</t>
  </si>
  <si>
    <t>https://api.spotify.com/v1/tracks/6VObnIkLVruX4UVyxWhlqm</t>
  </si>
  <si>
    <t>spotify:track:6VObnIkLVruX4UVyxWhlqm</t>
  </si>
  <si>
    <t>Skyfall</t>
  </si>
  <si>
    <t>https://api.spotify.com/v1/audio-analysis/6VObnIkLVruX4UVyxWhlqm</t>
  </si>
  <si>
    <t>6VObnIkLVruX4UVyxWhlqm</t>
  </si>
  <si>
    <t>6TwN6Lq9glwnG8kNp6chHY</t>
  </si>
  <si>
    <t>0.0438</t>
  </si>
  <si>
    <t>https://api.spotify.com/v1/tracks/1zB4vmk8tFRmM9UULNzbLB</t>
  </si>
  <si>
    <t>spotify:track:1zB4vmk8tFRmM9UULNzbLB</t>
  </si>
  <si>
    <t>Evolve</t>
  </si>
  <si>
    <t>https://api.spotify.com/v1/audio-analysis/1zB4vmk8tFRmM9UULNzbLB</t>
  </si>
  <si>
    <t>1zB4vmk8tFRmM9UULNzbLB</t>
  </si>
  <si>
    <t>Thunder</t>
  </si>
  <si>
    <t>33pt9HBdGlAbRGBHQgsZsU</t>
  </si>
  <si>
    <t>0.00672</t>
  </si>
  <si>
    <t>0.0919</t>
  </si>
  <si>
    <t>https://api.spotify.com/v1/tracks/1dGr1c8CrMLDpV6mPbImSI</t>
  </si>
  <si>
    <t>spotify:track:1dGr1c8CrMLDpV6mPbImSI</t>
  </si>
  <si>
    <t>Lover</t>
  </si>
  <si>
    <t>https://api.spotify.com/v1/audio-analysis/1dGr1c8CrMLDpV6mPbImSI</t>
  </si>
  <si>
    <t>1dGr1c8CrMLDpV6mPbImSI</t>
  </si>
  <si>
    <t>1.58e-05</t>
  </si>
  <si>
    <t>1NAmidJlEaVgA3MpcPFYGq</t>
  </si>
  <si>
    <t>Post Malone</t>
  </si>
  <si>
    <t>0.0396</t>
  </si>
  <si>
    <t>https://api.spotify.com/v1/tracks/21jGcNKet2qwijlDFuPiPb</t>
  </si>
  <si>
    <t>spotify:track:21jGcNKet2qwijlDFuPiPb</t>
  </si>
  <si>
    <t>https://api.spotify.com/v1/audio-analysis/21jGcNKet2qwijlDFuPiPb</t>
  </si>
  <si>
    <t>21jGcNKet2qwijlDFuPiPb</t>
  </si>
  <si>
    <t>Circles</t>
  </si>
  <si>
    <t>0.00242</t>
  </si>
  <si>
    <t>Conan Gray</t>
  </si>
  <si>
    <t>https://api.spotify.com/v1/tracks/4xqrdfXkTW4T0RauPLv3WA</t>
  </si>
  <si>
    <t>spotify:track:4xqrdfXkTW4T0RauPLv3WA</t>
  </si>
  <si>
    <t>Kid Krow</t>
  </si>
  <si>
    <t>https://api.spotify.com/v1/audio-analysis/4xqrdfXkTW4T0RauPLv3WA</t>
  </si>
  <si>
    <t>4xqrdfXkTW4T0RauPLv3WA</t>
  </si>
  <si>
    <t>Heather</t>
  </si>
  <si>
    <t>2CMlkzFI2oDAy5MbyV7OV5</t>
  </si>
  <si>
    <t>153.96</t>
  </si>
  <si>
    <t>Justin Bieber</t>
  </si>
  <si>
    <t>https://api.spotify.com/v1/tracks/6I3mqTwhRpn34SLVafSH7G</t>
  </si>
  <si>
    <t>spotify:track:6I3mqTwhRpn34SLVafSH7G</t>
  </si>
  <si>
    <t>Justice</t>
  </si>
  <si>
    <t>https://api.spotify.com/v1/audio-analysis/6I3mqTwhRpn34SLVafSH7G</t>
  </si>
  <si>
    <t>6I3mqTwhRpn34SLVafSH7G</t>
  </si>
  <si>
    <t>Ghost</t>
  </si>
  <si>
    <t>2.91e-05</t>
  </si>
  <si>
    <t>5dGWwsZ9iB2Xc3UKR0gif2</t>
  </si>
  <si>
    <t>Maroon 5</t>
  </si>
  <si>
    <t>https://api.spotify.com/v1/tracks/4gbVRS8gloEluzf0GzDOFc</t>
  </si>
  <si>
    <t>spotify:track:4gbVRS8gloEluzf0GzDOFc</t>
  </si>
  <si>
    <t>V</t>
  </si>
  <si>
    <t>https://api.spotify.com/v1/audio-analysis/4gbVRS8gloEluzf0GzDOFc</t>
  </si>
  <si>
    <t>4gbVRS8gloEluzf0GzDOFc</t>
  </si>
  <si>
    <t>Maps</t>
  </si>
  <si>
    <t>2Auw0pTT6EcQdvHNimhLQI</t>
  </si>
  <si>
    <t>0.379</t>
  </si>
  <si>
    <t>-10.48</t>
  </si>
  <si>
    <t>0.0986</t>
  </si>
  <si>
    <t>https://api.spotify.com/v1/tracks/1HNkqx9Ahdgi1Ixy2xkKkL</t>
  </si>
  <si>
    <t>spotify:track:1HNkqx9Ahdgi1Ixy2xkKkL</t>
  </si>
  <si>
    <t>x (Deluxe Edition)</t>
  </si>
  <si>
    <t>https://api.spotify.com/v1/audio-analysis/1HNkqx9Ahdgi1Ixy2xkKkL</t>
  </si>
  <si>
    <t>1HNkqx9Ahdgi1Ixy2xkKkL</t>
  </si>
  <si>
    <t>Photograph</t>
  </si>
  <si>
    <t>0.000464</t>
  </si>
  <si>
    <t>1xn54DMo2qIqBuMqHtUsFd</t>
  </si>
  <si>
    <t>Shawn Mendes</t>
  </si>
  <si>
    <t>https://api.spotify.com/v1/tracks/5jsw9uXEGuKyJzs0boZ1bT</t>
  </si>
  <si>
    <t>spotify:track:5jsw9uXEGuKyJzs0boZ1bT</t>
  </si>
  <si>
    <t>Handwritten</t>
  </si>
  <si>
    <t>https://api.spotify.com/v1/audio-analysis/5jsw9uXEGuKyJzs0boZ1bT</t>
  </si>
  <si>
    <t>5jsw9uXEGuKyJzs0boZ1bT</t>
  </si>
  <si>
    <t>Stitches</t>
  </si>
  <si>
    <t>6sUOosXuYt0oUeczJRbedZ</t>
  </si>
  <si>
    <t>0.0151</t>
  </si>
  <si>
    <t>-8.74</t>
  </si>
  <si>
    <t>https://api.spotify.com/v1/tracks/7LVHVU3tWfcxj5aiPFEW4Q</t>
  </si>
  <si>
    <t>spotify:track:7LVHVU3tWfcxj5aiPFEW4Q</t>
  </si>
  <si>
    <t>X&amp;Y</t>
  </si>
  <si>
    <t>https://api.spotify.com/v1/audio-analysis/7LVHVU3tWfcxj5aiPFEW4Q</t>
  </si>
  <si>
    <t>7LVHVU3tWfcxj5aiPFEW4Q</t>
  </si>
  <si>
    <t>Fix You</t>
  </si>
  <si>
    <t>0.00196</t>
  </si>
  <si>
    <t>4E7bV0pzG0LciBSWTszra6</t>
  </si>
  <si>
    <t>-5.52</t>
  </si>
  <si>
    <t>Luke Combs</t>
  </si>
  <si>
    <t>0.0262</t>
  </si>
  <si>
    <t>https://api.spotify.com/v1/tracks/1Lo0QY9cvc8sUB2vnIOxDT</t>
  </si>
  <si>
    <t>spotify:track:1Lo0QY9cvc8sUB2vnIOxDT</t>
  </si>
  <si>
    <t>Gettin' Old</t>
  </si>
  <si>
    <t>https://api.spotify.com/v1/audio-analysis/1Lo0QY9cvc8sUB2vnIOxDT</t>
  </si>
  <si>
    <t>1Lo0QY9cvc8sUB2vnIOxDT</t>
  </si>
  <si>
    <t>Fast Car</t>
  </si>
  <si>
    <t>5Uly85dJHHDfHQCsyUQ8gw</t>
  </si>
  <si>
    <t>Lewis Capaldi</t>
  </si>
  <si>
    <t>0.0577</t>
  </si>
  <si>
    <t>https://api.spotify.com/v1/tracks/2gMXnyrvIjhVBUZwvLZDMP</t>
  </si>
  <si>
    <t>spotify:track:2gMXnyrvIjhVBUZwvLZDMP</t>
  </si>
  <si>
    <t>Divinely Uninspired To A Hellish Extent (Extended Edition)</t>
  </si>
  <si>
    <t>https://api.spotify.com/v1/audio-analysis/2gMXnyrvIjhVBUZwvLZDMP</t>
  </si>
  <si>
    <t>2gMXnyrvIjhVBUZwvLZDMP</t>
  </si>
  <si>
    <t>Before You Go</t>
  </si>
  <si>
    <t>2wiPF3m0ylst0JSk1IvZL8</t>
  </si>
  <si>
    <t>https://api.spotify.com/v1/tracks/0V3wPSX9ygBnCm8psDIegu</t>
  </si>
  <si>
    <t>spotify:track:0V3wPSX9ygBnCm8psDIegu</t>
  </si>
  <si>
    <t>Midnights</t>
  </si>
  <si>
    <t>https://api.spotify.com/v1/audio-analysis/0V3wPSX9ygBnCm8psDIegu</t>
  </si>
  <si>
    <t>0V3wPSX9ygBnCm8psDIegu</t>
  </si>
  <si>
    <t>Anti-Hero</t>
  </si>
  <si>
    <t>2.62e-06</t>
  </si>
  <si>
    <t>151w1FgRZfnKZA9FEcg9Z3</t>
  </si>
  <si>
    <t>Avril Lavigne</t>
  </si>
  <si>
    <t>https://api.spotify.com/v1/tracks/5xEM5hIgJ1jjgcEBfpkt2F</t>
  </si>
  <si>
    <t>spotify:track:5xEM5hIgJ1jjgcEBfpkt2F</t>
  </si>
  <si>
    <t>Let Go</t>
  </si>
  <si>
    <t>https://api.spotify.com/v1/audio-analysis/5xEM5hIgJ1jjgcEBfpkt2F</t>
  </si>
  <si>
    <t>5xEM5hIgJ1jjgcEBfpkt2F</t>
  </si>
  <si>
    <t>Complicated</t>
  </si>
  <si>
    <t>7.74e-06</t>
  </si>
  <si>
    <t>3zXjR3y2dUWklKmmp6lEhy</t>
  </si>
  <si>
    <t>0.0833</t>
  </si>
  <si>
    <t>https://api.spotify.com/v1/tracks/6nek1Nin9q48AVZcWs9e9D</t>
  </si>
  <si>
    <t>spotify:track:6nek1Nin9q48AVZcWs9e9D</t>
  </si>
  <si>
    <t>Mylo Xyloto</t>
  </si>
  <si>
    <t>https://api.spotify.com/v1/audio-analysis/6nek1Nin9q48AVZcWs9e9D</t>
  </si>
  <si>
    <t>6nek1Nin9q48AVZcWs9e9D</t>
  </si>
  <si>
    <t>Paradise</t>
  </si>
  <si>
    <t>2R7iJz5uaHjLEVnMkloO18</t>
  </si>
  <si>
    <t>0.0509</t>
  </si>
  <si>
    <t>91.05</t>
  </si>
  <si>
    <t>0.0821</t>
  </si>
  <si>
    <t>https://api.spotify.com/v1/tracks/4cktbXiXOapiLBMprHFErI</t>
  </si>
  <si>
    <t>spotify:track:4cktbXiXOapiLBMprHFErI</t>
  </si>
  <si>
    <t>JORDI (Deluxe)</t>
  </si>
  <si>
    <t>https://api.spotify.com/v1/audio-analysis/4cktbXiXOapiLBMprHFErI</t>
  </si>
  <si>
    <t>4cktbXiXOapiLBMprHFErI</t>
  </si>
  <si>
    <t>Memories</t>
  </si>
  <si>
    <t>1pCA38N6MkLlthXtAOvZTU</t>
  </si>
  <si>
    <t>https://api.spotify.com/v1/tracks/34gCuhDGsG4bRPIf9bb02f</t>
  </si>
  <si>
    <t>spotify:track:34gCuhDGsG4bRPIf9bb02f</t>
  </si>
  <si>
    <t>https://api.spotify.com/v1/audio-analysis/34gCuhDGsG4bRPIf9bb02f</t>
  </si>
  <si>
    <t>34gCuhDGsG4bRPIf9bb02f</t>
  </si>
  <si>
    <t>Thinking out Loud</t>
  </si>
  <si>
    <t>Train</t>
  </si>
  <si>
    <t>https://api.spotify.com/v1/tracks/2hKdd3qO7cWr2Jo0Bcs0MA</t>
  </si>
  <si>
    <t>spotify:track:2hKdd3qO7cWr2Jo0Bcs0MA</t>
  </si>
  <si>
    <t>Drops Of Jupiter</t>
  </si>
  <si>
    <t>https://api.spotify.com/v1/audio-analysis/2hKdd3qO7cWr2Jo0Bcs0MA</t>
  </si>
  <si>
    <t>2hKdd3qO7cWr2Jo0Bcs0MA</t>
  </si>
  <si>
    <t>Drops of Jupiter (Tell Me)</t>
  </si>
  <si>
    <t>6j6Zgm7vzAZegr48UppFVT</t>
  </si>
  <si>
    <t>-4.93</t>
  </si>
  <si>
    <t>Dua Lipa</t>
  </si>
  <si>
    <t>0.048</t>
  </si>
  <si>
    <t>https://api.spotify.com/v1/tracks/1vYXt7VSjH9JIM5oRRo7vA</t>
  </si>
  <si>
    <t>spotify:track:1vYXt7VSjH9JIM5oRRo7vA</t>
  </si>
  <si>
    <t>Dance The Night (From Barbie The Album)</t>
  </si>
  <si>
    <t>https://api.spotify.com/v1/audio-analysis/1vYXt7VSjH9JIM5oRRo7vA</t>
  </si>
  <si>
    <t>1vYXt7VSjH9JIM5oRRo7vA</t>
  </si>
  <si>
    <t>Dance The Night - From Barbie The Album</t>
  </si>
  <si>
    <t>5cH7FqB7JD5q1tJXJ7FHYu</t>
  </si>
  <si>
    <t>0.0207</t>
  </si>
  <si>
    <t>0.0546</t>
  </si>
  <si>
    <t>https://api.spotify.com/v1/tracks/4h9wh7iOZ0GGn8QVp4RAOB</t>
  </si>
  <si>
    <t>spotify:track:4h9wh7iOZ0GGn8QVp4RAOB</t>
  </si>
  <si>
    <t>I Ain‚Äôt Worried (Music From The Motion Picture "Top Gun: Maverick")</t>
  </si>
  <si>
    <t>https://api.spotify.com/v1/audio-analysis/4h9wh7iOZ0GGn8QVp4RAOB</t>
  </si>
  <si>
    <t>4h9wh7iOZ0GGn8QVp4RAOB</t>
  </si>
  <si>
    <t>I Ain't Worried</t>
  </si>
  <si>
    <t>0.000745</t>
  </si>
  <si>
    <t>04PEOM6kIEeq9lRp1asNP2</t>
  </si>
  <si>
    <t>P!nk</t>
  </si>
  <si>
    <t>https://api.spotify.com/v1/tracks/1jF7IL57ayN4Ity3jQqGu0</t>
  </si>
  <si>
    <t>spotify:track:1jF7IL57ayN4Ity3jQqGu0</t>
  </si>
  <si>
    <t>https://api.spotify.com/v1/audio-analysis/1jF7IL57ayN4Ity3jQqGu0</t>
  </si>
  <si>
    <t>1jF7IL57ayN4Ity3jQqGu0</t>
  </si>
  <si>
    <t>Try</t>
  </si>
  <si>
    <t>0.00144</t>
  </si>
  <si>
    <t>0.0378</t>
  </si>
  <si>
    <t>https://api.spotify.com/v1/tracks/6ECp64rv50XVz93WvxXMGF</t>
  </si>
  <si>
    <t>spotify:track:6ECp64rv50XVz93WvxXMGF</t>
  </si>
  <si>
    <t>Songs About Jane: 10th Anniversary Edition</t>
  </si>
  <si>
    <t>https://api.spotify.com/v1/audio-analysis/6ECp64rv50XVz93WvxXMGF</t>
  </si>
  <si>
    <t>6ECp64rv50XVz93WvxXMGF</t>
  </si>
  <si>
    <t>This Love</t>
  </si>
  <si>
    <t>5zClcGCSWj926AMjvBNSLc</t>
  </si>
  <si>
    <t>0.0525</t>
  </si>
  <si>
    <t>Lukas Graham</t>
  </si>
  <si>
    <t>https://api.spotify.com/v1/tracks/5kqIPrATaCc2LqxVWzQGbk</t>
  </si>
  <si>
    <t>spotify:track:5kqIPrATaCc2LqxVWzQGbk</t>
  </si>
  <si>
    <t>https://api.spotify.com/v1/audio-analysis/5kqIPrATaCc2LqxVWzQGbk</t>
  </si>
  <si>
    <t>5kqIPrATaCc2LqxVWzQGbk</t>
  </si>
  <si>
    <t>7 Years</t>
  </si>
  <si>
    <t>4rFrdkSWs0dtj0rWPzOk1v</t>
  </si>
  <si>
    <t>Giveon</t>
  </si>
  <si>
    <t>0.0791</t>
  </si>
  <si>
    <t>https://api.spotify.com/v1/tracks/3FAJ6O0NOHQV8Mc5Ri6ENp</t>
  </si>
  <si>
    <t>spotify:track:3FAJ6O0NOHQV8Mc5Ri6ENp</t>
  </si>
  <si>
    <t>TAKE TIME</t>
  </si>
  <si>
    <t>https://api.spotify.com/v1/audio-analysis/3FAJ6O0NOHQV8Mc5Ri6ENp</t>
  </si>
  <si>
    <t>3FAJ6O0NOHQV8Mc5Ri6ENp</t>
  </si>
  <si>
    <t>Heartbreak Anniversary</t>
  </si>
  <si>
    <t>1.02e-06</t>
  </si>
  <si>
    <t>1zHR48K6XtWYm6bhrw4J6C</t>
  </si>
  <si>
    <t>Elton John, Dua Lipa, PNAU</t>
  </si>
  <si>
    <t>https://api.spotify.com/v1/tracks/6zSpb8dQRaw0M1dK8PBwQz</t>
  </si>
  <si>
    <t>spotify:track:6zSpb8dQRaw0M1dK8PBwQz</t>
  </si>
  <si>
    <t>Cold Heart (PNAU Remix)</t>
  </si>
  <si>
    <t>https://api.spotify.com/v1/audio-analysis/6zSpb8dQRaw0M1dK8PBwQz</t>
  </si>
  <si>
    <t>6zSpb8dQRaw0M1dK8PBwQz</t>
  </si>
  <si>
    <t>Cold Heart - PNAU Remix</t>
  </si>
  <si>
    <t>4.19e-05</t>
  </si>
  <si>
    <t>5D8Rdb09BkmHscEGSWAlA6</t>
  </si>
  <si>
    <t>Meghan Trainor, John Legend</t>
  </si>
  <si>
    <t>https://api.spotify.com/v1/tracks/2YlZnw2ikdb837oKMKjBkW</t>
  </si>
  <si>
    <t>spotify:track:2YlZnw2ikdb837oKMKjBkW</t>
  </si>
  <si>
    <t>Title (Deluxe)</t>
  </si>
  <si>
    <t>https://api.spotify.com/v1/audio-analysis/2YlZnw2ikdb837oKMKjBkW</t>
  </si>
  <si>
    <t>2YlZnw2ikdb837oKMKjBkW</t>
  </si>
  <si>
    <t>Like I'm Gonna Lose You (feat. John Legend)</t>
  </si>
  <si>
    <t>5W98Ab4VvQEuFEE4TIe5fE</t>
  </si>
  <si>
    <t>101.19</t>
  </si>
  <si>
    <t>Stephen Sanchez, Em Beihold</t>
  </si>
  <si>
    <t>https://api.spotify.com/v1/tracks/1Y3LN4zO1Edc2EluIoSPJN</t>
  </si>
  <si>
    <t>spotify:track:1Y3LN4zO1Edc2EluIoSPJN</t>
  </si>
  <si>
    <t>Until I Found You (Em Beihold Version)</t>
  </si>
  <si>
    <t>https://api.spotify.com/v1/audio-analysis/1Y3LN4zO1Edc2EluIoSPJN</t>
  </si>
  <si>
    <t>1Y3LN4zO1Edc2EluIoSPJN</t>
  </si>
  <si>
    <t>Until I Found You (with Em Beihold) - Em Beihold Version</t>
  </si>
  <si>
    <t>7ARtQpvnPN2ucbmVHngLOs</t>
  </si>
  <si>
    <t>102.0</t>
  </si>
  <si>
    <t>0.0994</t>
  </si>
  <si>
    <t>https://api.spotify.com/v1/tracks/4llK75pXNWZz6KAho2Gp16</t>
  </si>
  <si>
    <t>spotify:track:4llK75pXNWZz6KAho2Gp16</t>
  </si>
  <si>
    <t>https://api.spotify.com/v1/audio-analysis/4llK75pXNWZz6KAho2Gp16</t>
  </si>
  <si>
    <t>4llK75pXNWZz6KAho2Gp16</t>
  </si>
  <si>
    <t>She Will Be Loved - Radio Mix</t>
  </si>
  <si>
    <t>Niall Horan</t>
  </si>
  <si>
    <t>https://api.spotify.com/v1/tracks/0qvzXomUDJVaUboy2wMfiS</t>
  </si>
  <si>
    <t>spotify:track:0qvzXomUDJVaUboy2wMfiS</t>
  </si>
  <si>
    <t>Flicker (Deluxe)</t>
  </si>
  <si>
    <t>https://api.spotify.com/v1/audio-analysis/0qvzXomUDJVaUboy2wMfiS</t>
  </si>
  <si>
    <t>0qvzXomUDJVaUboy2wMfiS</t>
  </si>
  <si>
    <t>This Town</t>
  </si>
  <si>
    <t>7ahctQBwcSxDdP0fRAPo2p</t>
  </si>
  <si>
    <t>Paul Russell</t>
  </si>
  <si>
    <t>https://api.spotify.com/v1/tracks/0cVyQfDyRnMJ0V3rjjdlU3</t>
  </si>
  <si>
    <t>spotify:track:0cVyQfDyRnMJ0V3rjjdlU3</t>
  </si>
  <si>
    <t>Lil Boo Thang</t>
  </si>
  <si>
    <t>https://api.spotify.com/v1/audio-analysis/0cVyQfDyRnMJ0V3rjjdlU3</t>
  </si>
  <si>
    <t>0cVyQfDyRnMJ0V3rjjdlU3</t>
  </si>
  <si>
    <t>1j5AROUr8rq5xb2CXDIH1c</t>
  </si>
  <si>
    <t>The Kid LAROI, Justin Bieber</t>
  </si>
  <si>
    <t>https://api.spotify.com/v1/tracks/5HCyWlXZPP0y6Gqq8TgA20</t>
  </si>
  <si>
    <t>spotify:track:5HCyWlXZPP0y6Gqq8TgA20</t>
  </si>
  <si>
    <t>STAY (with Justin Bieber)</t>
  </si>
  <si>
    <t>https://api.spotify.com/v1/audio-analysis/5HCyWlXZPP0y6Gqq8TgA20</t>
  </si>
  <si>
    <t>5HCyWlXZPP0y6Gqq8TgA20</t>
  </si>
  <si>
    <t>4QLAtpLNUsHEYrcHXmMIZZ</t>
  </si>
  <si>
    <t>Ariana Grande, Justin Bieber</t>
  </si>
  <si>
    <t>0.0418</t>
  </si>
  <si>
    <t>https://api.spotify.com/v1/tracks/4HBZA5flZLE435QTztThqH</t>
  </si>
  <si>
    <t>spotify:track:4HBZA5flZLE435QTztThqH</t>
  </si>
  <si>
    <t>Stuck with U</t>
  </si>
  <si>
    <t>https://api.spotify.com/v1/audio-analysis/4HBZA5flZLE435QTztThqH</t>
  </si>
  <si>
    <t>4HBZA5flZLE435QTztThqH</t>
  </si>
  <si>
    <t>Stuck with U (with Justin Bieber)</t>
  </si>
  <si>
    <t>5mUdh6YWnUvf0MfklEk1oi</t>
  </si>
  <si>
    <t>https://api.spotify.com/v1/tracks/6SKwQghsR8AISlxhcwyA9R</t>
  </si>
  <si>
    <t>spotify:track:6SKwQghsR8AISlxhcwyA9R</t>
  </si>
  <si>
    <t>https://api.spotify.com/v1/audio-analysis/6SKwQghsR8AISlxhcwyA9R</t>
  </si>
  <si>
    <t>6SKwQghsR8AISlxhcwyA9R</t>
  </si>
  <si>
    <t>Marry You</t>
  </si>
  <si>
    <t>6J84szYCnMfzEcvIcfWMFL</t>
  </si>
  <si>
    <t>Calum Scott</t>
  </si>
  <si>
    <t>https://api.spotify.com/v1/tracks/2BOqDYLOJBiMOXShCV1neZ</t>
  </si>
  <si>
    <t>spotify:track:2BOqDYLOJBiMOXShCV1neZ</t>
  </si>
  <si>
    <t>Only Human (Deluxe)</t>
  </si>
  <si>
    <t>https://api.spotify.com/v1/audio-analysis/2BOqDYLOJBiMOXShCV1neZ</t>
  </si>
  <si>
    <t>2BOqDYLOJBiMOXShCV1neZ</t>
  </si>
  <si>
    <t>Dancing On My Own</t>
  </si>
  <si>
    <t>3.35e-05</t>
  </si>
  <si>
    <t>6Vip5A5NmEazvKuxj6GLYf</t>
  </si>
  <si>
    <t>136.07</t>
  </si>
  <si>
    <t>-7.05</t>
  </si>
  <si>
    <t>0.0936</t>
  </si>
  <si>
    <t>Halsey</t>
  </si>
  <si>
    <t>https://api.spotify.com/v1/tracks/6FZDfxM3a3UCqtzo5pxSLZ</t>
  </si>
  <si>
    <t>spotify:track:6FZDfxM3a3UCqtzo5pxSLZ</t>
  </si>
  <si>
    <t>Manic</t>
  </si>
  <si>
    <t>https://api.spotify.com/v1/audio-analysis/6FZDfxM3a3UCqtzo5pxSLZ</t>
  </si>
  <si>
    <t>6FZDfxM3a3UCqtzo5pxSLZ</t>
  </si>
  <si>
    <t>Without Me</t>
  </si>
  <si>
    <t>9.2e-06</t>
  </si>
  <si>
    <t>68enXe5XcJdciSDAZr0Alr</t>
  </si>
  <si>
    <t>-4.77</t>
  </si>
  <si>
    <t>Marshmello, Jonas Brothers</t>
  </si>
  <si>
    <t>https://api.spotify.com/v1/tracks/4qu63nuBpdn0qHUHuObEj1</t>
  </si>
  <si>
    <t>spotify:track:4qu63nuBpdn0qHUHuObEj1</t>
  </si>
  <si>
    <t>Leave Before You Love Me</t>
  </si>
  <si>
    <t>https://api.spotify.com/v1/audio-analysis/4qu63nuBpdn0qHUHuObEj1</t>
  </si>
  <si>
    <t>4qu63nuBpdn0qHUHuObEj1</t>
  </si>
  <si>
    <t>Leave Before You Love Me (with Jonas Brothers)</t>
  </si>
  <si>
    <t>4.41e-06</t>
  </si>
  <si>
    <t>66JuK41D3LpkbX3HCTGcQk</t>
  </si>
  <si>
    <t>0.00226</t>
  </si>
  <si>
    <t>American Authors</t>
  </si>
  <si>
    <t>https://api.spotify.com/v1/tracks/5Hroj5K7vLpIG4FNCRIjbP</t>
  </si>
  <si>
    <t>spotify:track:5Hroj5K7vLpIG4FNCRIjbP</t>
  </si>
  <si>
    <t>Oh, What A Life</t>
  </si>
  <si>
    <t>https://api.spotify.com/v1/audio-analysis/5Hroj5K7vLpIG4FNCRIjbP</t>
  </si>
  <si>
    <t>5Hroj5K7vLpIG4FNCRIjbP</t>
  </si>
  <si>
    <t>Best Day Of My Life</t>
  </si>
  <si>
    <t>0.000227</t>
  </si>
  <si>
    <t>0V4laGZGshNCpurfIdUhHv</t>
  </si>
  <si>
    <t>0.0334</t>
  </si>
  <si>
    <t>https://api.spotify.com/v1/tracks/2iuZJX9X9P0GKaE93xcPjk</t>
  </si>
  <si>
    <t>spotify:track:2iuZJX9X9P0GKaE93xcPjk</t>
  </si>
  <si>
    <t>https://api.spotify.com/v1/audio-analysis/2iuZJX9X9P0GKaE93xcPjk</t>
  </si>
  <si>
    <t>2iuZJX9X9P0GKaE93xcPjk</t>
  </si>
  <si>
    <t>Zedd, Maren Morris, Grey</t>
  </si>
  <si>
    <t>https://api.spotify.com/v1/tracks/09IStsImFySgyp0pIQdqAc</t>
  </si>
  <si>
    <t>spotify:track:09IStsImFySgyp0pIQdqAc</t>
  </si>
  <si>
    <t>The Middle</t>
  </si>
  <si>
    <t>https://api.spotify.com/v1/audio-analysis/09IStsImFySgyp0pIQdqAc</t>
  </si>
  <si>
    <t>09IStsImFySgyp0pIQdqAc</t>
  </si>
  <si>
    <t>7nEiwcUSwycvC77kZ9ub7c</t>
  </si>
  <si>
    <t>0.0993</t>
  </si>
  <si>
    <t>Selena Gomez</t>
  </si>
  <si>
    <t>https://api.spotify.com/v1/tracks/4l0Mvzj72xxOpRrp6h8nHi</t>
  </si>
  <si>
    <t>spotify:track:4l0Mvzj72xxOpRrp6h8nHi</t>
  </si>
  <si>
    <t>Rare</t>
  </si>
  <si>
    <t>https://api.spotify.com/v1/audio-analysis/4l0Mvzj72xxOpRrp6h8nHi</t>
  </si>
  <si>
    <t>4l0Mvzj72xxOpRrp6h8nHi</t>
  </si>
  <si>
    <t>Lose You To Love Me</t>
  </si>
  <si>
    <t>3YPFaTR7WMi1Hd4NVKdCJx</t>
  </si>
  <si>
    <t>Mark Ronson, Miley Cyrus</t>
  </si>
  <si>
    <t>0.0671</t>
  </si>
  <si>
    <t>https://api.spotify.com/v1/tracks/02dRkCEc8Q5ch4TTcnLxOn</t>
  </si>
  <si>
    <t>spotify:track:02dRkCEc8Q5ch4TTcnLxOn</t>
  </si>
  <si>
    <t>Late Night Feelings</t>
  </si>
  <si>
    <t>https://api.spotify.com/v1/audio-analysis/02dRkCEc8Q5ch4TTcnLxOn</t>
  </si>
  <si>
    <t>02dRkCEc8Q5ch4TTcnLxOn</t>
  </si>
  <si>
    <t>Nothing Breaks Like a Heart (feat. Miley Cyrus)</t>
  </si>
  <si>
    <t>1.36e-06</t>
  </si>
  <si>
    <t>6vdLdzihSWxV8FgWU2GSvA</t>
  </si>
  <si>
    <t>0.00987</t>
  </si>
  <si>
    <t>https://api.spotify.com/v1/tracks/59uQI0PADDKeE6UZDTJEe8</t>
  </si>
  <si>
    <t>spotify:track:59uQI0PADDKeE6UZDTJEe8</t>
  </si>
  <si>
    <t>3 Songs At A Time Sampler</t>
  </si>
  <si>
    <t>https://api.spotify.com/v1/audio-analysis/59uQI0PADDKeE6UZDTJEe8</t>
  </si>
  <si>
    <t>59uQI0PADDKeE6UZDTJEe8</t>
  </si>
  <si>
    <t>Last Night</t>
  </si>
  <si>
    <t>7fOmdhRrRohTzToL617xkk</t>
  </si>
  <si>
    <t>0.426</t>
  </si>
  <si>
    <t>Lorde</t>
  </si>
  <si>
    <t>https://api.spotify.com/v1/tracks/2dLLR6qlu5UJ5gk0dKz0h3</t>
  </si>
  <si>
    <t>spotify:track:2dLLR6qlu5UJ5gk0dKz0h3</t>
  </si>
  <si>
    <t>Pure Heroine</t>
  </si>
  <si>
    <t>https://api.spotify.com/v1/audio-analysis/2dLLR6qlu5UJ5gk0dKz0h3</t>
  </si>
  <si>
    <t>2dLLR6qlu5UJ5gk0dKz0h3</t>
  </si>
  <si>
    <t>Royals</t>
  </si>
  <si>
    <t>0rmhjUgoVa17LZuS8xWQ3v</t>
  </si>
  <si>
    <t>Leona Lewis</t>
  </si>
  <si>
    <t>https://api.spotify.com/v1/tracks/7wZUrN8oemZfsEd1CGkbXE</t>
  </si>
  <si>
    <t>spotify:track:7wZUrN8oemZfsEd1CGkbXE</t>
  </si>
  <si>
    <t>Spirit</t>
  </si>
  <si>
    <t>https://api.spotify.com/v1/audio-analysis/7wZUrN8oemZfsEd1CGkbXE</t>
  </si>
  <si>
    <t>7wZUrN8oemZfsEd1CGkbXE</t>
  </si>
  <si>
    <t>Bleeding Love</t>
  </si>
  <si>
    <t>0VaAFegRAAn4OCg7p4QjN5</t>
  </si>
  <si>
    <t>Vanessa Carlton</t>
  </si>
  <si>
    <t>0.0379</t>
  </si>
  <si>
    <t>https://api.spotify.com/v1/tracks/4w1lzcaoZ1IC2K5TwjalRP</t>
  </si>
  <si>
    <t>spotify:track:4w1lzcaoZ1IC2K5TwjalRP</t>
  </si>
  <si>
    <t>Be Not Nobody</t>
  </si>
  <si>
    <t>https://api.spotify.com/v1/audio-analysis/4w1lzcaoZ1IC2K5TwjalRP</t>
  </si>
  <si>
    <t>4w1lzcaoZ1IC2K5TwjalRP</t>
  </si>
  <si>
    <t>A Thousand Miles</t>
  </si>
  <si>
    <t>5e7T2qUigzt0oIr50KsOld</t>
  </si>
  <si>
    <t>https://api.spotify.com/v1/tracks/6YvqWjhGD8mB5QXcbcUKtx</t>
  </si>
  <si>
    <t>spotify:track:6YvqWjhGD8mB5QXcbcUKtx</t>
  </si>
  <si>
    <t>Fearless (Taylor's Version)</t>
  </si>
  <si>
    <t>https://api.spotify.com/v1/audio-analysis/6YvqWjhGD8mB5QXcbcUKtx</t>
  </si>
  <si>
    <t>6YvqWjhGD8mB5QXcbcUKtx</t>
  </si>
  <si>
    <t>Love Story (Taylor‚Äôs Version)</t>
  </si>
  <si>
    <t>3.97e-06</t>
  </si>
  <si>
    <t>4hDok0OAJd57SGIT8xuWJH</t>
  </si>
  <si>
    <t>Shawn Mendes, Camila Cabello</t>
  </si>
  <si>
    <t>https://api.spotify.com/v1/tracks/0TK2YIli7K1leLovkQiNik</t>
  </si>
  <si>
    <t>spotify:track:0TK2YIli7K1leLovkQiNik</t>
  </si>
  <si>
    <t>Se√±orita</t>
  </si>
  <si>
    <t>https://api.spotify.com/v1/audio-analysis/0TK2YIli7K1leLovkQiNik</t>
  </si>
  <si>
    <t>0TK2YIli7K1leLovkQiNik</t>
  </si>
  <si>
    <t>2ZaX1FdZCwchXl1QZiD4O4</t>
  </si>
  <si>
    <t>Katy Perry</t>
  </si>
  <si>
    <t>0.0371</t>
  </si>
  <si>
    <t>https://api.spotify.com/v1/tracks/5JLv62qFIS1DR3zGEcApRt</t>
  </si>
  <si>
    <t>spotify:track:5JLv62qFIS1DR3zGEcApRt</t>
  </si>
  <si>
    <t>Teenage Dream: The Complete Confection</t>
  </si>
  <si>
    <t>https://api.spotify.com/v1/audio-analysis/5JLv62qFIS1DR3zGEcApRt</t>
  </si>
  <si>
    <t>5JLv62qFIS1DR3zGEcApRt</t>
  </si>
  <si>
    <t>Wide Awake</t>
  </si>
  <si>
    <t>2.64e-06</t>
  </si>
  <si>
    <t>5BvgP623rtvlc0HDcpzquz</t>
  </si>
  <si>
    <t>150.96</t>
  </si>
  <si>
    <t>0.0973</t>
  </si>
  <si>
    <t>Jason Mraz</t>
  </si>
  <si>
    <t>https://api.spotify.com/v1/tracks/1EzrEOXmMH3G43AXT1y7pA</t>
  </si>
  <si>
    <t>spotify:track:1EzrEOXmMH3G43AXT1y7pA</t>
  </si>
  <si>
    <t>We Sing. We Dance. We Steal Things.</t>
  </si>
  <si>
    <t>https://api.spotify.com/v1/audio-analysis/1EzrEOXmMH3G43AXT1y7pA</t>
  </si>
  <si>
    <t>1EzrEOXmMH3G43AXT1y7pA</t>
  </si>
  <si>
    <t>I'm Yours</t>
  </si>
  <si>
    <t>04G0YylSjvDQZrjOfE5jA5</t>
  </si>
  <si>
    <t>The Calling</t>
  </si>
  <si>
    <t>https://api.spotify.com/v1/tracks/5QpaGzWp0hwB5faV8dkbAz</t>
  </si>
  <si>
    <t>spotify:track:5QpaGzWp0hwB5faV8dkbAz</t>
  </si>
  <si>
    <t>Camino Palmero</t>
  </si>
  <si>
    <t>https://api.spotify.com/v1/audio-analysis/5QpaGzWp0hwB5faV8dkbAz</t>
  </si>
  <si>
    <t>5QpaGzWp0hwB5faV8dkbAz</t>
  </si>
  <si>
    <t>Wherever You Will Go</t>
  </si>
  <si>
    <t>2Ir1mtE8K61cCNY5WQyKGV</t>
  </si>
  <si>
    <t>Gotye, Kimbra</t>
  </si>
  <si>
    <t>https://api.spotify.com/v1/tracks/4wCmqSrbyCgxEXROQE6vtV</t>
  </si>
  <si>
    <t>spotify:track:4wCmqSrbyCgxEXROQE6vtV</t>
  </si>
  <si>
    <t>Making Mirrors</t>
  </si>
  <si>
    <t>https://api.spotify.com/v1/audio-analysis/4wCmqSrbyCgxEXROQE6vtV</t>
  </si>
  <si>
    <t>4wCmqSrbyCgxEXROQE6vtV</t>
  </si>
  <si>
    <t>Somebody That I Used To Know</t>
  </si>
  <si>
    <t>1HjSyGjmLNjRAKgT9t1cna</t>
  </si>
  <si>
    <t>https://api.spotify.com/v1/tracks/4esOae7i4rqTbAu9o5Pxco</t>
  </si>
  <si>
    <t>spotify:track:4esOae7i4rqTbAu9o5Pxco</t>
  </si>
  <si>
    <t>Girl on Fire (Remixes) - EP</t>
  </si>
  <si>
    <t>https://api.spotify.com/v1/audio-analysis/4esOae7i4rqTbAu9o5Pxco</t>
  </si>
  <si>
    <t>4esOae7i4rqTbAu9o5Pxco</t>
  </si>
  <si>
    <t>Girl on Fire</t>
  </si>
  <si>
    <t>3zZSz5VOYSu0jE4MkPCOvN</t>
  </si>
  <si>
    <t>Amy Winehouse</t>
  </si>
  <si>
    <t>https://api.spotify.com/v1/tracks/0DMRKqrpd0QO4RWiEdMib0</t>
  </si>
  <si>
    <t>spotify:track:0DMRKqrpd0QO4RWiEdMib0</t>
  </si>
  <si>
    <t>Back To Black (Deluxe Edition)</t>
  </si>
  <si>
    <t>https://api.spotify.com/v1/audio-analysis/0DMRKqrpd0QO4RWiEdMib0</t>
  </si>
  <si>
    <t>0DMRKqrpd0QO4RWiEdMib0</t>
  </si>
  <si>
    <t>You Know I'm No Good</t>
  </si>
  <si>
    <t>0.00351</t>
  </si>
  <si>
    <t>0E4xv5gPjykrwBgBZzI8XG</t>
  </si>
  <si>
    <t>0.0813</t>
  </si>
  <si>
    <t>Dean Lewis</t>
  </si>
  <si>
    <t>https://api.spotify.com/v1/tracks/3EPXxR3ImUwfayaurPi3cm</t>
  </si>
  <si>
    <t>spotify:track:3EPXxR3ImUwfayaurPi3cm</t>
  </si>
  <si>
    <t>Be Alright</t>
  </si>
  <si>
    <t>https://api.spotify.com/v1/audio-analysis/3EPXxR3ImUwfayaurPi3cm</t>
  </si>
  <si>
    <t>3EPXxR3ImUwfayaurPi3cm</t>
  </si>
  <si>
    <t>0YZLXTaHLcgl5UdtKDiUXD</t>
  </si>
  <si>
    <t>BANNERS</t>
  </si>
  <si>
    <t>https://api.spotify.com/v1/tracks/2f0pn9DkEJwAzXApnFh5cr</t>
  </si>
  <si>
    <t>spotify:track:2f0pn9DkEJwAzXApnFh5cr</t>
  </si>
  <si>
    <t>Where The Shadow Ends</t>
  </si>
  <si>
    <t>https://api.spotify.com/v1/audio-analysis/2f0pn9DkEJwAzXApnFh5cr</t>
  </si>
  <si>
    <t>2f0pn9DkEJwAzXApnFh5cr</t>
  </si>
  <si>
    <t>Someone To You</t>
  </si>
  <si>
    <t>7jPoliCU7TRA13Wro32AOD</t>
  </si>
  <si>
    <t>0.00517</t>
  </si>
  <si>
    <t>0.271</t>
  </si>
  <si>
    <t>Duncan Laurence</t>
  </si>
  <si>
    <t>https://api.spotify.com/v1/tracks/1Xi84slp6FryDSCbzq4UCD</t>
  </si>
  <si>
    <t>spotify:track:1Xi84slp6FryDSCbzq4UCD</t>
  </si>
  <si>
    <t>Arcade</t>
  </si>
  <si>
    <t>https://api.spotify.com/v1/audio-analysis/1Xi84slp6FryDSCbzq4UCD</t>
  </si>
  <si>
    <t>1Xi84slp6FryDSCbzq4UCD</t>
  </si>
  <si>
    <t>0.00104</t>
  </si>
  <si>
    <t>7BISGeB7QwhqRIadxuLHfG</t>
  </si>
  <si>
    <t>Rachel Platten</t>
  </si>
  <si>
    <t>https://api.spotify.com/v1/tracks/37f4ITSlgPX81ad2EvmVQr</t>
  </si>
  <si>
    <t>spotify:track:37f4ITSlgPX81ad2EvmVQr</t>
  </si>
  <si>
    <t>Wildfire</t>
  </si>
  <si>
    <t>https://api.spotify.com/v1/audio-analysis/37f4ITSlgPX81ad2EvmVQr</t>
  </si>
  <si>
    <t>37f4ITSlgPX81ad2EvmVQr</t>
  </si>
  <si>
    <t>Fight Song</t>
  </si>
  <si>
    <t>0mFDIOqypzHp6Xd0el1hoT</t>
  </si>
  <si>
    <t>https://api.spotify.com/v1/tracks/5jzKL4BDMClWqRguW5qZvh</t>
  </si>
  <si>
    <t>spotify:track:5jzKL4BDMClWqRguW5qZvh</t>
  </si>
  <si>
    <t>Teenage Dream</t>
  </si>
  <si>
    <t>https://api.spotify.com/v1/audio-analysis/5jzKL4BDMClWqRguW5qZvh</t>
  </si>
  <si>
    <t>5jzKL4BDMClWqRguW5qZvh</t>
  </si>
  <si>
    <t>2.34e-06</t>
  </si>
  <si>
    <t>2eQMC9nJE3f3hCNKlYYHL1</t>
  </si>
  <si>
    <t>0.0162</t>
  </si>
  <si>
    <t>0.0506</t>
  </si>
  <si>
    <t>https://api.spotify.com/v1/tracks/0Qh38w01QRXK6KHIv0e3hb</t>
  </si>
  <si>
    <t>spotify:track:0Qh38w01QRXK6KHIv0e3hb</t>
  </si>
  <si>
    <t>Beautiful Trauma</t>
  </si>
  <si>
    <t>https://api.spotify.com/v1/audio-analysis/0Qh38w01QRXK6KHIv0e3hb</t>
  </si>
  <si>
    <t>0Qh38w01QRXK6KHIv0e3hb</t>
  </si>
  <si>
    <t>What About Us</t>
  </si>
  <si>
    <t>2.01e-06</t>
  </si>
  <si>
    <t>7hwhuEQT4Fp5bzwLlYZtiz</t>
  </si>
  <si>
    <t>0.0339</t>
  </si>
  <si>
    <t>https://api.spotify.com/v1/tracks/3LlAyCYU26dvFZBDUIMb7a</t>
  </si>
  <si>
    <t>spotify:track:3LlAyCYU26dvFZBDUIMb7a</t>
  </si>
  <si>
    <t>Night Visions</t>
  </si>
  <si>
    <t>https://api.spotify.com/v1/audio-analysis/3LlAyCYU26dvFZBDUIMb7a</t>
  </si>
  <si>
    <t>3LlAyCYU26dvFZBDUIMb7a</t>
  </si>
  <si>
    <t>Demons</t>
  </si>
  <si>
    <t>0.00025</t>
  </si>
  <si>
    <t>6htgf3qv7vGcsdxLCDxKp8</t>
  </si>
  <si>
    <t>Forest Blakk</t>
  </si>
  <si>
    <t>https://api.spotify.com/v1/tracks/727Z2S2mtNH46CbP9EWPwY</t>
  </si>
  <si>
    <t>spotify:track:727Z2S2mtNH46CbP9EWPwY</t>
  </si>
  <si>
    <t>If You Love Her</t>
  </si>
  <si>
    <t>https://api.spotify.com/v1/audio-analysis/727Z2S2mtNH46CbP9EWPwY</t>
  </si>
  <si>
    <t>727Z2S2mtNH46CbP9EWPwY</t>
  </si>
  <si>
    <t>5hgwPA78vCrhEDaTazNMyR</t>
  </si>
  <si>
    <t>Julia Michaels</t>
  </si>
  <si>
    <t>0.0639</t>
  </si>
  <si>
    <t>https://api.spotify.com/v1/tracks/7vu0JkJh0ldukEYbTVcqd0</t>
  </si>
  <si>
    <t>spotify:track:7vu0JkJh0ldukEYbTVcqd0</t>
  </si>
  <si>
    <t>Nervous System</t>
  </si>
  <si>
    <t>https://api.spotify.com/v1/audio-analysis/7vu0JkJh0ldukEYbTVcqd0</t>
  </si>
  <si>
    <t>7vu0JkJh0ldukEYbTVcqd0</t>
  </si>
  <si>
    <t>Issues</t>
  </si>
  <si>
    <t>1qyjZGIeeLJlXbYWuoloWj</t>
  </si>
  <si>
    <t>-6.89</t>
  </si>
  <si>
    <t>0.0869</t>
  </si>
  <si>
    <t>0.0797</t>
  </si>
  <si>
    <t>Lauren Daigle</t>
  </si>
  <si>
    <t>https://api.spotify.com/v1/tracks/6Up545NUflOiXo8cEraH49</t>
  </si>
  <si>
    <t>spotify:track:6Up545NUflOiXo8cEraH49</t>
  </si>
  <si>
    <t>Look Up Child</t>
  </si>
  <si>
    <t>https://api.spotify.com/v1/audio-analysis/6Up545NUflOiXo8cEraH49</t>
  </si>
  <si>
    <t>6Up545NUflOiXo8cEraH49</t>
  </si>
  <si>
    <t>You Say</t>
  </si>
  <si>
    <t>6pmoTLfsPpn0wisT3YFJSN</t>
  </si>
  <si>
    <t>JP Saxe, Julia Michaels</t>
  </si>
  <si>
    <t>https://api.spotify.com/v1/tracks/2kJwzbxV2ppxnQoYw4GLBZ</t>
  </si>
  <si>
    <t>spotify:track:2kJwzbxV2ppxnQoYw4GLBZ</t>
  </si>
  <si>
    <t>If the World Was Ending (feat. Julia Michaels)</t>
  </si>
  <si>
    <t>https://api.spotify.com/v1/audio-analysis/2kJwzbxV2ppxnQoYw4GLBZ</t>
  </si>
  <si>
    <t>2kJwzbxV2ppxnQoYw4GLBZ</t>
  </si>
  <si>
    <t>7BrlhEO8dHiNmU8A1Ep9RZ</t>
  </si>
  <si>
    <t>Beyonc√©</t>
  </si>
  <si>
    <t>https://api.spotify.com/v1/tracks/4JehYebiI9JE8sR8MisGVb</t>
  </si>
  <si>
    <t>spotify:track:4JehYebiI9JE8sR8MisGVb</t>
  </si>
  <si>
    <t>I AM...SASHA FIERCE</t>
  </si>
  <si>
    <t>https://api.spotify.com/v1/audio-analysis/4JehYebiI9JE8sR8MisGVb</t>
  </si>
  <si>
    <t>4JehYebiI9JE8sR8MisGVb</t>
  </si>
  <si>
    <t>Halo</t>
  </si>
  <si>
    <t>39P7VD7qlg3Z0ltq60eHp7</t>
  </si>
  <si>
    <t>0.0849</t>
  </si>
  <si>
    <t>fun., Janelle Mon√°e</t>
  </si>
  <si>
    <t>0.075</t>
  </si>
  <si>
    <t>https://api.spotify.com/v1/tracks/7a86XRg84qjasly9f6bPSD</t>
  </si>
  <si>
    <t>spotify:track:7a86XRg84qjasly9f6bPSD</t>
  </si>
  <si>
    <t>Some Nights</t>
  </si>
  <si>
    <t>https://api.spotify.com/v1/audio-analysis/7a86XRg84qjasly9f6bPSD</t>
  </si>
  <si>
    <t>7a86XRg84qjasly9f6bPSD</t>
  </si>
  <si>
    <t>We Are Young (feat. Janelle Mon√°e)</t>
  </si>
  <si>
    <t>7.66e-05</t>
  </si>
  <si>
    <t>7iycyHwOW2plljYIK6I1Zo</t>
  </si>
  <si>
    <t>0.02</t>
  </si>
  <si>
    <t>90.04</t>
  </si>
  <si>
    <t>https://api.spotify.com/v1/tracks/6IwKcFdiRQZOWeYNhUiWIv</t>
  </si>
  <si>
    <t>spotify:track:6IwKcFdiRQZOWeYNhUiWIv</t>
  </si>
  <si>
    <t>As I Am (Expanded Edition)</t>
  </si>
  <si>
    <t>https://api.spotify.com/v1/audio-analysis/6IwKcFdiRQZOWeYNhUiWIv</t>
  </si>
  <si>
    <t>6IwKcFdiRQZOWeYNhUiWIv</t>
  </si>
  <si>
    <t>8.85e-06</t>
  </si>
  <si>
    <t>6KlxyxhXEDo1LdheFulN7h</t>
  </si>
  <si>
    <t>123.28</t>
  </si>
  <si>
    <t>0.335</t>
  </si>
  <si>
    <t>https://api.spotify.com/v1/tracks/30FURVTCpbKyykjSEQzGkH</t>
  </si>
  <si>
    <t>spotify:track:30FURVTCpbKyykjSEQzGkH</t>
  </si>
  <si>
    <t>Back To Black</t>
  </si>
  <si>
    <t>https://api.spotify.com/v1/audio-analysis/30FURVTCpbKyykjSEQzGkH</t>
  </si>
  <si>
    <t>30FURVTCpbKyykjSEQzGkH</t>
  </si>
  <si>
    <t>2.68e-05</t>
  </si>
  <si>
    <t>097eYvf9NKjFnv4xA9s2oV</t>
  </si>
  <si>
    <t>Dan + Shay, Justin Bieber</t>
  </si>
  <si>
    <t>https://api.spotify.com/v1/tracks/2wrJq5XKLnmhRXHIAf9xBa</t>
  </si>
  <si>
    <t>spotify:track:2wrJq5XKLnmhRXHIAf9xBa</t>
  </si>
  <si>
    <t>10,000 Hours (with Justin Bieber)</t>
  </si>
  <si>
    <t>https://api.spotify.com/v1/audio-analysis/2wrJq5XKLnmhRXHIAf9xBa</t>
  </si>
  <si>
    <t>2wrJq5XKLnmhRXHIAf9xBa</t>
  </si>
  <si>
    <t>4ow6xJwn49gpWz7iHpOzWY</t>
  </si>
  <si>
    <t>Andra Day</t>
  </si>
  <si>
    <t>https://api.spotify.com/v1/tracks/0tV8pOpiNsKqUys0ilUcXz</t>
  </si>
  <si>
    <t>spotify:track:0tV8pOpiNsKqUys0ilUcXz</t>
  </si>
  <si>
    <t>Cheers to the Fall</t>
  </si>
  <si>
    <t>https://api.spotify.com/v1/audio-analysis/0tV8pOpiNsKqUys0ilUcXz</t>
  </si>
  <si>
    <t>0tV8pOpiNsKqUys0ilUcXz</t>
  </si>
  <si>
    <t>Rise Up</t>
  </si>
  <si>
    <t>6Blubl1glavmervPJa3QVs</t>
  </si>
  <si>
    <t>0.0867</t>
  </si>
  <si>
    <t>0.0352</t>
  </si>
  <si>
    <t>https://api.spotify.com/v1/tracks/6yARPLK0PV4heEyh7pVMGz</t>
  </si>
  <si>
    <t>spotify:track:6yARPLK0PV4heEyh7pVMGz</t>
  </si>
  <si>
    <t>https://api.spotify.com/v1/audio-analysis/6yARPLK0PV4heEyh7pVMGz</t>
  </si>
  <si>
    <t>6yARPLK0PV4heEyh7pVMGz</t>
  </si>
  <si>
    <t>Part Of Me</t>
  </si>
  <si>
    <t>4zLOhyT4XIzyyl7KoSHWcE</t>
  </si>
  <si>
    <t>0.000348</t>
  </si>
  <si>
    <t>0.0886</t>
  </si>
  <si>
    <t>Christina Perri</t>
  </si>
  <si>
    <t>https://api.spotify.com/v1/tracks/0HZhYMZOcUzZKSFwPOti6m</t>
  </si>
  <si>
    <t>spotify:track:0HZhYMZOcUzZKSFwPOti6m</t>
  </si>
  <si>
    <t>lovestrong.</t>
  </si>
  <si>
    <t>https://api.spotify.com/v1/audio-analysis/0HZhYMZOcUzZKSFwPOti6m</t>
  </si>
  <si>
    <t>0HZhYMZOcUzZKSFwPOti6m</t>
  </si>
  <si>
    <t>jar of hearts</t>
  </si>
  <si>
    <t>3XNK8vPk3O1rjhDZyOMJ6n</t>
  </si>
  <si>
    <t>-2.88</t>
  </si>
  <si>
    <t>https://api.spotify.com/v1/tracks/2s1sdSqGcKxpPr5lCl7jAV</t>
  </si>
  <si>
    <t>spotify:track:2s1sdSqGcKxpPr5lCl7jAV</t>
  </si>
  <si>
    <t>1000 Forms Of Fear (Deluxe Version)</t>
  </si>
  <si>
    <t>https://api.spotify.com/v1/audio-analysis/2s1sdSqGcKxpPr5lCl7jAV</t>
  </si>
  <si>
    <t>2s1sdSqGcKxpPr5lCl7jAV</t>
  </si>
  <si>
    <t>Chandelier</t>
  </si>
  <si>
    <t>6.07e-05</t>
  </si>
  <si>
    <t>6FdNvoO5sF4EKwCX9je1MH</t>
  </si>
  <si>
    <t>0.0197</t>
  </si>
  <si>
    <t>113.81</t>
  </si>
  <si>
    <t>0.0682</t>
  </si>
  <si>
    <t>Zoe Wees</t>
  </si>
  <si>
    <t>https://api.spotify.com/v1/tracks/50Td3qilgs8BLtv8mHyT1t</t>
  </si>
  <si>
    <t>spotify:track:50Td3qilgs8BLtv8mHyT1t</t>
  </si>
  <si>
    <t>Control</t>
  </si>
  <si>
    <t>https://api.spotify.com/v1/audio-analysis/50Td3qilgs8BLtv8mHyT1t</t>
  </si>
  <si>
    <t>50Td3qilgs8BLtv8mHyT1t</t>
  </si>
  <si>
    <t>1.48e-06</t>
  </si>
  <si>
    <t>4w177LbRYa3z07NifGptFp</t>
  </si>
  <si>
    <t>Throwback Party</t>
  </si>
  <si>
    <t>throwback</t>
  </si>
  <si>
    <t>37i9dQZF1DX7F6T2n2fegs</t>
  </si>
  <si>
    <t>The Weeknd, Daft Punk</t>
  </si>
  <si>
    <t>https://api.spotify.com/v1/tracks/7MXVkk9YMctZqd1Srtv4MB</t>
  </si>
  <si>
    <t>spotify:track:7MXVkk9YMctZqd1Srtv4MB</t>
  </si>
  <si>
    <t>Starboy</t>
  </si>
  <si>
    <t>https://api.spotify.com/v1/audio-analysis/7MXVkk9YMctZqd1Srtv4MB</t>
  </si>
  <si>
    <t>7MXVkk9YMctZqd1Srtv4MB</t>
  </si>
  <si>
    <t>6.35e-06</t>
  </si>
  <si>
    <t>2ODvWsOgouMbaA5xf0RkJe</t>
  </si>
  <si>
    <t>https://api.spotify.com/v1/tracks/7lQ8MOhq6IN2w8EYcFNSUk</t>
  </si>
  <si>
    <t>spotify:track:7lQ8MOhq6IN2w8EYcFNSUk</t>
  </si>
  <si>
    <t>The Eminem Show</t>
  </si>
  <si>
    <t>https://api.spotify.com/v1/audio-analysis/7lQ8MOhq6IN2w8EYcFNSUk</t>
  </si>
  <si>
    <t>7lQ8MOhq6IN2w8EYcFNSUk</t>
  </si>
  <si>
    <t>2cWBwpqMsDJC1ZUwz813lo</t>
  </si>
  <si>
    <t>0.00286</t>
  </si>
  <si>
    <t>a-ha</t>
  </si>
  <si>
    <t>https://api.spotify.com/v1/tracks/2WfaOiMkCvy7F5fcp2zZ8L</t>
  </si>
  <si>
    <t>spotify:track:2WfaOiMkCvy7F5fcp2zZ8L</t>
  </si>
  <si>
    <t>Hunting High and Low</t>
  </si>
  <si>
    <t>https://api.spotify.com/v1/audio-analysis/2WfaOiMkCvy7F5fcp2zZ8L</t>
  </si>
  <si>
    <t>2WfaOiMkCvy7F5fcp2zZ8L</t>
  </si>
  <si>
    <t>Take on Me</t>
  </si>
  <si>
    <t>1ER3B6zev5JEAaqhnyyfbf</t>
  </si>
  <si>
    <t>Shakira, Wyclef Jean</t>
  </si>
  <si>
    <t>https://api.spotify.com/v1/tracks/3ZFTkvIE7kyPt6Nu3PEa7V</t>
  </si>
  <si>
    <t>spotify:track:3ZFTkvIE7kyPt6Nu3PEa7V</t>
  </si>
  <si>
    <t>Oral Fixation, Vol. 2 (Expanded Edition)</t>
  </si>
  <si>
    <t>https://api.spotify.com/v1/audio-analysis/3ZFTkvIE7kyPt6Nu3PEa7V</t>
  </si>
  <si>
    <t>3ZFTkvIE7kyPt6Nu3PEa7V</t>
  </si>
  <si>
    <t>Hips Don't Lie (feat. Wyclef Jean)</t>
  </si>
  <si>
    <t>5ppnlEoj4HdRRdRihnY3jU</t>
  </si>
  <si>
    <t>USHER, Lil Jon, Ludacris</t>
  </si>
  <si>
    <t>https://api.spotify.com/v1/tracks/5rb9QrpfcKFHM1EUbSIurX</t>
  </si>
  <si>
    <t>spotify:track:5rb9QrpfcKFHM1EUbSIurX</t>
  </si>
  <si>
    <t>https://api.spotify.com/v1/audio-analysis/5rb9QrpfcKFHM1EUbSIurX</t>
  </si>
  <si>
    <t>5rb9QrpfcKFHM1EUbSIurX</t>
  </si>
  <si>
    <t>Yeah! (feat. Lil Jon &amp; Ludacris)</t>
  </si>
  <si>
    <t>WALK THE MOON</t>
  </si>
  <si>
    <t>https://api.spotify.com/v1/tracks/4kbj5MwxO1bq9wjT5g9HaA</t>
  </si>
  <si>
    <t>spotify:track:4kbj5MwxO1bq9wjT5g9HaA</t>
  </si>
  <si>
    <t>TALKING IS HARD</t>
  </si>
  <si>
    <t>https://api.spotify.com/v1/audio-analysis/4kbj5MwxO1bq9wjT5g9HaA</t>
  </si>
  <si>
    <t>4kbj5MwxO1bq9wjT5g9HaA</t>
  </si>
  <si>
    <t>Shut Up and Dance</t>
  </si>
  <si>
    <t>3mNoFlD1wsoXfkljfFzExT</t>
  </si>
  <si>
    <t>0.00701</t>
  </si>
  <si>
    <t>https://api.spotify.com/v1/tracks/37ZJ0p5Jm13JPevGcx4SkF</t>
  </si>
  <si>
    <t>spotify:track:37ZJ0p5Jm13JPevGcx4SkF</t>
  </si>
  <si>
    <t>https://api.spotify.com/v1/audio-analysis/37ZJ0p5Jm13JPevGcx4SkF</t>
  </si>
  <si>
    <t>37ZJ0p5Jm13JPevGcx4SkF</t>
  </si>
  <si>
    <t>Livin' On A Prayer</t>
  </si>
  <si>
    <t>0.000206</t>
  </si>
  <si>
    <t>124.08</t>
  </si>
  <si>
    <t>https://api.spotify.com/v1/tracks/0nrRP2bk19rLc0orkWPQk2</t>
  </si>
  <si>
    <t>spotify:track:0nrRP2bk19rLc0orkWPQk2</t>
  </si>
  <si>
    <t>https://api.spotify.com/v1/audio-analysis/0nrRP2bk19rLc0orkWPQk2</t>
  </si>
  <si>
    <t>0nrRP2bk19rLc0orkWPQk2</t>
  </si>
  <si>
    <t>Wake Me Up</t>
  </si>
  <si>
    <t>2H6i2CrWgXE1HookLu8Au0</t>
  </si>
  <si>
    <t>143.04</t>
  </si>
  <si>
    <t>Britney Spears</t>
  </si>
  <si>
    <t>https://api.spotify.com/v1/tracks/6I9VzXrHxO9rA9A5euc8Ak</t>
  </si>
  <si>
    <t>spotify:track:6I9VzXrHxO9rA9A5euc8Ak</t>
  </si>
  <si>
    <t>In The Zone</t>
  </si>
  <si>
    <t>https://api.spotify.com/v1/audio-analysis/6I9VzXrHxO9rA9A5euc8Ak</t>
  </si>
  <si>
    <t>6I9VzXrHxO9rA9A5euc8Ak</t>
  </si>
  <si>
    <t>Toxic</t>
  </si>
  <si>
    <t>0z7pVBGOD7HCIB7S8eLkLI</t>
  </si>
  <si>
    <t>0.0249</t>
  </si>
  <si>
    <t>Eurythmics, Annie Lennox, Dave Stewart</t>
  </si>
  <si>
    <t>https://api.spotify.com/v1/tracks/1TfqLAPs4K3s2rJMoCokcS</t>
  </si>
  <si>
    <t>spotify:track:1TfqLAPs4K3s2rJMoCokcS</t>
  </si>
  <si>
    <t>Sweet Dreams (Are Made Of This)</t>
  </si>
  <si>
    <t>https://api.spotify.com/v1/audio-analysis/1TfqLAPs4K3s2rJMoCokcS</t>
  </si>
  <si>
    <t>1TfqLAPs4K3s2rJMoCokcS</t>
  </si>
  <si>
    <t>Sweet Dreams (Are Made of This) - 2005 Remaster</t>
  </si>
  <si>
    <t>5jNDWA19BJbE24x1UUJGRY</t>
  </si>
  <si>
    <t>Kesha</t>
  </si>
  <si>
    <t>https://api.spotify.com/v1/tracks/0HPD5WQqrq7wPWR7P7Dw1i</t>
  </si>
  <si>
    <t>spotify:track:0HPD5WQqrq7wPWR7P7Dw1i</t>
  </si>
  <si>
    <t>Animal (Expanded Edition)</t>
  </si>
  <si>
    <t>https://api.spotify.com/v1/audio-analysis/0HPD5WQqrq7wPWR7P7Dw1i</t>
  </si>
  <si>
    <t>0HPD5WQqrq7wPWR7P7Dw1i</t>
  </si>
  <si>
    <t>TiK ToK</t>
  </si>
  <si>
    <t>6fpLLJsDSSAlToEDW2jv4F</t>
  </si>
  <si>
    <t>https://api.spotify.com/v1/tracks/09CtPGIpYB4BrO8qb1RGsF</t>
  </si>
  <si>
    <t>spotify:track:09CtPGIpYB4BrO8qb1RGsF</t>
  </si>
  <si>
    <t>Purpose (Deluxe)</t>
  </si>
  <si>
    <t>https://api.spotify.com/v1/audio-analysis/09CtPGIpYB4BrO8qb1RGsF</t>
  </si>
  <si>
    <t>09CtPGIpYB4BrO8qb1RGsF</t>
  </si>
  <si>
    <t>Sorry</t>
  </si>
  <si>
    <t>6Fr2rQkZ383FcMqFyT7yPr</t>
  </si>
  <si>
    <t>ABBA</t>
  </si>
  <si>
    <t>https://api.spotify.com/v1/tracks/0GjEhVFGZW8afUYGChu3Rr</t>
  </si>
  <si>
    <t>spotify:track:0GjEhVFGZW8afUYGChu3Rr</t>
  </si>
  <si>
    <t>Arrival</t>
  </si>
  <si>
    <t>https://api.spotify.com/v1/audio-analysis/0GjEhVFGZW8afUYGChu3Rr</t>
  </si>
  <si>
    <t>0GjEhVFGZW8afUYGChu3Rr</t>
  </si>
  <si>
    <t>Dancing Queen</t>
  </si>
  <si>
    <t>0.000939</t>
  </si>
  <si>
    <t>1V6a99EbTTIegOhWoPxYI9</t>
  </si>
  <si>
    <t>Timbaland, Keri Hilson, D.O.E.</t>
  </si>
  <si>
    <t>https://api.spotify.com/v1/tracks/2bLqfJjuC5syrsgDsZfGmn</t>
  </si>
  <si>
    <t>spotify:track:2bLqfJjuC5syrsgDsZfGmn</t>
  </si>
  <si>
    <t>Shock Value</t>
  </si>
  <si>
    <t>https://api.spotify.com/v1/audio-analysis/2bLqfJjuC5syrsgDsZfGmn</t>
  </si>
  <si>
    <t>2bLqfJjuC5syrsgDsZfGmn</t>
  </si>
  <si>
    <t>The Way I Are</t>
  </si>
  <si>
    <t>4BxB8U8QgpR4UCvJ0moj8Z</t>
  </si>
  <si>
    <t>USHER, Pitbull</t>
  </si>
  <si>
    <t>https://api.spotify.com/v1/tracks/4356Typ82hUiFAynbLYbPn</t>
  </si>
  <si>
    <t>spotify:track:4356Typ82hUiFAynbLYbPn</t>
  </si>
  <si>
    <t>https://api.spotify.com/v1/audio-analysis/4356Typ82hUiFAynbLYbPn</t>
  </si>
  <si>
    <t>4356Typ82hUiFAynbLYbPn</t>
  </si>
  <si>
    <t>DJ Got Us Fallin' In Love (feat. Pitbull)</t>
  </si>
  <si>
    <t>92.96</t>
  </si>
  <si>
    <t>0.0307</t>
  </si>
  <si>
    <t>https://api.spotify.com/v1/tracks/3MjUtNVVq3C8Fn0MP3zhXa</t>
  </si>
  <si>
    <t>spotify:track:3MjUtNVVq3C8Fn0MP3zhXa</t>
  </si>
  <si>
    <t>...Baby One More Time (Digital Deluxe Version)</t>
  </si>
  <si>
    <t>https://api.spotify.com/v1/audio-analysis/3MjUtNVVq3C8Fn0MP3zhXa</t>
  </si>
  <si>
    <t>3MjUtNVVq3C8Fn0MP3zhXa</t>
  </si>
  <si>
    <t>...Baby One More Time</t>
  </si>
  <si>
    <t>0.000131</t>
  </si>
  <si>
    <t>3WNxdumkSMGMJRhEgK80qx</t>
  </si>
  <si>
    <t>https://api.spotify.com/v1/tracks/0I3q5fE6wg7LIfHGngUTnV</t>
  </si>
  <si>
    <t>spotify:track:0I3q5fE6wg7LIfHGngUTnV</t>
  </si>
  <si>
    <t>Stankonia</t>
  </si>
  <si>
    <t>https://api.spotify.com/v1/audio-analysis/0I3q5fE6wg7LIfHGngUTnV</t>
  </si>
  <si>
    <t>0I3q5fE6wg7LIfHGngUTnV</t>
  </si>
  <si>
    <t>Ms. Jackson</t>
  </si>
  <si>
    <t>2tm3Ht61kqqRZtIYsBjxEj</t>
  </si>
  <si>
    <t>https://api.spotify.com/v1/tracks/1QV6tiMFM6fSOKOGLMHYYg</t>
  </si>
  <si>
    <t>spotify:track:1QV6tiMFM6fSOKOGLMHYYg</t>
  </si>
  <si>
    <t>The Fame</t>
  </si>
  <si>
    <t>https://api.spotify.com/v1/audio-analysis/1QV6tiMFM6fSOKOGLMHYYg</t>
  </si>
  <si>
    <t>1QV6tiMFM6fSOKOGLMHYYg</t>
  </si>
  <si>
    <t>Poker Face</t>
  </si>
  <si>
    <t>1.72e-06</t>
  </si>
  <si>
    <t>1qwlxZTNLe1jq3b0iidlue</t>
  </si>
  <si>
    <t>Pitbull, Ne-Yo</t>
  </si>
  <si>
    <t>https://api.spotify.com/v1/tracks/2bJvI42r8EF3wxjOuDav4r</t>
  </si>
  <si>
    <t>spotify:track:2bJvI42r8EF3wxjOuDav4r</t>
  </si>
  <si>
    <t>Globalization</t>
  </si>
  <si>
    <t>https://api.spotify.com/v1/audio-analysis/2bJvI42r8EF3wxjOuDav4r</t>
  </si>
  <si>
    <t>2bJvI42r8EF3wxjOuDav4r</t>
  </si>
  <si>
    <t>Time of Our Lives</t>
  </si>
  <si>
    <t>4EUf4YyNjuXypWY6W5wEDm</t>
  </si>
  <si>
    <t>Whitney Houston</t>
  </si>
  <si>
    <t>https://api.spotify.com/v1/tracks/2tUBqZG2AbRi7Q0BIrVrEj</t>
  </si>
  <si>
    <t>spotify:track:2tUBqZG2AbRi7Q0BIrVrEj</t>
  </si>
  <si>
    <t>Whitney</t>
  </si>
  <si>
    <t>https://api.spotify.com/v1/audio-analysis/2tUBqZG2AbRi7Q0BIrVrEj</t>
  </si>
  <si>
    <t>2tUBqZG2AbRi7Q0BIrVrEj</t>
  </si>
  <si>
    <t>I Wanna Dance with Somebody (Who Loves Me)</t>
  </si>
  <si>
    <t>5Vdzprr5cOqXQo44eHeV7t</t>
  </si>
  <si>
    <t>https://api.spotify.com/v1/tracks/6ic8OlLUNEATToEFU3xmaH</t>
  </si>
  <si>
    <t>spotify:track:6ic8OlLUNEATToEFU3xmaH</t>
  </si>
  <si>
    <t>Blackout</t>
  </si>
  <si>
    <t>https://api.spotify.com/v1/audio-analysis/6ic8OlLUNEATToEFU3xmaH</t>
  </si>
  <si>
    <t>6ic8OlLUNEATToEFU3xmaH</t>
  </si>
  <si>
    <t>Gimme More</t>
  </si>
  <si>
    <t>1ePkYcH5ZQCb1b4tQeiEDj</t>
  </si>
  <si>
    <t>106.97</t>
  </si>
  <si>
    <t>https://api.spotify.com/v1/tracks/6b8Be6ljOzmkOmFslEb23P</t>
  </si>
  <si>
    <t>spotify:track:6b8Be6ljOzmkOmFslEb23P</t>
  </si>
  <si>
    <t>https://api.spotify.com/v1/audio-analysis/6b8Be6ljOzmkOmFslEb23P</t>
  </si>
  <si>
    <t>6b8Be6ljOzmkOmFslEb23P</t>
  </si>
  <si>
    <t>Cyndi Lauper</t>
  </si>
  <si>
    <t>https://api.spotify.com/v1/tracks/4y1LsJpmMti1PfRQV9AWWe</t>
  </si>
  <si>
    <t>spotify:track:4y1LsJpmMti1PfRQV9AWWe</t>
  </si>
  <si>
    <t>She's So Unusual</t>
  </si>
  <si>
    <t>https://api.spotify.com/v1/audio-analysis/4y1LsJpmMti1PfRQV9AWWe</t>
  </si>
  <si>
    <t>4y1LsJpmMti1PfRQV9AWWe</t>
  </si>
  <si>
    <t>Girls Just Want to Have Fun</t>
  </si>
  <si>
    <t>0.000602</t>
  </si>
  <si>
    <t>1FvdZ1oizXwF9bxogujoF0</t>
  </si>
  <si>
    <t>89.99</t>
  </si>
  <si>
    <t>Gym Class Heroes, Adam Levine</t>
  </si>
  <si>
    <t>https://api.spotify.com/v1/tracks/0qOnSQQF0yzuPWsXrQ9paz</t>
  </si>
  <si>
    <t>spotify:track:0qOnSQQF0yzuPWsXrQ9paz</t>
  </si>
  <si>
    <t>The Papercut Chronicles II</t>
  </si>
  <si>
    <t>https://api.spotify.com/v1/audio-analysis/0qOnSQQF0yzuPWsXrQ9paz</t>
  </si>
  <si>
    <t>0qOnSQQF0yzuPWsXrQ9paz</t>
  </si>
  <si>
    <t>Stereo Hearts (feat. Adam Levine)</t>
  </si>
  <si>
    <t>2mumCpGmuE9iDeOvMx6XrB</t>
  </si>
  <si>
    <t>0.0319</t>
  </si>
  <si>
    <t>Carly Rae Jepsen</t>
  </si>
  <si>
    <t>https://api.spotify.com/v1/tracks/20I6sIOMTCkB6w7ryavxtO</t>
  </si>
  <si>
    <t>spotify:track:20I6sIOMTCkB6w7ryavxtO</t>
  </si>
  <si>
    <t>Kiss</t>
  </si>
  <si>
    <t>https://api.spotify.com/v1/audio-analysis/20I6sIOMTCkB6w7ryavxtO</t>
  </si>
  <si>
    <t>20I6sIOMTCkB6w7ryavxtO</t>
  </si>
  <si>
    <t>Call Me Maybe</t>
  </si>
  <si>
    <t>2.28e-06</t>
  </si>
  <si>
    <t>6SSSF9Y6MiPdQoxqBptrR2</t>
  </si>
  <si>
    <t>Sean Paul, Dua Lipa</t>
  </si>
  <si>
    <t>https://api.spotify.com/v1/tracks/48QmG1dfvMuYLxMPt7KSRA</t>
  </si>
  <si>
    <t>spotify:track:48QmG1dfvMuYLxMPt7KSRA</t>
  </si>
  <si>
    <t>Mad Love The Prequel</t>
  </si>
  <si>
    <t>https://api.spotify.com/v1/audio-analysis/48QmG1dfvMuYLxMPt7KSRA</t>
  </si>
  <si>
    <t>48QmG1dfvMuYLxMPt7KSRA</t>
  </si>
  <si>
    <t>No Lie</t>
  </si>
  <si>
    <t>5xrOcCoO3jkXRjHQjfESM6</t>
  </si>
  <si>
    <t>117.0</t>
  </si>
  <si>
    <t>0.0519</t>
  </si>
  <si>
    <t>Justin Timberlake, Timbaland</t>
  </si>
  <si>
    <t>https://api.spotify.com/v1/tracks/0O45fw2L5vsWpdsOdXwNAR</t>
  </si>
  <si>
    <t>spotify:track:0O45fw2L5vsWpdsOdXwNAR</t>
  </si>
  <si>
    <t>FutureSex/LoveSounds</t>
  </si>
  <si>
    <t>https://api.spotify.com/v1/audio-analysis/0O45fw2L5vsWpdsOdXwNAR</t>
  </si>
  <si>
    <t>0O45fw2L5vsWpdsOdXwNAR</t>
  </si>
  <si>
    <t>SexyBack (feat. Timbaland)</t>
  </si>
  <si>
    <t>2scB1uhcCI1TSf6b9TCZK3</t>
  </si>
  <si>
    <t>Black Eyed Peas</t>
  </si>
  <si>
    <t>https://api.spotify.com/v1/tracks/4kLLWz7srcuLKA7Et40PQR</t>
  </si>
  <si>
    <t>spotify:track:4kLLWz7srcuLKA7Et40PQR</t>
  </si>
  <si>
    <t>THE E.N.D. (THE ENERGY NEVER DIES) [Deluxe Version]</t>
  </si>
  <si>
    <t>https://api.spotify.com/v1/audio-analysis/4kLLWz7srcuLKA7Et40PQR</t>
  </si>
  <si>
    <t>4kLLWz7srcuLKA7Et40PQR</t>
  </si>
  <si>
    <t>I Gotta Feeling</t>
  </si>
  <si>
    <t>1dgbFU08pXJXZhGPlybdMX</t>
  </si>
  <si>
    <t>0.0873</t>
  </si>
  <si>
    <t>125.02</t>
  </si>
  <si>
    <t>0.0811</t>
  </si>
  <si>
    <t>0.0956</t>
  </si>
  <si>
    <t>https://api.spotify.com/v1/tracks/4B0JvthVoAAuygILe3n4Bs</t>
  </si>
  <si>
    <t>spotify:track:4B0JvthVoAAuygILe3n4Bs</t>
  </si>
  <si>
    <t>https://api.spotify.com/v1/audio-analysis/4B0JvthVoAAuygILe3n4Bs</t>
  </si>
  <si>
    <t>4B0JvthVoAAuygILe3n4Bs</t>
  </si>
  <si>
    <t>What Do You Mean?</t>
  </si>
  <si>
    <t>0.00142</t>
  </si>
  <si>
    <t>0.0535</t>
  </si>
  <si>
    <t>Rihanna</t>
  </si>
  <si>
    <t>https://api.spotify.com/v1/tracks/0ByMNEPAPpOR5H69DVrTNy</t>
  </si>
  <si>
    <t>spotify:track:0ByMNEPAPpOR5H69DVrTNy</t>
  </si>
  <si>
    <t>Good Girl Gone Bad: Reloaded</t>
  </si>
  <si>
    <t>https://api.spotify.com/v1/audio-analysis/0ByMNEPAPpOR5H69DVrTNy</t>
  </si>
  <si>
    <t>0ByMNEPAPpOR5H69DVrTNy</t>
  </si>
  <si>
    <t>Don't Stop The Music</t>
  </si>
  <si>
    <t>7.18e-05</t>
  </si>
  <si>
    <t>3JSWZWeTHF4HDGt5Eozdy7</t>
  </si>
  <si>
    <t>Spice Girls</t>
  </si>
  <si>
    <t>https://api.spotify.com/v1/tracks/1Je1IMUlBXcx1Fz0WE7oPT</t>
  </si>
  <si>
    <t>spotify:track:1Je1IMUlBXcx1Fz0WE7oPT</t>
  </si>
  <si>
    <t>Spice</t>
  </si>
  <si>
    <t>https://api.spotify.com/v1/audio-analysis/1Je1IMUlBXcx1Fz0WE7oPT</t>
  </si>
  <si>
    <t>1Je1IMUlBXcx1Fz0WE7oPT</t>
  </si>
  <si>
    <t>Wannabe</t>
  </si>
  <si>
    <t>3x2jF7blR6bFHtk4MccsyJ</t>
  </si>
  <si>
    <t>Maroon 5, Christina Aguilera</t>
  </si>
  <si>
    <t>https://api.spotify.com/v1/tracks/7pYfyrMNPn3wtoCyqcTVoI</t>
  </si>
  <si>
    <t>spotify:track:7pYfyrMNPn3wtoCyqcTVoI</t>
  </si>
  <si>
    <t>Hands All Over (Revised International Standard version)</t>
  </si>
  <si>
    <t>https://api.spotify.com/v1/audio-analysis/7pYfyrMNPn3wtoCyqcTVoI</t>
  </si>
  <si>
    <t>7pYfyrMNPn3wtoCyqcTVoI</t>
  </si>
  <si>
    <t>Moves Like Jagger - Studio Recording From "The Voice" Performance</t>
  </si>
  <si>
    <t>1snrPQMoTrBsKl73wzSxbn</t>
  </si>
  <si>
    <t>0.0119</t>
  </si>
  <si>
    <t>0.0437</t>
  </si>
  <si>
    <t>https://api.spotify.com/v1/tracks/6naxalmIoLFWR0siv8dnQQ</t>
  </si>
  <si>
    <t>spotify:track:6naxalmIoLFWR0siv8dnQQ</t>
  </si>
  <si>
    <t>Oops!... I Did It Again</t>
  </si>
  <si>
    <t>https://api.spotify.com/v1/audio-analysis/6naxalmIoLFWR0siv8dnQQ</t>
  </si>
  <si>
    <t>6naxalmIoLFWR0siv8dnQQ</t>
  </si>
  <si>
    <t>Oops!...I Did It Again</t>
  </si>
  <si>
    <t>1.77e-05</t>
  </si>
  <si>
    <t>5PmgtkodFl2Om3hMXONDll</t>
  </si>
  <si>
    <t>Soft Cell</t>
  </si>
  <si>
    <t>https://api.spotify.com/v1/tracks/0cGG2EouYCEEC3xfa0tDFV</t>
  </si>
  <si>
    <t>spotify:track:0cGG2EouYCEEC3xfa0tDFV</t>
  </si>
  <si>
    <t>Non-Stop Erotic Cabaret</t>
  </si>
  <si>
    <t>https://api.spotify.com/v1/audio-analysis/0cGG2EouYCEEC3xfa0tDFV</t>
  </si>
  <si>
    <t>0cGG2EouYCEEC3xfa0tDFV</t>
  </si>
  <si>
    <t>Tainted Love</t>
  </si>
  <si>
    <t>3KFWViJ1wIHAdOVLFTVzjD</t>
  </si>
  <si>
    <t>118.99</t>
  </si>
  <si>
    <t>Lady Gaga, Colby O'Donis</t>
  </si>
  <si>
    <t>https://api.spotify.com/v1/tracks/1dzQoRqT5ucxXVaAhTcT0J</t>
  </si>
  <si>
    <t>spotify:track:1dzQoRqT5ucxXVaAhTcT0J</t>
  </si>
  <si>
    <t>https://api.spotify.com/v1/audio-analysis/1dzQoRqT5ucxXVaAhTcT0J</t>
  </si>
  <si>
    <t>1dzQoRqT5ucxXVaAhTcT0J</t>
  </si>
  <si>
    <t>Just Dance</t>
  </si>
  <si>
    <t>4.28e-05</t>
  </si>
  <si>
    <t>125.18</t>
  </si>
  <si>
    <t>50 Cent, Olivia</t>
  </si>
  <si>
    <t>https://api.spotify.com/v1/tracks/5D2mYZuzcgjpchVY1pmTPh</t>
  </si>
  <si>
    <t>spotify:track:5D2mYZuzcgjpchVY1pmTPh</t>
  </si>
  <si>
    <t>The Massacre</t>
  </si>
  <si>
    <t>https://api.spotify.com/v1/audio-analysis/5D2mYZuzcgjpchVY1pmTPh</t>
  </si>
  <si>
    <t>5D2mYZuzcgjpchVY1pmTPh</t>
  </si>
  <si>
    <t>Candy Shop</t>
  </si>
  <si>
    <t>3.13e-05</t>
  </si>
  <si>
    <t>2pidzXTaHV4WaIJYRxKDCH</t>
  </si>
  <si>
    <t>https://api.spotify.com/v1/tracks/3vkQ5DAB1qQMYO4Mr9zJN6</t>
  </si>
  <si>
    <t>spotify:track:3vkQ5DAB1qQMYO4Mr9zJN6</t>
  </si>
  <si>
    <t>Voulez-Vous</t>
  </si>
  <si>
    <t>https://api.spotify.com/v1/audio-analysis/3vkQ5DAB1qQMYO4Mr9zJN6</t>
  </si>
  <si>
    <t>3vkQ5DAB1qQMYO4Mr9zJN6</t>
  </si>
  <si>
    <t>Gimme! Gimme! Gimme! (A Man After Midnight)</t>
  </si>
  <si>
    <t>0.00899</t>
  </si>
  <si>
    <t>7iLuHJkrb9KHPkMgddYigh</t>
  </si>
  <si>
    <t>Swedish House Mafia, John Martin</t>
  </si>
  <si>
    <t>https://api.spotify.com/v1/tracks/2V65y3PX4DkRhy1djlxd9p</t>
  </si>
  <si>
    <t>spotify:track:2V65y3PX4DkRhy1djlxd9p</t>
  </si>
  <si>
    <t>Don't You Worry Child</t>
  </si>
  <si>
    <t>https://api.spotify.com/v1/audio-analysis/2V65y3PX4DkRhy1djlxd9p</t>
  </si>
  <si>
    <t>2V65y3PX4DkRhy1djlxd9p</t>
  </si>
  <si>
    <t>Don't You Worry Child - Radio Edit</t>
  </si>
  <si>
    <t>3RKhRsifs4RWrqvWV1YpPY</t>
  </si>
  <si>
    <t>Justin Timberlake</t>
  </si>
  <si>
    <t>https://api.spotify.com/v1/tracks/1AWQoqb9bSvzTjaLralEkT</t>
  </si>
  <si>
    <t>spotify:track:1AWQoqb9bSvzTjaLralEkT</t>
  </si>
  <si>
    <t>Justified</t>
  </si>
  <si>
    <t>https://api.spotify.com/v1/audio-analysis/1AWQoqb9bSvzTjaLralEkT</t>
  </si>
  <si>
    <t>1AWQoqb9bSvzTjaLralEkT</t>
  </si>
  <si>
    <t>Rock Your Body</t>
  </si>
  <si>
    <t>0.000234</t>
  </si>
  <si>
    <t>6QPkyl04rXwTGlGlcYaRoW</t>
  </si>
  <si>
    <t>https://api.spotify.com/v1/tracks/2VOomzT6VavJOGBeySqaMc</t>
  </si>
  <si>
    <t>spotify:track:2VOomzT6VavJOGBeySqaMc</t>
  </si>
  <si>
    <t>https://api.spotify.com/v1/audio-analysis/2VOomzT6VavJOGBeySqaMc</t>
  </si>
  <si>
    <t>2VOomzT6VavJOGBeySqaMc</t>
  </si>
  <si>
    <t>Disturbia</t>
  </si>
  <si>
    <t>0.0861</t>
  </si>
  <si>
    <t>-6.72</t>
  </si>
  <si>
    <t>Cher</t>
  </si>
  <si>
    <t>0.0548</t>
  </si>
  <si>
    <t>https://api.spotify.com/v1/tracks/2goLsvvODILDzeeiT4dAoR</t>
  </si>
  <si>
    <t>spotify:track:2goLsvvODILDzeeiT4dAoR</t>
  </si>
  <si>
    <t>Believe</t>
  </si>
  <si>
    <t>https://api.spotify.com/v1/audio-analysis/2goLsvvODILDzeeiT4dAoR</t>
  </si>
  <si>
    <t>2goLsvvODILDzeeiT4dAoR</t>
  </si>
  <si>
    <t>0jZfbz0dNfDjPSg0hYJNth</t>
  </si>
  <si>
    <t>0.0082</t>
  </si>
  <si>
    <t>0.0604</t>
  </si>
  <si>
    <t>Elton John, Kiki Dee</t>
  </si>
  <si>
    <t>0.0344</t>
  </si>
  <si>
    <t>https://api.spotify.com/v1/tracks/7HW5WIw7ZgZORCzUxv5gW5</t>
  </si>
  <si>
    <t>spotify:track:7HW5WIw7ZgZORCzUxv5gW5</t>
  </si>
  <si>
    <t>Rock Of The Westies</t>
  </si>
  <si>
    <t>https://api.spotify.com/v1/audio-analysis/7HW5WIw7ZgZORCzUxv5gW5</t>
  </si>
  <si>
    <t>7HW5WIw7ZgZORCzUxv5gW5</t>
  </si>
  <si>
    <t>Don't Go Breaking My Heart</t>
  </si>
  <si>
    <t>2.87e-06</t>
  </si>
  <si>
    <t>4ObsEU7mIXbo2n9A31yfds</t>
  </si>
  <si>
    <t>Kylie Minogue</t>
  </si>
  <si>
    <t>https://api.spotify.com/v1/tracks/3E7ZwUMJFqpsDOJzEkBrQ7</t>
  </si>
  <si>
    <t>spotify:track:3E7ZwUMJFqpsDOJzEkBrQ7</t>
  </si>
  <si>
    <t>Fever</t>
  </si>
  <si>
    <t>https://api.spotify.com/v1/audio-analysis/3E7ZwUMJFqpsDOJzEkBrQ7</t>
  </si>
  <si>
    <t>3E7ZwUMJFqpsDOJzEkBrQ7</t>
  </si>
  <si>
    <t>Can't Get You out of My Head</t>
  </si>
  <si>
    <t>4WzTXHp8bVKkKNu3UQ2Fqu</t>
  </si>
  <si>
    <t>0.0263</t>
  </si>
  <si>
    <t>125.04</t>
  </si>
  <si>
    <t>Sean Paul</t>
  </si>
  <si>
    <t>https://api.spotify.com/v1/tracks/0k2GOhqsrxDTAbFFSdNJjT</t>
  </si>
  <si>
    <t>spotify:track:0k2GOhqsrxDTAbFFSdNJjT</t>
  </si>
  <si>
    <t>The Trinity</t>
  </si>
  <si>
    <t>https://api.spotify.com/v1/audio-analysis/0k2GOhqsrxDTAbFFSdNJjT</t>
  </si>
  <si>
    <t>0k2GOhqsrxDTAbFFSdNJjT</t>
  </si>
  <si>
    <t>Temperature</t>
  </si>
  <si>
    <t>32Bu3ETQhR1PFCj3ndDlYf</t>
  </si>
  <si>
    <t>Disclosure, Sam Smith</t>
  </si>
  <si>
    <t>https://api.spotify.com/v1/tracks/51ODNNDZm21HU7wI7cccRr</t>
  </si>
  <si>
    <t>spotify:track:51ODNNDZm21HU7wI7cccRr</t>
  </si>
  <si>
    <t>https://api.spotify.com/v1/audio-analysis/51ODNNDZm21HU7wI7cccRr</t>
  </si>
  <si>
    <t>51ODNNDZm21HU7wI7cccRr</t>
  </si>
  <si>
    <t>Latch</t>
  </si>
  <si>
    <t>7.98e-05</t>
  </si>
  <si>
    <t>0.0159</t>
  </si>
  <si>
    <t>105.39</t>
  </si>
  <si>
    <t>Dolly Parton</t>
  </si>
  <si>
    <t>https://api.spotify.com/v1/tracks/4w3tQBXhn5345eUXDGBWZG</t>
  </si>
  <si>
    <t>spotify:track:4w3tQBXhn5345eUXDGBWZG</t>
  </si>
  <si>
    <t>9 To 5 And Odd Jobs</t>
  </si>
  <si>
    <t>https://api.spotify.com/v1/audio-analysis/4w3tQBXhn5345eUXDGBWZG</t>
  </si>
  <si>
    <t>4w3tQBXhn5345eUXDGBWZG</t>
  </si>
  <si>
    <t>9 to 5</t>
  </si>
  <si>
    <t>1.54e-06</t>
  </si>
  <si>
    <t>64Ky1tqKPfwxhJs6msphWd</t>
  </si>
  <si>
    <t>https://api.spotify.com/v1/tracks/0cqRj7pUJDkTCEsJkx8snD</t>
  </si>
  <si>
    <t>spotify:track:0cqRj7pUJDkTCEsJkx8snD</t>
  </si>
  <si>
    <t>1989 (Deluxe)</t>
  </si>
  <si>
    <t>https://api.spotify.com/v1/audio-analysis/0cqRj7pUJDkTCEsJkx8snD</t>
  </si>
  <si>
    <t>0cqRj7pUJDkTCEsJkx8snD</t>
  </si>
  <si>
    <t>Shake It Off</t>
  </si>
  <si>
    <t>1yGbNOtRIgdIiGHOEBaZWf</t>
  </si>
  <si>
    <t>https://api.spotify.com/v1/tracks/4TsmezEQVSZNNPv5RJ65Ov</t>
  </si>
  <si>
    <t>spotify:track:4TsmezEQVSZNNPv5RJ65Ov</t>
  </si>
  <si>
    <t>Music Of The Sun</t>
  </si>
  <si>
    <t>https://api.spotify.com/v1/audio-analysis/4TsmezEQVSZNNPv5RJ65Ov</t>
  </si>
  <si>
    <t>4TsmezEQVSZNNPv5RJ65Ov</t>
  </si>
  <si>
    <t>Pon de Replay</t>
  </si>
  <si>
    <t>0.000766</t>
  </si>
  <si>
    <t>4FyGpObwABjn0o8Tdp7AZz</t>
  </si>
  <si>
    <t>Modjo</t>
  </si>
  <si>
    <t>https://api.spotify.com/v1/tracks/49X0LAl6faAusYq02PRAY6</t>
  </si>
  <si>
    <t>spotify:track:49X0LAl6faAusYq02PRAY6</t>
  </si>
  <si>
    <t>Modjo (Remastered)</t>
  </si>
  <si>
    <t>https://api.spotify.com/v1/audio-analysis/49X0LAl6faAusYq02PRAY6</t>
  </si>
  <si>
    <t>49X0LAl6faAusYq02PRAY6</t>
  </si>
  <si>
    <t>Lady - Hear Me Tonight</t>
  </si>
  <si>
    <t>0vwDxngkhZuwNbcxzebCXI</t>
  </si>
  <si>
    <t>0.00793</t>
  </si>
  <si>
    <t>Ace of Base</t>
  </si>
  <si>
    <t>https://api.spotify.com/v1/tracks/6kWJvPfC4DgUpRsXKNa9z9</t>
  </si>
  <si>
    <t>spotify:track:6kWJvPfC4DgUpRsXKNa9z9</t>
  </si>
  <si>
    <t>The Sign</t>
  </si>
  <si>
    <t>https://api.spotify.com/v1/audio-analysis/6kWJvPfC4DgUpRsXKNa9z9</t>
  </si>
  <si>
    <t>6kWJvPfC4DgUpRsXKNa9z9</t>
  </si>
  <si>
    <t>All That She Wants</t>
  </si>
  <si>
    <t>5UwIyIyFzkM7wKeGtRJPgB</t>
  </si>
  <si>
    <t>0.00547</t>
  </si>
  <si>
    <t>126.04</t>
  </si>
  <si>
    <t>https://api.spotify.com/v1/tracks/5UqCQaDshqbIk3pkhy4Pjg</t>
  </si>
  <si>
    <t>spotify:track:5UqCQaDshqbIk3pkhy4Pjg</t>
  </si>
  <si>
    <t>Levels</t>
  </si>
  <si>
    <t>https://api.spotify.com/v1/audio-analysis/5UqCQaDshqbIk3pkhy4Pjg</t>
  </si>
  <si>
    <t>5UqCQaDshqbIk3pkhy4Pjg</t>
  </si>
  <si>
    <t>Levels - Radio Edit</t>
  </si>
  <si>
    <t>1OEGfToF7QbjUgyxMAnGXg</t>
  </si>
  <si>
    <t>Michael Jackson</t>
  </si>
  <si>
    <t>0.0401</t>
  </si>
  <si>
    <t>https://api.spotify.com/v1/tracks/5ChkMS8OtdzJeqyybCc9R5</t>
  </si>
  <si>
    <t>spotify:track:5ChkMS8OtdzJeqyybCc9R5</t>
  </si>
  <si>
    <t>Thriller 25 Super Deluxe Edition</t>
  </si>
  <si>
    <t>https://api.spotify.com/v1/audio-analysis/5ChkMS8OtdzJeqyybCc9R5</t>
  </si>
  <si>
    <t>5ChkMS8OtdzJeqyybCc9R5</t>
  </si>
  <si>
    <t>Billie Jean</t>
  </si>
  <si>
    <t>1C2h7mLntPSeVYciMRTF4a</t>
  </si>
  <si>
    <t>0.0236</t>
  </si>
  <si>
    <t>0.341</t>
  </si>
  <si>
    <t>Pitbull, Christina Aguilera</t>
  </si>
  <si>
    <t>0.158</t>
  </si>
  <si>
    <t>https://api.spotify.com/v1/tracks/0Hf4aIJpsN4Os2f0y0VqWl</t>
  </si>
  <si>
    <t>spotify:track:0Hf4aIJpsN4Os2f0y0VqWl</t>
  </si>
  <si>
    <t>https://api.spotify.com/v1/audio-analysis/0Hf4aIJpsN4Os2f0y0VqWl</t>
  </si>
  <si>
    <t>0Hf4aIJpsN4Os2f0y0VqWl</t>
  </si>
  <si>
    <t>Feel This Moment (feat. Christina Aguilera)</t>
  </si>
  <si>
    <t>0.0715</t>
  </si>
  <si>
    <t>Beyonc√©, JAY-Z</t>
  </si>
  <si>
    <t>https://api.spotify.com/v1/tracks/5IVuqXILoxVWvWEPm82Jxr</t>
  </si>
  <si>
    <t>spotify:track:5IVuqXILoxVWvWEPm82Jxr</t>
  </si>
  <si>
    <t>Dangerously In Love</t>
  </si>
  <si>
    <t>https://api.spotify.com/v1/audio-analysis/5IVuqXILoxVWvWEPm82Jxr</t>
  </si>
  <si>
    <t>5IVuqXILoxVWvWEPm82Jxr</t>
  </si>
  <si>
    <t>Crazy In Love (feat. Jay-Z)</t>
  </si>
  <si>
    <t>6oxVabMIqCMJRYN1GqR3Vf</t>
  </si>
  <si>
    <t>0.00249</t>
  </si>
  <si>
    <t>Macklemore, Ryan Lewis, Macklemore &amp; Ryan Lewis, Ray Dalton</t>
  </si>
  <si>
    <t>0.0786</t>
  </si>
  <si>
    <t>https://api.spotify.com/v1/tracks/3bidbhpOYeV4knp8AIu8Xn</t>
  </si>
  <si>
    <t>spotify:track:3bidbhpOYeV4knp8AIu8Xn</t>
  </si>
  <si>
    <t>The Heist</t>
  </si>
  <si>
    <t>https://api.spotify.com/v1/audio-analysis/3bidbhpOYeV4knp8AIu8Xn</t>
  </si>
  <si>
    <t>3bidbhpOYeV4knp8AIu8Xn</t>
  </si>
  <si>
    <t>Can't Hold Us (feat. Ray Dalton)</t>
  </si>
  <si>
    <t>76FXHQhTuT4QMIxfL09gX8</t>
  </si>
  <si>
    <t>Nicki Minaj</t>
  </si>
  <si>
    <t>https://api.spotify.com/v1/tracks/2EBCVPNAG46nbgs6jXPGvv</t>
  </si>
  <si>
    <t>spotify:track:2EBCVPNAG46nbgs6jXPGvv</t>
  </si>
  <si>
    <t>Pink Friday: Roman Reloaded The Re-Up (Explicit Version)</t>
  </si>
  <si>
    <t>https://api.spotify.com/v1/audio-analysis/2EBCVPNAG46nbgs6jXPGvv</t>
  </si>
  <si>
    <t>2EBCVPNAG46nbgs6jXPGvv</t>
  </si>
  <si>
    <t>Starships</t>
  </si>
  <si>
    <t>22F5ZYY1sxoJjk6HzZfmC1</t>
  </si>
  <si>
    <t>0.279</t>
  </si>
  <si>
    <t>Blackstreet, Dr. Dre, Queen Pen</t>
  </si>
  <si>
    <t>https://api.spotify.com/v1/tracks/6MdqqkQ8sSC0WB4i8PyRuQ</t>
  </si>
  <si>
    <t>spotify:track:6MdqqkQ8sSC0WB4i8PyRuQ</t>
  </si>
  <si>
    <t>Another Level</t>
  </si>
  <si>
    <t>https://api.spotify.com/v1/audio-analysis/6MdqqkQ8sSC0WB4i8PyRuQ</t>
  </si>
  <si>
    <t>6MdqqkQ8sSC0WB4i8PyRuQ</t>
  </si>
  <si>
    <t>No Diggity</t>
  </si>
  <si>
    <t>2zGZLQiFl9UubtrVmtIkbi</t>
  </si>
  <si>
    <t>-11.97</t>
  </si>
  <si>
    <t>Katrina &amp; The Waves</t>
  </si>
  <si>
    <t>https://api.spotify.com/v1/tracks/05wIrZSwuaVWhcv5FfqeH0</t>
  </si>
  <si>
    <t>spotify:track:05wIrZSwuaVWhcv5FfqeH0</t>
  </si>
  <si>
    <t>https://api.spotify.com/v1/audio-analysis/05wIrZSwuaVWhcv5FfqeH0</t>
  </si>
  <si>
    <t>05wIrZSwuaVWhcv5FfqeH0</t>
  </si>
  <si>
    <t>Walking On Sunshine</t>
  </si>
  <si>
    <t>1UQG78YJjaBySRMh0A8Uw7</t>
  </si>
  <si>
    <t>120.05</t>
  </si>
  <si>
    <t>Pitbull, Chris Brown</t>
  </si>
  <si>
    <t>https://api.spotify.com/v1/tracks/62zFEHfAYl5kdHYOivj4BC</t>
  </si>
  <si>
    <t>spotify:track:62zFEHfAYl5kdHYOivj4BC</t>
  </si>
  <si>
    <t>https://api.spotify.com/v1/audio-analysis/62zFEHfAYl5kdHYOivj4BC</t>
  </si>
  <si>
    <t>62zFEHfAYl5kdHYOivj4BC</t>
  </si>
  <si>
    <t>International Love (feat. Chris Brown)</t>
  </si>
  <si>
    <t>0.0124</t>
  </si>
  <si>
    <t>https://api.spotify.com/v1/tracks/2TxCwUlqaOH3TIyJqGgR91</t>
  </si>
  <si>
    <t>spotify:track:2TxCwUlqaOH3TIyJqGgR91</t>
  </si>
  <si>
    <t>Abba</t>
  </si>
  <si>
    <t>https://api.spotify.com/v1/audio-analysis/2TxCwUlqaOH3TIyJqGgR91</t>
  </si>
  <si>
    <t>2TxCwUlqaOH3TIyJqGgR91</t>
  </si>
  <si>
    <t>Mamma Mia</t>
  </si>
  <si>
    <t>0.000443</t>
  </si>
  <si>
    <t>1kM6xcSYO5ASJaWgygznL7</t>
  </si>
  <si>
    <t>0.958</t>
  </si>
  <si>
    <t>The Human League</t>
  </si>
  <si>
    <t>https://api.spotify.com/v1/tracks/3L7RtEcu1Hw3OXrpnthngx</t>
  </si>
  <si>
    <t>spotify:track:3L7RtEcu1Hw3OXrpnthngx</t>
  </si>
  <si>
    <t>Dare!</t>
  </si>
  <si>
    <t>https://api.spotify.com/v1/audio-analysis/3L7RtEcu1Hw3OXrpnthngx</t>
  </si>
  <si>
    <t>3L7RtEcu1Hw3OXrpnthngx</t>
  </si>
  <si>
    <t>Don't You Want Me</t>
  </si>
  <si>
    <t>3ls7tE9D2SIvjTmRuEtsQY</t>
  </si>
  <si>
    <t>113.03</t>
  </si>
  <si>
    <t>https://api.spotify.com/v1/tracks/6JV2JOEocMgcZxYSZelKcc</t>
  </si>
  <si>
    <t>spotify:track:6JV2JOEocMgcZxYSZelKcc</t>
  </si>
  <si>
    <t>CAN'T STOP THE FEELING! (from DreamWorks Animation's "TROLLS")</t>
  </si>
  <si>
    <t>https://api.spotify.com/v1/audio-analysis/6JV2JOEocMgcZxYSZelKcc</t>
  </si>
  <si>
    <t>6JV2JOEocMgcZxYSZelKcc</t>
  </si>
  <si>
    <t>40LbnfieVTWtHrK24WQeEB</t>
  </si>
  <si>
    <t>0.0123</t>
  </si>
  <si>
    <t>Earth, Wind &amp; Fire, The Emotions</t>
  </si>
  <si>
    <t>0.0349</t>
  </si>
  <si>
    <t>https://api.spotify.com/v1/tracks/6ztstiyZL6FXzh4aG46ZPD</t>
  </si>
  <si>
    <t>spotify:track:6ztstiyZL6FXzh4aG46ZPD</t>
  </si>
  <si>
    <t>I Am</t>
  </si>
  <si>
    <t>https://api.spotify.com/v1/audio-analysis/6ztstiyZL6FXzh4aG46ZPD</t>
  </si>
  <si>
    <t>6ztstiyZL6FXzh4aG46ZPD</t>
  </si>
  <si>
    <t>Boogie Wonderland</t>
  </si>
  <si>
    <t>1979-06</t>
  </si>
  <si>
    <t>0.00765</t>
  </si>
  <si>
    <t>4RLVTxnuVN5ZWZqBFnaaQt</t>
  </si>
  <si>
    <t>Daddy Yankee, Snow</t>
  </si>
  <si>
    <t>0.0593</t>
  </si>
  <si>
    <t>https://api.spotify.com/v1/tracks/5w9c2J52mkdntKOmRLeM2m</t>
  </si>
  <si>
    <t>spotify:track:5w9c2J52mkdntKOmRLeM2m</t>
  </si>
  <si>
    <t>Con Calma</t>
  </si>
  <si>
    <t>https://api.spotify.com/v1/audio-analysis/5w9c2J52mkdntKOmRLeM2m</t>
  </si>
  <si>
    <t>5w9c2J52mkdntKOmRLeM2m</t>
  </si>
  <si>
    <t>1.94e-06</t>
  </si>
  <si>
    <t>1otwHKoQ5KPaiekpYk4tWh</t>
  </si>
  <si>
    <t>The Wanted</t>
  </si>
  <si>
    <t>https://api.spotify.com/v1/tracks/5yDL13y5giogKs2fSNf7sj</t>
  </si>
  <si>
    <t>spotify:track:5yDL13y5giogKs2fSNf7sj</t>
  </si>
  <si>
    <t>Battleground (Deluxe Edition)</t>
  </si>
  <si>
    <t>https://api.spotify.com/v1/audio-analysis/5yDL13y5giogKs2fSNf7sj</t>
  </si>
  <si>
    <t>5yDL13y5giogKs2fSNf7sj</t>
  </si>
  <si>
    <t>Glad You Came</t>
  </si>
  <si>
    <t>2hnaJ8ktG2FSP1EthsCo6N</t>
  </si>
  <si>
    <t>Major Lazer, M√ò, DJ Snake</t>
  </si>
  <si>
    <t>0.0625</t>
  </si>
  <si>
    <t>https://api.spotify.com/v1/tracks/2YWjW3wwQIBLNhxWKBQd16</t>
  </si>
  <si>
    <t>spotify:track:2YWjW3wwQIBLNhxWKBQd16</t>
  </si>
  <si>
    <t>Peace Is The Mission : Extended</t>
  </si>
  <si>
    <t>https://api.spotify.com/v1/audio-analysis/2YWjW3wwQIBLNhxWKBQd16</t>
  </si>
  <si>
    <t>2YWjW3wwQIBLNhxWKBQd16</t>
  </si>
  <si>
    <t>Lean On (feat. M√ò &amp; DJ Snake)</t>
  </si>
  <si>
    <t>0.00123</t>
  </si>
  <si>
    <t>2U0b5MfkMUgzdvRUI69mya</t>
  </si>
  <si>
    <t>0.00346</t>
  </si>
  <si>
    <t>0.306</t>
  </si>
  <si>
    <t>Flo Rida</t>
  </si>
  <si>
    <t>0.0688</t>
  </si>
  <si>
    <t>https://api.spotify.com/v1/tracks/2LEF1A8DOZ9wRYikWgVlZ8</t>
  </si>
  <si>
    <t>spotify:track:2LEF1A8DOZ9wRYikWgVlZ8</t>
  </si>
  <si>
    <t>https://api.spotify.com/v1/audio-analysis/2LEF1A8DOZ9wRYikWgVlZ8</t>
  </si>
  <si>
    <t>2LEF1A8DOZ9wRYikWgVlZ8</t>
  </si>
  <si>
    <t>Good Feeling</t>
  </si>
  <si>
    <t>126.05</t>
  </si>
  <si>
    <t>Owl City, Carly Rae Jepsen</t>
  </si>
  <si>
    <t>https://api.spotify.com/v1/tracks/1kPpge9JDLpcj15qgrPbYX</t>
  </si>
  <si>
    <t>spotify:track:1kPpge9JDLpcj15qgrPbYX</t>
  </si>
  <si>
    <t>The Midsummer Station</t>
  </si>
  <si>
    <t>https://api.spotify.com/v1/audio-analysis/1kPpge9JDLpcj15qgrPbYX</t>
  </si>
  <si>
    <t>1kPpge9JDLpcj15qgrPbYX</t>
  </si>
  <si>
    <t>Good Time</t>
  </si>
  <si>
    <t>6.98e-06</t>
  </si>
  <si>
    <t>7gTFf2EWBONpjKVjpWbs5p</t>
  </si>
  <si>
    <t>0.0239</t>
  </si>
  <si>
    <t>Iyaz</t>
  </si>
  <si>
    <t>https://api.spotify.com/v1/tracks/4E5P1XyAFtrjpiIxkydly4</t>
  </si>
  <si>
    <t>spotify:track:4E5P1XyAFtrjpiIxkydly4</t>
  </si>
  <si>
    <t>Replay</t>
  </si>
  <si>
    <t>https://api.spotify.com/v1/audio-analysis/4E5P1XyAFtrjpiIxkydly4</t>
  </si>
  <si>
    <t>4E5P1XyAFtrjpiIxkydly4</t>
  </si>
  <si>
    <t>44hyrGuZKAvITbmrlhryf8</t>
  </si>
  <si>
    <t>Ariana Grande, Zedd</t>
  </si>
  <si>
    <t>0.0455</t>
  </si>
  <si>
    <t>https://api.spotify.com/v1/tracks/12KUFSHFgT0XCoiSlvdQi4</t>
  </si>
  <si>
    <t>spotify:track:12KUFSHFgT0XCoiSlvdQi4</t>
  </si>
  <si>
    <t>My Everything (Deluxe)</t>
  </si>
  <si>
    <t>https://api.spotify.com/v1/audio-analysis/12KUFSHFgT0XCoiSlvdQi4</t>
  </si>
  <si>
    <t>12KUFSHFgT0XCoiSlvdQi4</t>
  </si>
  <si>
    <t>Break Free</t>
  </si>
  <si>
    <t>4.46e-05</t>
  </si>
  <si>
    <t>6EVYTRG1drKdO8OnIQBeEj</t>
  </si>
  <si>
    <t>0.00637</t>
  </si>
  <si>
    <t>128.99</t>
  </si>
  <si>
    <t>Gala, Molella, Phil Jay</t>
  </si>
  <si>
    <t>https://api.spotify.com/v1/tracks/3u5N55tHf7hXATSQrjBh2q</t>
  </si>
  <si>
    <t>spotify:track:3u5N55tHf7hXATSQrjBh2q</t>
  </si>
  <si>
    <t>Come Into My Life (The Album)</t>
  </si>
  <si>
    <t>https://api.spotify.com/v1/audio-analysis/3u5N55tHf7hXATSQrjBh2q</t>
  </si>
  <si>
    <t>3u5N55tHf7hXATSQrjBh2q</t>
  </si>
  <si>
    <t>Freed From Desire - prod. Molella, Phil Jay</t>
  </si>
  <si>
    <t>3vcwGUl0WiJVssOR1dXEbe</t>
  </si>
  <si>
    <t>122.49</t>
  </si>
  <si>
    <t>0.0901</t>
  </si>
  <si>
    <t>Irene Cara</t>
  </si>
  <si>
    <t>https://api.spotify.com/v1/tracks/3cbV252akVZInSvJk7jAYX</t>
  </si>
  <si>
    <t>spotify:track:3cbV252akVZInSvJk7jAYX</t>
  </si>
  <si>
    <t>What a Feelin'</t>
  </si>
  <si>
    <t>https://api.spotify.com/v1/audio-analysis/3cbV252akVZInSvJk7jAYX</t>
  </si>
  <si>
    <t>3cbV252akVZInSvJk7jAYX</t>
  </si>
  <si>
    <t>Flashdance...What a Feeling - Radio Edit</t>
  </si>
  <si>
    <t>3.41e-06</t>
  </si>
  <si>
    <t>0BK4XIgJ3AublHWN48vNzS</t>
  </si>
  <si>
    <t>0.00579</t>
  </si>
  <si>
    <t>-6.49</t>
  </si>
  <si>
    <t>Nelly, City Spud</t>
  </si>
  <si>
    <t>https://api.spotify.com/v1/tracks/3Gf5nttwcX9aaSQXRWidEZ</t>
  </si>
  <si>
    <t>spotify:track:3Gf5nttwcX9aaSQXRWidEZ</t>
  </si>
  <si>
    <t>Country Grammar</t>
  </si>
  <si>
    <t>https://api.spotify.com/v1/audio-analysis/3Gf5nttwcX9aaSQXRWidEZ</t>
  </si>
  <si>
    <t>3Gf5nttwcX9aaSQXRWidEZ</t>
  </si>
  <si>
    <t>Ride Wit Me</t>
  </si>
  <si>
    <t>1.66e-06</t>
  </si>
  <si>
    <t>5v7Icroz1sQsK2sQyLrWzE</t>
  </si>
  <si>
    <t>174.06</t>
  </si>
  <si>
    <t>Lou Bega</t>
  </si>
  <si>
    <t>https://api.spotify.com/v1/tracks/6x4tKaOzfNJpEJHySoiJcs</t>
  </si>
  <si>
    <t>spotify:track:6x4tKaOzfNJpEJHySoiJcs</t>
  </si>
  <si>
    <t>A Little Bit of Mambo</t>
  </si>
  <si>
    <t>https://api.spotify.com/v1/audio-analysis/6x4tKaOzfNJpEJHySoiJcs</t>
  </si>
  <si>
    <t>6x4tKaOzfNJpEJHySoiJcs</t>
  </si>
  <si>
    <t>Mambo No. 5 (a Little Bit of...)</t>
  </si>
  <si>
    <t>13BmLGhVCLBn3XzKB8HIai</t>
  </si>
  <si>
    <t>Earth, Wind &amp; Fire</t>
  </si>
  <si>
    <t>https://api.spotify.com/v1/tracks/3koCCeSaVUyrRo3N2gHrd8</t>
  </si>
  <si>
    <t>spotify:track:3koCCeSaVUyrRo3N2gHrd8</t>
  </si>
  <si>
    <t>Raise!</t>
  </si>
  <si>
    <t>https://api.spotify.com/v1/audio-analysis/3koCCeSaVUyrRo3N2gHrd8</t>
  </si>
  <si>
    <t>3koCCeSaVUyrRo3N2gHrd8</t>
  </si>
  <si>
    <t>Let's Groove</t>
  </si>
  <si>
    <t>2.17e-05</t>
  </si>
  <si>
    <t>1hj1SYbJYdXloRiSjsCLXg</t>
  </si>
  <si>
    <t>https://api.spotify.com/v1/tracks/2lnzGkdtDj5mtlcOW2yRtG</t>
  </si>
  <si>
    <t>spotify:track:2lnzGkdtDj5mtlcOW2yRtG</t>
  </si>
  <si>
    <t>Laundry Service</t>
  </si>
  <si>
    <t>https://api.spotify.com/v1/audio-analysis/2lnzGkdtDj5mtlcOW2yRtG</t>
  </si>
  <si>
    <t>2lnzGkdtDj5mtlcOW2yRtG</t>
  </si>
  <si>
    <t>Whenever, Wherever</t>
  </si>
  <si>
    <t>4DyMK9x2gnmRkRa16zHaEV</t>
  </si>
  <si>
    <t>0.954</t>
  </si>
  <si>
    <t>Alex Gaudino, Crystal Waters</t>
  </si>
  <si>
    <t>https://api.spotify.com/v1/tracks/5TmFTHZp7HjBXjjsFvCY6h</t>
  </si>
  <si>
    <t>spotify:track:5TmFTHZp7HjBXjjsFvCY6h</t>
  </si>
  <si>
    <t>Destination Calabria</t>
  </si>
  <si>
    <t>https://api.spotify.com/v1/audio-analysis/5TmFTHZp7HjBXjjsFvCY6h</t>
  </si>
  <si>
    <t>5TmFTHZp7HjBXjjsFvCY6h</t>
  </si>
  <si>
    <t>Destination Calabria - Radio Edit</t>
  </si>
  <si>
    <t>0.000814</t>
  </si>
  <si>
    <t>4sRexfGVnXMBJ1k5RW5WT8</t>
  </si>
  <si>
    <t>0.605</t>
  </si>
  <si>
    <t>Backstreet Boys</t>
  </si>
  <si>
    <t>https://api.spotify.com/v1/tracks/1di1BEgJYzPvXUuinsYJGP</t>
  </si>
  <si>
    <t>spotify:track:1di1BEgJYzPvXUuinsYJGP</t>
  </si>
  <si>
    <t>Backstreet's Back</t>
  </si>
  <si>
    <t>https://api.spotify.com/v1/audio-analysis/1di1BEgJYzPvXUuinsYJGP</t>
  </si>
  <si>
    <t>1di1BEgJYzPvXUuinsYJGP</t>
  </si>
  <si>
    <t>Everybody (Backstreet's Back) - Radio Edit</t>
  </si>
  <si>
    <t>2U9ONknz1iFEK9drEKLx8v</t>
  </si>
  <si>
    <t>Madonna</t>
  </si>
  <si>
    <t>https://api.spotify.com/v1/tracks/1z3ugFmUKoCzGsI6jdY4Ci</t>
  </si>
  <si>
    <t>spotify:track:1z3ugFmUKoCzGsI6jdY4Ci</t>
  </si>
  <si>
    <t>Celebration (double disc version)</t>
  </si>
  <si>
    <t>https://api.spotify.com/v1/audio-analysis/1z3ugFmUKoCzGsI6jdY4Ci</t>
  </si>
  <si>
    <t>1z3ugFmUKoCzGsI6jdY4Ci</t>
  </si>
  <si>
    <t>Like a Prayer</t>
  </si>
  <si>
    <t>2.12e-05</t>
  </si>
  <si>
    <t>43lok9zd7BW5CoYkXZs7S0</t>
  </si>
  <si>
    <t>https://api.spotify.com/v1/tracks/0iGckQFyv6svOfAbAY9aWJ</t>
  </si>
  <si>
    <t>spotify:track:0iGckQFyv6svOfAbAY9aWJ</t>
  </si>
  <si>
    <t>One Of The Boys</t>
  </si>
  <si>
    <t>https://api.spotify.com/v1/audio-analysis/0iGckQFyv6svOfAbAY9aWJ</t>
  </si>
  <si>
    <t>0iGckQFyv6svOfAbAY9aWJ</t>
  </si>
  <si>
    <t>Hot N Cold</t>
  </si>
  <si>
    <t>3OALgjCs6Lqw41853v4wEQ</t>
  </si>
  <si>
    <t>7.73e-05</t>
  </si>
  <si>
    <t>*NSYNC</t>
  </si>
  <si>
    <t>0.0516</t>
  </si>
  <si>
    <t>https://api.spotify.com/v1/tracks/4r8lRYnoOGdEi6YyI5OC1o</t>
  </si>
  <si>
    <t>spotify:track:4r8lRYnoOGdEi6YyI5OC1o</t>
  </si>
  <si>
    <t>No Strings Attached</t>
  </si>
  <si>
    <t>https://api.spotify.com/v1/audio-analysis/4r8lRYnoOGdEi6YyI5OC1o</t>
  </si>
  <si>
    <t>4r8lRYnoOGdEi6YyI5OC1o</t>
  </si>
  <si>
    <t>Bye Bye Bye</t>
  </si>
  <si>
    <t>5hMd4vAfSUT1cbYCnRUako</t>
  </si>
  <si>
    <t>Nelly</t>
  </si>
  <si>
    <t>https://api.spotify.com/v1/tracks/04KTF78FFg8sOHC1BADqbY</t>
  </si>
  <si>
    <t>spotify:track:04KTF78FFg8sOHC1BADqbY</t>
  </si>
  <si>
    <t>https://api.spotify.com/v1/audio-analysis/04KTF78FFg8sOHC1BADqbY</t>
  </si>
  <si>
    <t>04KTF78FFg8sOHC1BADqbY</t>
  </si>
  <si>
    <t>Hot In Herre</t>
  </si>
  <si>
    <t>https://api.spotify.com/v1/tracks/5BckPAYcKEJuYs1eV1BHHe</t>
  </si>
  <si>
    <t>spotify:track:5BckPAYcKEJuYs1eV1BHHe</t>
  </si>
  <si>
    <t>The Album</t>
  </si>
  <si>
    <t>https://api.spotify.com/v1/audio-analysis/5BckPAYcKEJuYs1eV1BHHe</t>
  </si>
  <si>
    <t>5BckPAYcKEJuYs1eV1BHHe</t>
  </si>
  <si>
    <t>Take A Chance On Me</t>
  </si>
  <si>
    <t>5fLOHW1UXr1cJrnXiU3FBt</t>
  </si>
  <si>
    <t>Aqua</t>
  </si>
  <si>
    <t>0.0397</t>
  </si>
  <si>
    <t>https://api.spotify.com/v1/tracks/5ZrDlcxIDZyjOzHdYW1ydr</t>
  </si>
  <si>
    <t>spotify:track:5ZrDlcxIDZyjOzHdYW1ydr</t>
  </si>
  <si>
    <t>Aquarium (Special Edition)</t>
  </si>
  <si>
    <t>https://api.spotify.com/v1/audio-analysis/5ZrDlcxIDZyjOzHdYW1ydr</t>
  </si>
  <si>
    <t>5ZrDlcxIDZyjOzHdYW1ydr</t>
  </si>
  <si>
    <t>Barbie Girl</t>
  </si>
  <si>
    <t>3hHmYc6mrl6NkmRW1ZwYvm</t>
  </si>
  <si>
    <t>0.017</t>
  </si>
  <si>
    <t>0.975</t>
  </si>
  <si>
    <t>0.0799</t>
  </si>
  <si>
    <t>Timbaland, Justin Timberlake, Nelly Furtado</t>
  </si>
  <si>
    <t>https://api.spotify.com/v1/tracks/0wbDgMuAoy7O7pL3a69uZx</t>
  </si>
  <si>
    <t>spotify:track:0wbDgMuAoy7O7pL3a69uZx</t>
  </si>
  <si>
    <t>https://api.spotify.com/v1/audio-analysis/0wbDgMuAoy7O7pL3a69uZx</t>
  </si>
  <si>
    <t>0wbDgMuAoy7O7pL3a69uZx</t>
  </si>
  <si>
    <t>Give It To Me</t>
  </si>
  <si>
    <t>0.000552</t>
  </si>
  <si>
    <t>0V7TZQmJBgI81M9Z7GWxCI</t>
  </si>
  <si>
    <t>Depeche Mode</t>
  </si>
  <si>
    <t>https://api.spotify.com/v1/tracks/0qi4b1l0eT3jpzeNHeFXDT</t>
  </si>
  <si>
    <t>spotify:track:0qi4b1l0eT3jpzeNHeFXDT</t>
  </si>
  <si>
    <t>Speak and Spell (Deluxe)</t>
  </si>
  <si>
    <t>https://api.spotify.com/v1/audio-analysis/0qi4b1l0eT3jpzeNHeFXDT</t>
  </si>
  <si>
    <t>0qi4b1l0eT3jpzeNHeFXDT</t>
  </si>
  <si>
    <t>Just Can't Get Enough</t>
  </si>
  <si>
    <t>0Zp2eVzR9FW6lKX05lRpcu</t>
  </si>
  <si>
    <t>0.0884</t>
  </si>
  <si>
    <t>Bee Gees</t>
  </si>
  <si>
    <t>https://api.spotify.com/v1/tracks/4UDmDIqJIbrW0hMBQMFOsM</t>
  </si>
  <si>
    <t>spotify:track:4UDmDIqJIbrW0hMBQMFOsM</t>
  </si>
  <si>
    <t>Staying Alive (Original Motion Picture Soundtrack)</t>
  </si>
  <si>
    <t>https://api.spotify.com/v1/audio-analysis/4UDmDIqJIbrW0hMBQMFOsM</t>
  </si>
  <si>
    <t>4UDmDIqJIbrW0hMBQMFOsM</t>
  </si>
  <si>
    <t>Stayin' Alive</t>
  </si>
  <si>
    <t>6iqFb4EhmlHHjJGFcRgJmQ</t>
  </si>
  <si>
    <t>Mark Morrison</t>
  </si>
  <si>
    <t>https://api.spotify.com/v1/tracks/3jDdpx9PMlfMBS5tOBHFm9</t>
  </si>
  <si>
    <t>spotify:track:3jDdpx9PMlfMBS5tOBHFm9</t>
  </si>
  <si>
    <t>Return of the Mack</t>
  </si>
  <si>
    <t>https://api.spotify.com/v1/audio-analysis/3jDdpx9PMlfMBS5tOBHFm9</t>
  </si>
  <si>
    <t>3jDdpx9PMlfMBS5tOBHFm9</t>
  </si>
  <si>
    <t>6plavTFCGXv5vpy0jZVtOV</t>
  </si>
  <si>
    <t>0.00631</t>
  </si>
  <si>
    <t>0.947</t>
  </si>
  <si>
    <t>https://api.spotify.com/v1/tracks/46eu3SBuFCXWsPT39Yg3tJ</t>
  </si>
  <si>
    <t>spotify:track:46eu3SBuFCXWsPT39Yg3tJ</t>
  </si>
  <si>
    <t>Off the Wall</t>
  </si>
  <si>
    <t>https://api.spotify.com/v1/audio-analysis/46eu3SBuFCXWsPT39Yg3tJ</t>
  </si>
  <si>
    <t>46eu3SBuFCXWsPT39Yg3tJ</t>
  </si>
  <si>
    <t>Don't Stop 'Til You Get Enough</t>
  </si>
  <si>
    <t>2ZytN2cY4Zjrr9ukb2rqTP</t>
  </si>
  <si>
    <t>0.0542</t>
  </si>
  <si>
    <t>Frankie Valli &amp; The Four Seasons</t>
  </si>
  <si>
    <t>https://api.spotify.com/v1/tracks/1hQFF33xi8ruavZNyovtUN</t>
  </si>
  <si>
    <t>spotify:track:1hQFF33xi8ruavZNyovtUN</t>
  </si>
  <si>
    <t>Who Loves You</t>
  </si>
  <si>
    <t>https://api.spotify.com/v1/audio-analysis/1hQFF33xi8ruavZNyovtUN</t>
  </si>
  <si>
    <t>1hQFF33xi8ruavZNyovtUN</t>
  </si>
  <si>
    <t>December, 1963 (Oh What a Night!)</t>
  </si>
  <si>
    <t>9.12e-06</t>
  </si>
  <si>
    <t>7fbHVufa1ZvEWWpDppEXHU</t>
  </si>
  <si>
    <t>Madcon, Ray Dalton</t>
  </si>
  <si>
    <t>https://api.spotify.com/v1/tracks/63CSozvYUEudPp12679UVF</t>
  </si>
  <si>
    <t>spotify:track:63CSozvYUEudPp12679UVF</t>
  </si>
  <si>
    <t>Don't Worry (feat. Ray Dalton)</t>
  </si>
  <si>
    <t>https://api.spotify.com/v1/audio-analysis/63CSozvYUEudPp12679UVF</t>
  </si>
  <si>
    <t>63CSozvYUEudPp12679UVF</t>
  </si>
  <si>
    <t>Don't Worry (with Ray Dalton) - Radio Edit</t>
  </si>
  <si>
    <t>1.38e-06</t>
  </si>
  <si>
    <t>7rtYhYGbnV4OPbqIhendi8</t>
  </si>
  <si>
    <t>0.0726</t>
  </si>
  <si>
    <t>0.0555</t>
  </si>
  <si>
    <t>0.933</t>
  </si>
  <si>
    <t>Ricky Martin</t>
  </si>
  <si>
    <t>https://api.spotify.com/v1/tracks/0Ph6L4l8dYUuXFmb71Ajnd</t>
  </si>
  <si>
    <t>spotify:track:0Ph6L4l8dYUuXFmb71Ajnd</t>
  </si>
  <si>
    <t>https://api.spotify.com/v1/audio-analysis/0Ph6L4l8dYUuXFmb71Ajnd</t>
  </si>
  <si>
    <t>0Ph6L4l8dYUuXFmb71Ajnd</t>
  </si>
  <si>
    <t>Livin' la Vida Loca</t>
  </si>
  <si>
    <t>1k1Cr3nlJDa8pvwZUJ5xfj</t>
  </si>
  <si>
    <t>0.00414</t>
  </si>
  <si>
    <t>Robin Thicke, T.I., Pharrell Williams</t>
  </si>
  <si>
    <t>https://api.spotify.com/v1/tracks/0n4bITAu0Y0nigrz3MFJMb</t>
  </si>
  <si>
    <t>spotify:track:0n4bITAu0Y0nigrz3MFJMb</t>
  </si>
  <si>
    <t>Blurred Lines (Deluxe)</t>
  </si>
  <si>
    <t>https://api.spotify.com/v1/audio-analysis/0n4bITAu0Y0nigrz3MFJMb</t>
  </si>
  <si>
    <t>0n4bITAu0Y0nigrz3MFJMb</t>
  </si>
  <si>
    <t>Blurred Lines</t>
  </si>
  <si>
    <t>7.93e-06</t>
  </si>
  <si>
    <t>1eHyfkrIOVLGVnt5E4MD2j</t>
  </si>
  <si>
    <t>Madonna, Justin Timberlake, Timbaland</t>
  </si>
  <si>
    <t>https://api.spotify.com/v1/tracks/1oHClQEgDmmbcEx12Kc5nZ</t>
  </si>
  <si>
    <t>spotify:track:1oHClQEgDmmbcEx12Kc5nZ</t>
  </si>
  <si>
    <t>https://api.spotify.com/v1/audio-analysis/1oHClQEgDmmbcEx12Kc5nZ</t>
  </si>
  <si>
    <t>1oHClQEgDmmbcEx12Kc5nZ</t>
  </si>
  <si>
    <t>4 Minutes (feat. Justin Timberlake &amp; Timbaland)</t>
  </si>
  <si>
    <t>0.00696</t>
  </si>
  <si>
    <t>0.00994</t>
  </si>
  <si>
    <t>Eric Prydz</t>
  </si>
  <si>
    <t>https://api.spotify.com/v1/tracks/1xNcBAoUw8Hz6LqK2jt4Ff</t>
  </si>
  <si>
    <t>spotify:track:1xNcBAoUw8Hz6LqK2jt4Ff</t>
  </si>
  <si>
    <t>Call on Me (Radio Mix)</t>
  </si>
  <si>
    <t>https://api.spotify.com/v1/audio-analysis/1xNcBAoUw8Hz6LqK2jt4Ff</t>
  </si>
  <si>
    <t>1xNcBAoUw8Hz6LqK2jt4Ff</t>
  </si>
  <si>
    <t>Call on Me - Radio Mix</t>
  </si>
  <si>
    <t>0.00115</t>
  </si>
  <si>
    <t>7thKR3tw162CqNqIRdwZ3z</t>
  </si>
  <si>
    <t>0.00427</t>
  </si>
  <si>
    <t>The Emotions</t>
  </si>
  <si>
    <t>https://api.spotify.com/v1/tracks/2M2WJ7gBlcKNxdhyfPp9zY</t>
  </si>
  <si>
    <t>spotify:track:2M2WJ7gBlcKNxdhyfPp9zY</t>
  </si>
  <si>
    <t>Rejoice</t>
  </si>
  <si>
    <t>https://api.spotify.com/v1/audio-analysis/2M2WJ7gBlcKNxdhyfPp9zY</t>
  </si>
  <si>
    <t>2M2WJ7gBlcKNxdhyfPp9zY</t>
  </si>
  <si>
    <t>Best of My Love</t>
  </si>
  <si>
    <t>7iJCy3T66FJmXT7LGVd3QA</t>
  </si>
  <si>
    <t>0.985</t>
  </si>
  <si>
    <t>127.99</t>
  </si>
  <si>
    <t>-2.69</t>
  </si>
  <si>
    <t>Bingo Players, Far East Movement</t>
  </si>
  <si>
    <t>https://api.spotify.com/v1/tracks/3wLPRjw2XQpmowqXUXb3UF</t>
  </si>
  <si>
    <t>spotify:track:3wLPRjw2XQpmowqXUXb3UF</t>
  </si>
  <si>
    <t>Get Up (Rattle) [feat. Far East Movement]</t>
  </si>
  <si>
    <t>https://api.spotify.com/v1/audio-analysis/3wLPRjw2XQpmowqXUXb3UF</t>
  </si>
  <si>
    <t>3wLPRjw2XQpmowqXUXb3UF</t>
  </si>
  <si>
    <t>Get Up (Rattle) [feat. Far East Movement] - Vocal Edit</t>
  </si>
  <si>
    <t>2i27N4YvO0SHfZtMyBUnj6</t>
  </si>
  <si>
    <t>Prince</t>
  </si>
  <si>
    <t>https://api.spotify.com/v1/tracks/62LJFaYihsdVrrkgUOJC05</t>
  </si>
  <si>
    <t>spotify:track:62LJFaYihsdVrrkgUOJC05</t>
  </si>
  <si>
    <t>Parade - Music from the Motion Picture Under the Cherry Moon</t>
  </si>
  <si>
    <t>https://api.spotify.com/v1/audio-analysis/62LJFaYihsdVrrkgUOJC05</t>
  </si>
  <si>
    <t>62LJFaYihsdVrrkgUOJC05</t>
  </si>
  <si>
    <t>0.00138</t>
  </si>
  <si>
    <t>54DjkEN3wdCQgfCTZ9WjdB</t>
  </si>
  <si>
    <t>David Guetta, Flo Rida, Nicki Minaj</t>
  </si>
  <si>
    <t>https://api.spotify.com/v1/tracks/7ks6AZmFcm3Y6PGGxGSmlB</t>
  </si>
  <si>
    <t>spotify:track:7ks6AZmFcm3Y6PGGxGSmlB</t>
  </si>
  <si>
    <t>https://api.spotify.com/v1/audio-analysis/7ks6AZmFcm3Y6PGGxGSmlB</t>
  </si>
  <si>
    <t>7ks6AZmFcm3Y6PGGxGSmlB</t>
  </si>
  <si>
    <t>Where Them Girls At (feat. Nicki Minaj &amp; Flo Rida)</t>
  </si>
  <si>
    <t>0.055</t>
  </si>
  <si>
    <t>https://api.spotify.com/v1/tracks/14iN3o8ptQ8cFVZTEmyQRV</t>
  </si>
  <si>
    <t>spotify:track:14iN3o8ptQ8cFVZTEmyQRV</t>
  </si>
  <si>
    <t>https://api.spotify.com/v1/audio-analysis/14iN3o8ptQ8cFVZTEmyQRV</t>
  </si>
  <si>
    <t>14iN3o8ptQ8cFVZTEmyQRV</t>
  </si>
  <si>
    <t>I Kissed A Girl</t>
  </si>
  <si>
    <t>108.17</t>
  </si>
  <si>
    <t>0.0441</t>
  </si>
  <si>
    <t>Will Smith</t>
  </si>
  <si>
    <t>https://api.spotify.com/v1/tracks/6e8Ou0wiqAzIpWb2eSxll8</t>
  </si>
  <si>
    <t>spotify:track:6e8Ou0wiqAzIpWb2eSxll8</t>
  </si>
  <si>
    <t>Big Willie Style</t>
  </si>
  <si>
    <t>https://api.spotify.com/v1/audio-analysis/6e8Ou0wiqAzIpWb2eSxll8</t>
  </si>
  <si>
    <t>6e8Ou0wiqAzIpWb2eSxll8</t>
  </si>
  <si>
    <t>Miami</t>
  </si>
  <si>
    <t>1.67e-05</t>
  </si>
  <si>
    <t>2esWeP8Ln1sXA0jbDmi3Zq</t>
  </si>
  <si>
    <t>Mr. President</t>
  </si>
  <si>
    <t>https://api.spotify.com/v1/tracks/5fRvePkRGdpn2nKacG7I6d</t>
  </si>
  <si>
    <t>spotify:track:5fRvePkRGdpn2nKacG7I6d</t>
  </si>
  <si>
    <t>We See The Same Sun</t>
  </si>
  <si>
    <t>https://api.spotify.com/v1/audio-analysis/5fRvePkRGdpn2nKacG7I6d</t>
  </si>
  <si>
    <t>5fRvePkRGdpn2nKacG7I6d</t>
  </si>
  <si>
    <t>Coco Jamboo</t>
  </si>
  <si>
    <t>2aMWSTZkHdS6mR28WtpuxY</t>
  </si>
  <si>
    <t>0.868</t>
  </si>
  <si>
    <t>Patrick Hernandez</t>
  </si>
  <si>
    <t>https://api.spotify.com/v1/tracks/3XIEWK1V9n25PS9Vb6axj5</t>
  </si>
  <si>
    <t>spotify:track:3XIEWK1V9n25PS9Vb6axj5</t>
  </si>
  <si>
    <t>Born to Be Alive (The Original)</t>
  </si>
  <si>
    <t>https://api.spotify.com/v1/audio-analysis/3XIEWK1V9n25PS9Vb6axj5</t>
  </si>
  <si>
    <t>3XIEWK1V9n25PS9Vb6axj5</t>
  </si>
  <si>
    <t>Born to Be Alive - The Original</t>
  </si>
  <si>
    <t>0kVK9lFFTzhnEb4ETElbCD</t>
  </si>
  <si>
    <t>0.0834</t>
  </si>
  <si>
    <t>Stardust, Benjamin Diamond, Alan Braxe, Thomas Bangalter</t>
  </si>
  <si>
    <t>https://api.spotify.com/v1/tracks/1mv4lh1rW1K6xhxhJmEezy</t>
  </si>
  <si>
    <t>spotify:track:1mv4lh1rW1K6xhxhJmEezy</t>
  </si>
  <si>
    <t>Music Sounds Better With You</t>
  </si>
  <si>
    <t>https://api.spotify.com/v1/audio-analysis/1mv4lh1rW1K6xhxhJmEezy</t>
  </si>
  <si>
    <t>1mv4lh1rW1K6xhxhJmEezy</t>
  </si>
  <si>
    <t>Music Sounds Better With You - Radio Edit</t>
  </si>
  <si>
    <t>7Kusf5plZjl76X5ARWJbNO</t>
  </si>
  <si>
    <t>0.00128</t>
  </si>
  <si>
    <t>0.937</t>
  </si>
  <si>
    <t>PSY</t>
  </si>
  <si>
    <t>https://api.spotify.com/v1/tracks/03UrZgTINDqvnUMbbIMhql</t>
  </si>
  <si>
    <t>spotify:track:03UrZgTINDqvnUMbbIMhql</t>
  </si>
  <si>
    <t>Gangnam Style (Í∞ïÎÇ®Ïä§ÌÉÄÏùº)</t>
  </si>
  <si>
    <t>https://api.spotify.com/v1/audio-analysis/03UrZgTINDqvnUMbbIMhql</t>
  </si>
  <si>
    <t>03UrZgTINDqvnUMbbIMhql</t>
  </si>
  <si>
    <t>0ZjxizLeMyFEjR27JIvD99</t>
  </si>
  <si>
    <t>0.00417</t>
  </si>
  <si>
    <t>-5.03</t>
  </si>
  <si>
    <t>R3HAB, A Touch Of Class</t>
  </si>
  <si>
    <t>https://api.spotify.com/v1/tracks/02itaCXOdC54J0ISjqqFAp</t>
  </si>
  <si>
    <t>spotify:track:02itaCXOdC54J0ISjqqFAp</t>
  </si>
  <si>
    <t>All Around The World (La La La)</t>
  </si>
  <si>
    <t>https://api.spotify.com/v1/audio-analysis/02itaCXOdC54J0ISjqqFAp</t>
  </si>
  <si>
    <t>02itaCXOdC54J0ISjqqFAp</t>
  </si>
  <si>
    <t>0Y59j5oCvwTM2aNyPb6YpJ</t>
  </si>
  <si>
    <t>https://api.spotify.com/v1/tracks/0hrBpAOgrt8RXigk83LLNE</t>
  </si>
  <si>
    <t>spotify:track:0hrBpAOgrt8RXigk83LLNE</t>
  </si>
  <si>
    <t>https://api.spotify.com/v1/audio-analysis/0hrBpAOgrt8RXigk83LLNE</t>
  </si>
  <si>
    <t>0hrBpAOgrt8RXigk83LLNE</t>
  </si>
  <si>
    <t>0.0701</t>
  </si>
  <si>
    <t>0.00928</t>
  </si>
  <si>
    <t>The Pussycat Dolls, Busta Rhymes</t>
  </si>
  <si>
    <t>https://api.spotify.com/v1/tracks/0BxfFnk0YzONqvmrkO0QrB</t>
  </si>
  <si>
    <t>spotify:track:0BxfFnk0YzONqvmrkO0QrB</t>
  </si>
  <si>
    <t>PCD</t>
  </si>
  <si>
    <t>https://api.spotify.com/v1/audio-analysis/0BxfFnk0YzONqvmrkO0QrB</t>
  </si>
  <si>
    <t>0BxfFnk0YzONqvmrkO0QrB</t>
  </si>
  <si>
    <t>Don't Cha</t>
  </si>
  <si>
    <t>2.47e-06</t>
  </si>
  <si>
    <t>53zV9rZ5yfWgigsmuJtYpG</t>
  </si>
  <si>
    <t>0.00546</t>
  </si>
  <si>
    <t>-13.22</t>
  </si>
  <si>
    <t>0.0864</t>
  </si>
  <si>
    <t>MC Hammer</t>
  </si>
  <si>
    <t>https://api.spotify.com/v1/tracks/1B75hgRqe7A4fwee3g3Wmu</t>
  </si>
  <si>
    <t>spotify:track:1B75hgRqe7A4fwee3g3Wmu</t>
  </si>
  <si>
    <t>Please Hammer Don't Hurt 'Em</t>
  </si>
  <si>
    <t>https://api.spotify.com/v1/audio-analysis/1B75hgRqe7A4fwee3g3Wmu</t>
  </si>
  <si>
    <t>1B75hgRqe7A4fwee3g3Wmu</t>
  </si>
  <si>
    <t>U Can't Touch This</t>
  </si>
  <si>
    <t>0.000343</t>
  </si>
  <si>
    <t>4r1WecJyt5FOhglysp9zhN</t>
  </si>
  <si>
    <t>Billy Ocean</t>
  </si>
  <si>
    <t>https://api.spotify.com/v1/tracks/4GhtDORJiSRYxj6M1bv0vX</t>
  </si>
  <si>
    <t>spotify:track:4GhtDORJiSRYxj6M1bv0vX</t>
  </si>
  <si>
    <t>Billy Ocean (Expanded Edition)</t>
  </si>
  <si>
    <t>https://api.spotify.com/v1/audio-analysis/4GhtDORJiSRYxj6M1bv0vX</t>
  </si>
  <si>
    <t>4GhtDORJiSRYxj6M1bv0vX</t>
  </si>
  <si>
    <t>Love Really Hurts Without You</t>
  </si>
  <si>
    <t>6o3pySsbnUSjfJvLFSMZgz</t>
  </si>
  <si>
    <t>Rednex</t>
  </si>
  <si>
    <t>https://api.spotify.com/v1/tracks/06hsdMbBxWGqBO0TV0Zrkf</t>
  </si>
  <si>
    <t>spotify:track:06hsdMbBxWGqBO0TV0Zrkf</t>
  </si>
  <si>
    <t>Sex &amp; Violins</t>
  </si>
  <si>
    <t>https://api.spotify.com/v1/audio-analysis/06hsdMbBxWGqBO0TV0Zrkf</t>
  </si>
  <si>
    <t>06hsdMbBxWGqBO0TV0Zrkf</t>
  </si>
  <si>
    <t>Cotton Eye Joe</t>
  </si>
  <si>
    <t>0.000892</t>
  </si>
  <si>
    <t>5DA2dJgKERij9OVWbJDZDj</t>
  </si>
  <si>
    <t>https://api.spotify.com/v1/tracks/30XU4suKzCeoCK9YFzdufg</t>
  </si>
  <si>
    <t>spotify:track:30XU4suKzCeoCK9YFzdufg</t>
  </si>
  <si>
    <t>Born This Way (International Special Edition Version)</t>
  </si>
  <si>
    <t>https://api.spotify.com/v1/audio-analysis/30XU4suKzCeoCK9YFzdufg</t>
  </si>
  <si>
    <t>30XU4suKzCeoCK9YFzdufg</t>
  </si>
  <si>
    <t>Born This Way</t>
  </si>
  <si>
    <t>6LY3AerY6KNGOPsNPL63Kk</t>
  </si>
  <si>
    <t>Clean Bandit, Sean Paul, Anne-Marie</t>
  </si>
  <si>
    <t>https://api.spotify.com/v1/tracks/5knuzwU65gJK7IF5yJsuaW</t>
  </si>
  <si>
    <t>spotify:track:5knuzwU65gJK7IF5yJsuaW</t>
  </si>
  <si>
    <t>Rockabye (feat. Sean Paul &amp; Anne-Marie)</t>
  </si>
  <si>
    <t>https://api.spotify.com/v1/audio-analysis/5knuzwU65gJK7IF5yJsuaW</t>
  </si>
  <si>
    <t>5knuzwU65gJK7IF5yJsuaW</t>
  </si>
  <si>
    <t>3meZFplbMmji648oWUNEfQ</t>
  </si>
  <si>
    <t>-12.3</t>
  </si>
  <si>
    <t>Baltimora</t>
  </si>
  <si>
    <t>0.0261</t>
  </si>
  <si>
    <t>https://api.spotify.com/v1/tracks/273uCXd7NPrInaiNqtkOrA</t>
  </si>
  <si>
    <t>spotify:track:273uCXd7NPrInaiNqtkOrA</t>
  </si>
  <si>
    <t>Living In The Background</t>
  </si>
  <si>
    <t>https://api.spotify.com/v1/audio-analysis/273uCXd7NPrInaiNqtkOrA</t>
  </si>
  <si>
    <t>273uCXd7NPrInaiNqtkOrA</t>
  </si>
  <si>
    <t>Tarzan Boy</t>
  </si>
  <si>
    <t>0.028</t>
  </si>
  <si>
    <t>2AclHzFubT46QrjWFSfkk9</t>
  </si>
  <si>
    <t>Corona</t>
  </si>
  <si>
    <t>https://api.spotify.com/v1/tracks/0ofMkI3jzmGCElAOgOLeo3</t>
  </si>
  <si>
    <t>spotify:track:0ofMkI3jzmGCElAOgOLeo3</t>
  </si>
  <si>
    <t>The Rhythm of the Night</t>
  </si>
  <si>
    <t>https://api.spotify.com/v1/audio-analysis/0ofMkI3jzmGCElAOgOLeo3</t>
  </si>
  <si>
    <t>0ofMkI3jzmGCElAOgOLeo3</t>
  </si>
  <si>
    <t>6rrPmmb2lQd5pNRL6HKBZx</t>
  </si>
  <si>
    <t>0.000232</t>
  </si>
  <si>
    <t>Zara Larsson, MNEK</t>
  </si>
  <si>
    <t>https://api.spotify.com/v1/tracks/6hmhG1b4LEyNuashVvuIAo</t>
  </si>
  <si>
    <t>spotify:track:6hmhG1b4LEyNuashVvuIAo</t>
  </si>
  <si>
    <t>So Good</t>
  </si>
  <si>
    <t>https://api.spotify.com/v1/audio-analysis/6hmhG1b4LEyNuashVvuIAo</t>
  </si>
  <si>
    <t>6hmhG1b4LEyNuashVvuIAo</t>
  </si>
  <si>
    <t>Never Forget You</t>
  </si>
  <si>
    <t>9.57e-06</t>
  </si>
  <si>
    <t>5YLRVHDVRw3QqWbeTGpC5B</t>
  </si>
  <si>
    <t>0.00315</t>
  </si>
  <si>
    <t>0.979</t>
  </si>
  <si>
    <t>Vanilla Ice</t>
  </si>
  <si>
    <t>https://api.spotify.com/v1/tracks/3XVozq1aeqsJwpXrEZrDJ9</t>
  </si>
  <si>
    <t>spotify:track:3XVozq1aeqsJwpXrEZrDJ9</t>
  </si>
  <si>
    <t>Vanilla Ice Is Back! - Hip Hop Classics</t>
  </si>
  <si>
    <t>https://api.spotify.com/v1/audio-analysis/3XVozq1aeqsJwpXrEZrDJ9</t>
  </si>
  <si>
    <t>3XVozq1aeqsJwpXrEZrDJ9</t>
  </si>
  <si>
    <t>Ice Ice Baby</t>
  </si>
  <si>
    <t>7.71e-06</t>
  </si>
  <si>
    <t>20O6lfaDAoMhUj5TAvVbb6</t>
  </si>
  <si>
    <t>0.0025</t>
  </si>
  <si>
    <t>Chezile</t>
  </si>
  <si>
    <t>https://api.spotify.com/v1/tracks/5e0b9LgOfi3aJSKXFcOWRe</t>
  </si>
  <si>
    <t>spotify:track:5e0b9LgOfi3aJSKXFcOWRe</t>
  </si>
  <si>
    <t>Beanie</t>
  </si>
  <si>
    <t>Bedroom Pop</t>
  </si>
  <si>
    <t>https://api.spotify.com/v1/audio-analysis/5e0b9LgOfi3aJSKXFcOWRe</t>
  </si>
  <si>
    <t>5e0b9LgOfi3aJSKXFcOWRe</t>
  </si>
  <si>
    <t>0.00915</t>
  </si>
  <si>
    <t>3sgTZuoyovg4bR5iTgQoo3</t>
  </si>
  <si>
    <t>bedroom</t>
  </si>
  <si>
    <t>37i9dQZF1DXcxvFzl58uP7</t>
  </si>
  <si>
    <t>beabadoobee</t>
  </si>
  <si>
    <t>https://api.spotify.com/v1/tracks/41P6Tnd8KIHqON0QIydx6a</t>
  </si>
  <si>
    <t>spotify:track:41P6Tnd8KIHqON0QIydx6a</t>
  </si>
  <si>
    <t>Beatopia</t>
  </si>
  <si>
    <t>https://api.spotify.com/v1/audio-analysis/41P6Tnd8KIHqON0QIydx6a</t>
  </si>
  <si>
    <t>41P6Tnd8KIHqON0QIydx6a</t>
  </si>
  <si>
    <t>the perfect pair</t>
  </si>
  <si>
    <t>2rhNQbqRNxiNQkDXTffe1V</t>
  </si>
  <si>
    <t>Rio Romeo</t>
  </si>
  <si>
    <t>https://api.spotify.com/v1/tracks/0EF1EE8zusg3Y869e56JFd</t>
  </si>
  <si>
    <t>spotify:track:0EF1EE8zusg3Y869e56JFd</t>
  </si>
  <si>
    <t>Good God!</t>
  </si>
  <si>
    <t>https://api.spotify.com/v1/audio-analysis/0EF1EE8zusg3Y869e56JFd</t>
  </si>
  <si>
    <t>0EF1EE8zusg3Y869e56JFd</t>
  </si>
  <si>
    <t>Nothing's New</t>
  </si>
  <si>
    <t>4.74e-06</t>
  </si>
  <si>
    <t>3fIxJzinc2MADbgfkLrmYY</t>
  </si>
  <si>
    <t>Clairo</t>
  </si>
  <si>
    <t>https://api.spotify.com/v1/tracks/6UFivO2zqqPFPoQYsEMuCc</t>
  </si>
  <si>
    <t>spotify:track:6UFivO2zqqPFPoQYsEMuCc</t>
  </si>
  <si>
    <t>Immunity</t>
  </si>
  <si>
    <t>https://api.spotify.com/v1/audio-analysis/6UFivO2zqqPFPoQYsEMuCc</t>
  </si>
  <si>
    <t>6UFivO2zqqPFPoQYsEMuCc</t>
  </si>
  <si>
    <t>Bags</t>
  </si>
  <si>
    <t>4kkVGtCqE2NiAKosri9Rnd</t>
  </si>
  <si>
    <t>163.9</t>
  </si>
  <si>
    <t>HYBS</t>
  </si>
  <si>
    <t>0.0579</t>
  </si>
  <si>
    <t>https://api.spotify.com/v1/tracks/0MJ5wKsPEeihONNfugHGy7</t>
  </si>
  <si>
    <t>spotify:track:0MJ5wKsPEeihONNfugHGy7</t>
  </si>
  <si>
    <t>Tip Toe</t>
  </si>
  <si>
    <t>https://api.spotify.com/v1/audio-analysis/0MJ5wKsPEeihONNfugHGy7</t>
  </si>
  <si>
    <t>0MJ5wKsPEeihONNfugHGy7</t>
  </si>
  <si>
    <t>2uNZ0G4uxGlzuqULW6lQnF</t>
  </si>
  <si>
    <t>Mac DeMarco</t>
  </si>
  <si>
    <t>0.0517</t>
  </si>
  <si>
    <t>https://api.spotify.com/v1/tracks/2R4AlwtrrkMaRKojcTIzmL</t>
  </si>
  <si>
    <t>spotify:track:2R4AlwtrrkMaRKojcTIzmL</t>
  </si>
  <si>
    <t>This Old Dog</t>
  </si>
  <si>
    <t>https://api.spotify.com/v1/audio-analysis/2R4AlwtrrkMaRKojcTIzmL</t>
  </si>
  <si>
    <t>2R4AlwtrrkMaRKojcTIzmL</t>
  </si>
  <si>
    <t>For the First Time</t>
  </si>
  <si>
    <t>0.0093</t>
  </si>
  <si>
    <t>4NNq2vwTapv4fSJcrZbPH7</t>
  </si>
  <si>
    <t>sign crushes motorist</t>
  </si>
  <si>
    <t>https://api.spotify.com/v1/tracks/0Z94dtWElamDwU4NrcGoUR</t>
  </si>
  <si>
    <t>spotify:track:0Z94dtWElamDwU4NrcGoUR</t>
  </si>
  <si>
    <t>i'll be okay</t>
  </si>
  <si>
    <t>https://api.spotify.com/v1/audio-analysis/0Z94dtWElamDwU4NrcGoUR</t>
  </si>
  <si>
    <t>0Z94dtWElamDwU4NrcGoUR</t>
  </si>
  <si>
    <t>Better</t>
  </si>
  <si>
    <t>3yLxcdaNKhpogNECAju75d</t>
  </si>
  <si>
    <t>0.988</t>
  </si>
  <si>
    <t>https://api.spotify.com/v1/tracks/5mIOsPuQdXchVY0jB5NO9Q</t>
  </si>
  <si>
    <t>spotify:track:5mIOsPuQdXchVY0jB5NO9Q</t>
  </si>
  <si>
    <t>4EVER</t>
  </si>
  <si>
    <t>https://api.spotify.com/v1/audio-analysis/5mIOsPuQdXchVY0jB5NO9Q</t>
  </si>
  <si>
    <t>5mIOsPuQdXchVY0jB5NO9Q</t>
  </si>
  <si>
    <t>0.00552</t>
  </si>
  <si>
    <t>7E5bHNtTN25JAw8vJALDz9</t>
  </si>
  <si>
    <t>Faye Webster</t>
  </si>
  <si>
    <t>https://api.spotify.com/v1/tracks/2VYnlKxB8jpbCeLUjQsebc</t>
  </si>
  <si>
    <t>spotify:track:2VYnlKxB8jpbCeLUjQsebc</t>
  </si>
  <si>
    <t>I Know I'm Funny haha</t>
  </si>
  <si>
    <t>https://api.spotify.com/v1/audio-analysis/2VYnlKxB8jpbCeLUjQsebc</t>
  </si>
  <si>
    <t>2VYnlKxB8jpbCeLUjQsebc</t>
  </si>
  <si>
    <t>In A Good Way</t>
  </si>
  <si>
    <t>424bxvpYyNDM2DFFibeKs0</t>
  </si>
  <si>
    <t>girl in red</t>
  </si>
  <si>
    <t>https://api.spotify.com/v1/tracks/5PjdC2gMATetx5xdnwGUu7</t>
  </si>
  <si>
    <t>spotify:track:5PjdC2gMATetx5xdnwGUu7</t>
  </si>
  <si>
    <t>i wanna be your girlfriend</t>
  </si>
  <si>
    <t>https://api.spotify.com/v1/audio-analysis/5PjdC2gMATetx5xdnwGUu7</t>
  </si>
  <si>
    <t>5PjdC2gMATetx5xdnwGUu7</t>
  </si>
  <si>
    <t>0.000836</t>
  </si>
  <si>
    <t>14cEutEbb3i2vDp3ZopdJf</t>
  </si>
  <si>
    <t>Alternative Rock</t>
  </si>
  <si>
    <t>alternative</t>
  </si>
  <si>
    <t>4q2NzGlz5Nn6kB6Dh2vBKX</t>
  </si>
  <si>
    <t>0.0997</t>
  </si>
  <si>
    <t>Audioslave</t>
  </si>
  <si>
    <t>https://api.spotify.com/v1/tracks/3YuaBvuZqcwN3CEAyyoaei</t>
  </si>
  <si>
    <t>spotify:track:3YuaBvuZqcwN3CEAyyoaei</t>
  </si>
  <si>
    <t>https://api.spotify.com/v1/audio-analysis/3YuaBvuZqcwN3CEAyyoaei</t>
  </si>
  <si>
    <t>3YuaBvuZqcwN3CEAyyoaei</t>
  </si>
  <si>
    <t>Like a Stone</t>
  </si>
  <si>
    <t>78guAsers0klWl6RwzgDLd</t>
  </si>
  <si>
    <t>0.00797</t>
  </si>
  <si>
    <t>85.03</t>
  </si>
  <si>
    <t>https://api.spotify.com/v1/tracks/5FVd6KXrgO9B3JPmC8OPst</t>
  </si>
  <si>
    <t>spotify:track:5FVd6KXrgO9B3JPmC8OPst</t>
  </si>
  <si>
    <t>https://api.spotify.com/v1/audio-analysis/5FVd6KXrgO9B3JPmC8OPst</t>
  </si>
  <si>
    <t>5FVd6KXrgO9B3JPmC8OPst</t>
  </si>
  <si>
    <t>Do I Wanna Know?</t>
  </si>
  <si>
    <t>0.000263</t>
  </si>
  <si>
    <t>Twenty One Pilots</t>
  </si>
  <si>
    <t>https://api.spotify.com/v1/tracks/2Z8WuEywRWYTKe1NybPQEW</t>
  </si>
  <si>
    <t>spotify:track:2Z8WuEywRWYTKe1NybPQEW</t>
  </si>
  <si>
    <t>Blurryface</t>
  </si>
  <si>
    <t>https://api.spotify.com/v1/audio-analysis/2Z8WuEywRWYTKe1NybPQEW</t>
  </si>
  <si>
    <t>2Z8WuEywRWYTKe1NybPQEW</t>
  </si>
  <si>
    <t>Ride</t>
  </si>
  <si>
    <t>3cQO7jp5S9qLBoIVtbkSM1</t>
  </si>
  <si>
    <t>0.00835</t>
  </si>
  <si>
    <t>0.0756</t>
  </si>
  <si>
    <t>https://api.spotify.com/v1/tracks/64BbK9SFKH2jk86U3dGj2P</t>
  </si>
  <si>
    <t>spotify:track:64BbK9SFKH2jk86U3dGj2P</t>
  </si>
  <si>
    <t>https://api.spotify.com/v1/audio-analysis/64BbK9SFKH2jk86U3dGj2P</t>
  </si>
  <si>
    <t>64BbK9SFKH2jk86U3dGj2P</t>
  </si>
  <si>
    <t>Otherside</t>
  </si>
  <si>
    <t>0.00316</t>
  </si>
  <si>
    <t>https://api.spotify.com/v1/tracks/18lR4BzEs7e3qzc0KVkTpU</t>
  </si>
  <si>
    <t>spotify:track:18lR4BzEs7e3qzc0KVkTpU</t>
  </si>
  <si>
    <t>Minutes to Midnight</t>
  </si>
  <si>
    <t>https://api.spotify.com/v1/audio-analysis/18lR4BzEs7e3qzc0KVkTpU</t>
  </si>
  <si>
    <t>18lR4BzEs7e3qzc0KVkTpU</t>
  </si>
  <si>
    <t>What I've Done</t>
  </si>
  <si>
    <t>2tlTBLz2w52rpGCLBGyGw6</t>
  </si>
  <si>
    <t>0.0092</t>
  </si>
  <si>
    <t>Paramore</t>
  </si>
  <si>
    <t>https://api.spotify.com/v1/tracks/1ZLtE9tSJdaUiIJ9YoKHQe</t>
  </si>
  <si>
    <t>spotify:track:1ZLtE9tSJdaUiIJ9YoKHQe</t>
  </si>
  <si>
    <t>Decode</t>
  </si>
  <si>
    <t>https://api.spotify.com/v1/audio-analysis/1ZLtE9tSJdaUiIJ9YoKHQe</t>
  </si>
  <si>
    <t>1ZLtE9tSJdaUiIJ9YoKHQe</t>
  </si>
  <si>
    <t>0.00608</t>
  </si>
  <si>
    <t>70iJhodSPkl7FR1VW4n0KF</t>
  </si>
  <si>
    <t>0.000686</t>
  </si>
  <si>
    <t>0.865</t>
  </si>
  <si>
    <t>https://api.spotify.com/v1/tracks/3dxiWIBVJRlqh9xk144rf4</t>
  </si>
  <si>
    <t>spotify:track:3dxiWIBVJRlqh9xk144rf4</t>
  </si>
  <si>
    <t>Meteora (Bonus Edition)</t>
  </si>
  <si>
    <t>https://api.spotify.com/v1/audio-analysis/3dxiWIBVJRlqh9xk144rf4</t>
  </si>
  <si>
    <t>3dxiWIBVJRlqh9xk144rf4</t>
  </si>
  <si>
    <t>Breaking the Habit</t>
  </si>
  <si>
    <t>0f7R0jf0pcTb6K6IVVPcMD</t>
  </si>
  <si>
    <t>https://api.spotify.com/v1/tracks/0hDQV9X1Da5JrwhK8gu86p</t>
  </si>
  <si>
    <t>spotify:track:0hDQV9X1Da5JrwhK8gu86p</t>
  </si>
  <si>
    <t>Fever To Tell (Deluxe Remastered)</t>
  </si>
  <si>
    <t>https://api.spotify.com/v1/audio-analysis/0hDQV9X1Da5JrwhK8gu86p</t>
  </si>
  <si>
    <t>0hDQV9X1Da5JrwhK8gu86p</t>
  </si>
  <si>
    <t>44ePwTuWK88vnalqutqJEG</t>
  </si>
  <si>
    <t>0.000346</t>
  </si>
  <si>
    <t>-4.45</t>
  </si>
  <si>
    <t>0.0534</t>
  </si>
  <si>
    <t>https://api.spotify.com/v1/tracks/7oVEtyuv9NBmnytsCIsY5I</t>
  </si>
  <si>
    <t>spotify:track:7oVEtyuv9NBmnytsCIsY5I</t>
  </si>
  <si>
    <t>LIVING THINGS</t>
  </si>
  <si>
    <t>https://api.spotify.com/v1/audio-analysis/7oVEtyuv9NBmnytsCIsY5I</t>
  </si>
  <si>
    <t>7oVEtyuv9NBmnytsCIsY5I</t>
  </si>
  <si>
    <t>BURN IT DOWN</t>
  </si>
  <si>
    <t>4XHIjbhjRmqWlosjj5rqSI</t>
  </si>
  <si>
    <t>0.0143</t>
  </si>
  <si>
    <t>https://api.spotify.com/v1/tracks/6Wx88Mv6b9ofjKMKkdwOJd</t>
  </si>
  <si>
    <t>spotify:track:6Wx88Mv6b9ofjKMKkdwOJd</t>
  </si>
  <si>
    <t>Transformers: Revenge Of The Fallen The Album</t>
  </si>
  <si>
    <t>https://api.spotify.com/v1/audio-analysis/6Wx88Mv6b9ofjKMKkdwOJd</t>
  </si>
  <si>
    <t>6Wx88Mv6b9ofjKMKkdwOJd</t>
  </si>
  <si>
    <t>New Divide</t>
  </si>
  <si>
    <t>1fqibtpI0bwD73uQGeEnhn</t>
  </si>
  <si>
    <t>0.000235</t>
  </si>
  <si>
    <t>https://api.spotify.com/v1/tracks/64yrDBpcdwEdNY9loyEGbX</t>
  </si>
  <si>
    <t>spotify:track:64yrDBpcdwEdNY9loyEGbX</t>
  </si>
  <si>
    <t>21st Century Breakdown</t>
  </si>
  <si>
    <t>https://api.spotify.com/v1/audio-analysis/64yrDBpcdwEdNY9loyEGbX</t>
  </si>
  <si>
    <t>64yrDBpcdwEdNY9loyEGbX</t>
  </si>
  <si>
    <t>21 Guns</t>
  </si>
  <si>
    <t>1AHZd3C3S8m8fFrhFxyk79</t>
  </si>
  <si>
    <t>Keane</t>
  </si>
  <si>
    <t>https://api.spotify.com/v1/tracks/0yac0FPhLRH9i9lOng3f81</t>
  </si>
  <si>
    <t>spotify:track:0yac0FPhLRH9i9lOng3f81</t>
  </si>
  <si>
    <t>Hopes And Fears</t>
  </si>
  <si>
    <t>https://api.spotify.com/v1/audio-analysis/0yac0FPhLRH9i9lOng3f81</t>
  </si>
  <si>
    <t>0yac0FPhLRH9i9lOng3f81</t>
  </si>
  <si>
    <t>Everybody's Changing</t>
  </si>
  <si>
    <t>0.000365</t>
  </si>
  <si>
    <t>0MlTOiC5ZYKFGeZ8h3D4rd</t>
  </si>
  <si>
    <t>0.0014</t>
  </si>
  <si>
    <t>https://api.spotify.com/v1/tracks/0sp00HSXkQyqTa6QqM0O8V</t>
  </si>
  <si>
    <t>spotify:track:0sp00HSXkQyqTa6QqM0O8V</t>
  </si>
  <si>
    <t>https://api.spotify.com/v1/audio-analysis/0sp00HSXkQyqTa6QqM0O8V</t>
  </si>
  <si>
    <t>0sp00HSXkQyqTa6QqM0O8V</t>
  </si>
  <si>
    <t>Leave Out All The Rest</t>
  </si>
  <si>
    <t>2.27e-06</t>
  </si>
  <si>
    <t>My Chemical Romance</t>
  </si>
  <si>
    <t>0.0494</t>
  </si>
  <si>
    <t>https://api.spotify.com/v1/tracks/4RAOI1etsgbh5NP3T5R8rN</t>
  </si>
  <si>
    <t>spotify:track:4RAOI1etsgbh5NP3T5R8rN</t>
  </si>
  <si>
    <t>The Black Parade</t>
  </si>
  <si>
    <t>https://api.spotify.com/v1/audio-analysis/4RAOI1etsgbh5NP3T5R8rN</t>
  </si>
  <si>
    <t>4RAOI1etsgbh5NP3T5R8rN</t>
  </si>
  <si>
    <t>I Don't Love You</t>
  </si>
  <si>
    <t>2.61e-05</t>
  </si>
  <si>
    <t>0FZK97MXMm5mUQ8mtudjuK</t>
  </si>
  <si>
    <t>0.00837</t>
  </si>
  <si>
    <t>https://api.spotify.com/v1/tracks/1G391cbiT3v3Cywg8T7DM1</t>
  </si>
  <si>
    <t>spotify:track:1G391cbiT3v3Cywg8T7DM1</t>
  </si>
  <si>
    <t>https://api.spotify.com/v1/audio-analysis/1G391cbiT3v3Cywg8T7DM1</t>
  </si>
  <si>
    <t>1G391cbiT3v3Cywg8T7DM1</t>
  </si>
  <si>
    <t>Scar Tissue</t>
  </si>
  <si>
    <t>https://api.spotify.com/v1/tracks/0KzAbK6nItSqNh8q70tb0K</t>
  </si>
  <si>
    <t>spotify:track:0KzAbK6nItSqNh8q70tb0K</t>
  </si>
  <si>
    <t>Death to the Pixies</t>
  </si>
  <si>
    <t>https://api.spotify.com/v1/audio-analysis/0KzAbK6nItSqNh8q70tb0K</t>
  </si>
  <si>
    <t>0KzAbK6nItSqNh8q70tb0K</t>
  </si>
  <si>
    <t>Where Is My Mind?</t>
  </si>
  <si>
    <t>0.000838</t>
  </si>
  <si>
    <t>2A4zIVdm7JjHaNo9cop985</t>
  </si>
  <si>
    <t>0.00731</t>
  </si>
  <si>
    <t>108.0</t>
  </si>
  <si>
    <t>https://api.spotify.com/v1/tracks/1r1fPuhj9H4VdXr7OK6FL5</t>
  </si>
  <si>
    <t>spotify:track:1r1fPuhj9H4VdXr7OK6FL5</t>
  </si>
  <si>
    <t>https://api.spotify.com/v1/audio-analysis/1r1fPuhj9H4VdXr7OK6FL5</t>
  </si>
  <si>
    <t>1r1fPuhj9H4VdXr7OK6FL5</t>
  </si>
  <si>
    <t>CASTLE OF GLASS</t>
  </si>
  <si>
    <t>0.0456</t>
  </si>
  <si>
    <t>https://api.spotify.com/v1/tracks/3ZOEytgrvLwQaqXreDs2Jx</t>
  </si>
  <si>
    <t>spotify:track:3ZOEytgrvLwQaqXreDs2Jx</t>
  </si>
  <si>
    <t>By the Way (Deluxe Edition)</t>
  </si>
  <si>
    <t>https://api.spotify.com/v1/audio-analysis/3ZOEytgrvLwQaqXreDs2Jx</t>
  </si>
  <si>
    <t>3ZOEytgrvLwQaqXreDs2Jx</t>
  </si>
  <si>
    <t>Can't Stop</t>
  </si>
  <si>
    <t>6deiaArbeoqp1xPEGdEKp1</t>
  </si>
  <si>
    <t>0.0179</t>
  </si>
  <si>
    <t>77.15</t>
  </si>
  <si>
    <t>https://api.spotify.com/v1/tracks/5Xak5fmy089t0FYmh3VJiY</t>
  </si>
  <si>
    <t>spotify:track:5Xak5fmy089t0FYmh3VJiY</t>
  </si>
  <si>
    <t>https://api.spotify.com/v1/audio-analysis/5Xak5fmy089t0FYmh3VJiY</t>
  </si>
  <si>
    <t>5Xak5fmy089t0FYmh3VJiY</t>
  </si>
  <si>
    <t>Black</t>
  </si>
  <si>
    <t>0.0762</t>
  </si>
  <si>
    <t>M√•neskin</t>
  </si>
  <si>
    <t>https://api.spotify.com/v1/tracks/1Ame8XTX6QHY0l0ahqUhgv</t>
  </si>
  <si>
    <t>spotify:track:1Ame8XTX6QHY0l0ahqUhgv</t>
  </si>
  <si>
    <t>THE LONELIEST</t>
  </si>
  <si>
    <t>https://api.spotify.com/v1/audio-analysis/1Ame8XTX6QHY0l0ahqUhgv</t>
  </si>
  <si>
    <t>1Ame8XTX6QHY0l0ahqUhgv</t>
  </si>
  <si>
    <t>1DFNeS38zvoPkx9wwMEwbc</t>
  </si>
  <si>
    <t>0.00151</t>
  </si>
  <si>
    <t>0.849</t>
  </si>
  <si>
    <t>Cage The Elephant</t>
  </si>
  <si>
    <t>https://api.spotify.com/v1/tracks/3Pzh926pXggbMe2ZpXyMV7</t>
  </si>
  <si>
    <t>spotify:track:3Pzh926pXggbMe2ZpXyMV7</t>
  </si>
  <si>
    <t>Cage The Elephant (Expanded Edition)</t>
  </si>
  <si>
    <t>https://api.spotify.com/v1/audio-analysis/3Pzh926pXggbMe2ZpXyMV7</t>
  </si>
  <si>
    <t>3Pzh926pXggbMe2ZpXyMV7</t>
  </si>
  <si>
    <t>Ain't No Rest for the Wicked</t>
  </si>
  <si>
    <t>7H814Cg8HV0qpoMheYbhNn</t>
  </si>
  <si>
    <t>https://api.spotify.com/v1/tracks/2aibwv5hGXSgw7Yru8IYTO</t>
  </si>
  <si>
    <t>spotify:track:2aibwv5hGXSgw7Yru8IYTO</t>
  </si>
  <si>
    <t>Stadium Arcadium</t>
  </si>
  <si>
    <t>https://api.spotify.com/v1/audio-analysis/2aibwv5hGXSgw7Yru8IYTO</t>
  </si>
  <si>
    <t>2aibwv5hGXSgw7Yru8IYTO</t>
  </si>
  <si>
    <t>Snow (Hey Oh)</t>
  </si>
  <si>
    <t>1.75e-05</t>
  </si>
  <si>
    <t>7xl50xr9NDkd3i2kBbzsNZ</t>
  </si>
  <si>
    <t>120.0</t>
  </si>
  <si>
    <t>https://api.spotify.com/v1/tracks/3lPr8ghNDBLc2uZovNyLs9</t>
  </si>
  <si>
    <t>spotify:track:3lPr8ghNDBLc2uZovNyLs9</t>
  </si>
  <si>
    <t>Black Holes and Revelations</t>
  </si>
  <si>
    <t>https://api.spotify.com/v1/audio-analysis/3lPr8ghNDBLc2uZovNyLs9</t>
  </si>
  <si>
    <t>3lPr8ghNDBLc2uZovNyLs9</t>
  </si>
  <si>
    <t>Supermassive Black Hole</t>
  </si>
  <si>
    <t>0lw68yx3MhKflWFqCsGkIs</t>
  </si>
  <si>
    <t>STARSET</t>
  </si>
  <si>
    <t>https://api.spotify.com/v1/tracks/3Xfg7AegXaDLoD5GOUMf2e</t>
  </si>
  <si>
    <t>spotify:track:3Xfg7AegXaDLoD5GOUMf2e</t>
  </si>
  <si>
    <t>Transmissions (Deluxe Version)</t>
  </si>
  <si>
    <t>https://api.spotify.com/v1/audio-analysis/3Xfg7AegXaDLoD5GOUMf2e</t>
  </si>
  <si>
    <t>3Xfg7AegXaDLoD5GOUMf2e</t>
  </si>
  <si>
    <t>My Demons</t>
  </si>
  <si>
    <t>6.42e-05</t>
  </si>
  <si>
    <t>0Ypo27qP4udOQKGfNT48hn</t>
  </si>
  <si>
    <t>Kings of Leon</t>
  </si>
  <si>
    <t>https://api.spotify.com/v1/tracks/5VGlqQANWDKJFl0MBG3sg2</t>
  </si>
  <si>
    <t>spotify:track:5VGlqQANWDKJFl0MBG3sg2</t>
  </si>
  <si>
    <t>Only By The Night</t>
  </si>
  <si>
    <t>https://api.spotify.com/v1/audio-analysis/5VGlqQANWDKJFl0MBG3sg2</t>
  </si>
  <si>
    <t>5VGlqQANWDKJFl0MBG3sg2</t>
  </si>
  <si>
    <t>Use Somebody</t>
  </si>
  <si>
    <t>0.000417</t>
  </si>
  <si>
    <t>5CZR6ljD0x9fTiS4mh9wMp</t>
  </si>
  <si>
    <t>-2.36</t>
  </si>
  <si>
    <t>https://api.spotify.com/v1/tracks/10Nmj3JCNoMeBQ87uw5j8k</t>
  </si>
  <si>
    <t>spotify:track:10Nmj3JCNoMeBQ87uw5j8k</t>
  </si>
  <si>
    <t>https://api.spotify.com/v1/audio-analysis/10Nmj3JCNoMeBQ87uw5j8k</t>
  </si>
  <si>
    <t>10Nmj3JCNoMeBQ87uw5j8k</t>
  </si>
  <si>
    <t>Dani California</t>
  </si>
  <si>
    <t>8.59e-06</t>
  </si>
  <si>
    <t>0.0193</t>
  </si>
  <si>
    <t>Beach Weather</t>
  </si>
  <si>
    <t>https://api.spotify.com/v1/tracks/7DbdUf8aHSYoliSjO6LZv6</t>
  </si>
  <si>
    <t>spotify:track:7DbdUf8aHSYoliSjO6LZv6</t>
  </si>
  <si>
    <t>Chit Chat</t>
  </si>
  <si>
    <t>https://api.spotify.com/v1/audio-analysis/7DbdUf8aHSYoliSjO6LZv6</t>
  </si>
  <si>
    <t>7DbdUf8aHSYoliSjO6LZv6</t>
  </si>
  <si>
    <t>Sex, Drugs, Etc.</t>
  </si>
  <si>
    <t>0.00976</t>
  </si>
  <si>
    <t>1xz1n7gyY02veDxH50SQHQ</t>
  </si>
  <si>
    <t>https://api.spotify.com/v1/tracks/2nvC4i2aMo4CzRjRflysah</t>
  </si>
  <si>
    <t>spotify:track:2nvC4i2aMo4CzRjRflysah</t>
  </si>
  <si>
    <t>https://api.spotify.com/v1/audio-analysis/2nvC4i2aMo4CzRjRflysah</t>
  </si>
  <si>
    <t>2nvC4i2aMo4CzRjRflysah</t>
  </si>
  <si>
    <t>In My Place</t>
  </si>
  <si>
    <t>4.95e-06</t>
  </si>
  <si>
    <t>0.0553</t>
  </si>
  <si>
    <t>Finger Eleven</t>
  </si>
  <si>
    <t>https://api.spotify.com/v1/tracks/28IEbk5a7twNTbUEvWslUb</t>
  </si>
  <si>
    <t>spotify:track:28IEbk5a7twNTbUEvWslUb</t>
  </si>
  <si>
    <t>Them Vs. You Vs. Me (Deluxe Edition)</t>
  </si>
  <si>
    <t>https://api.spotify.com/v1/audio-analysis/28IEbk5a7twNTbUEvWslUb</t>
  </si>
  <si>
    <t>28IEbk5a7twNTbUEvWslUb</t>
  </si>
  <si>
    <t>Paralyzer</t>
  </si>
  <si>
    <t>2pCfqddO9tLKRz3wzSNGsZ</t>
  </si>
  <si>
    <t>https://api.spotify.com/v1/tracks/5TpPSTItCwtZ8Sltr3vdzm</t>
  </si>
  <si>
    <t>spotify:track:5TpPSTItCwtZ8Sltr3vdzm</t>
  </si>
  <si>
    <t>https://api.spotify.com/v1/audio-analysis/5TpPSTItCwtZ8Sltr3vdzm</t>
  </si>
  <si>
    <t>5TpPSTItCwtZ8Sltr3vdzm</t>
  </si>
  <si>
    <t>Last Night on Earth</t>
  </si>
  <si>
    <t>The Rasmus</t>
  </si>
  <si>
    <t>https://api.spotify.com/v1/tracks/1fr92Vupmcs2vgLMFVQ7rd</t>
  </si>
  <si>
    <t>spotify:track:1fr92Vupmcs2vgLMFVQ7rd</t>
  </si>
  <si>
    <t>Dead Letters</t>
  </si>
  <si>
    <t>https://api.spotify.com/v1/audio-analysis/1fr92Vupmcs2vgLMFVQ7rd</t>
  </si>
  <si>
    <t>1fr92Vupmcs2vgLMFVQ7rd</t>
  </si>
  <si>
    <t>In the Shadows</t>
  </si>
  <si>
    <t>5.2e-05</t>
  </si>
  <si>
    <t>1J9W7Fkg34vdOVa8gR7dx7</t>
  </si>
  <si>
    <t>Franz Ferdinand</t>
  </si>
  <si>
    <t>https://api.spotify.com/v1/tracks/20I8RduZC2PWMWTDCZuuAN</t>
  </si>
  <si>
    <t>spotify:track:20I8RduZC2PWMWTDCZuuAN</t>
  </si>
  <si>
    <t>https://api.spotify.com/v1/audio-analysis/20I8RduZC2PWMWTDCZuuAN</t>
  </si>
  <si>
    <t>20I8RduZC2PWMWTDCZuuAN</t>
  </si>
  <si>
    <t>Take Me Out</t>
  </si>
  <si>
    <t>0.00051</t>
  </si>
  <si>
    <t>0vi5ePiEHrGZJF7QhnDW2z</t>
  </si>
  <si>
    <t>0.000409</t>
  </si>
  <si>
    <t>Candlebox</t>
  </si>
  <si>
    <t>https://api.spotify.com/v1/tracks/3mhOmh4tRKsMfnRmgZfeBm</t>
  </si>
  <si>
    <t>spotify:track:3mhOmh4tRKsMfnRmgZfeBm</t>
  </si>
  <si>
    <t>https://api.spotify.com/v1/audio-analysis/3mhOmh4tRKsMfnRmgZfeBm</t>
  </si>
  <si>
    <t>3mhOmh4tRKsMfnRmgZfeBm</t>
  </si>
  <si>
    <t>Far Behind</t>
  </si>
  <si>
    <t>401V2sVeZfq8bjBqojsPRb</t>
  </si>
  <si>
    <t>0.00187</t>
  </si>
  <si>
    <t>The Cure</t>
  </si>
  <si>
    <t>https://api.spotify.com/v1/tracks/4NnWuGQujzWUEg0uZokO5M</t>
  </si>
  <si>
    <t>spotify:track:4NnWuGQujzWUEg0uZokO5M</t>
  </si>
  <si>
    <t>Kiss Me, Kiss Me, Kiss Me</t>
  </si>
  <si>
    <t>https://api.spotify.com/v1/audio-analysis/4NnWuGQujzWUEg0uZokO5M</t>
  </si>
  <si>
    <t>4NnWuGQujzWUEg0uZokO5M</t>
  </si>
  <si>
    <t>Just Like Heaven</t>
  </si>
  <si>
    <t>0.000573</t>
  </si>
  <si>
    <t>6qRV8jXFV1fZG0TizFOuTE</t>
  </si>
  <si>
    <t>https://api.spotify.com/v1/tracks/1f2V8U1BiWaC9aJWmpOARe</t>
  </si>
  <si>
    <t>spotify:track:1f2V8U1BiWaC9aJWmpOARe</t>
  </si>
  <si>
    <t>https://api.spotify.com/v1/audio-analysis/1f2V8U1BiWaC9aJWmpOARe</t>
  </si>
  <si>
    <t>1f2V8U1BiWaC9aJWmpOARe</t>
  </si>
  <si>
    <t>By the Way</t>
  </si>
  <si>
    <t>0.00355</t>
  </si>
  <si>
    <t>0.945</t>
  </si>
  <si>
    <t>https://api.spotify.com/v1/tracks/6i5qhmmF9UNUBRyrPSGn4m</t>
  </si>
  <si>
    <t>spotify:track:6i5qhmmF9UNUBRyrPSGn4m</t>
  </si>
  <si>
    <t>Rock This</t>
  </si>
  <si>
    <t>https://api.spotify.com/v1/audio-analysis/6i5qhmmF9UNUBRyrPSGn4m</t>
  </si>
  <si>
    <t>6i5qhmmF9UNUBRyrPSGn4m</t>
  </si>
  <si>
    <t>Two Faced</t>
  </si>
  <si>
    <t>4.8e-06</t>
  </si>
  <si>
    <t>0.000658</t>
  </si>
  <si>
    <t>37i9dQZF1DXcF6B6QPhFDv</t>
  </si>
  <si>
    <t>Fontaines D.C.</t>
  </si>
  <si>
    <t>0.0659</t>
  </si>
  <si>
    <t>https://api.spotify.com/v1/tracks/09ttHg3ZNVgDlYBZa1ZBw0</t>
  </si>
  <si>
    <t>spotify:track:09ttHg3ZNVgDlYBZa1ZBw0</t>
  </si>
  <si>
    <t>Romance</t>
  </si>
  <si>
    <t>https://api.spotify.com/v1/audio-analysis/09ttHg3ZNVgDlYBZa1ZBw0</t>
  </si>
  <si>
    <t>09ttHg3ZNVgDlYBZa1ZBw0</t>
  </si>
  <si>
    <t>Starburster</t>
  </si>
  <si>
    <t>1.86e-06</t>
  </si>
  <si>
    <t>287QQ922OsJYh8aFNGdJG5</t>
  </si>
  <si>
    <t>0.0656</t>
  </si>
  <si>
    <t>https://api.spotify.com/v1/tracks/1a19jsjG2DvbN1fVJonKUU</t>
  </si>
  <si>
    <t>spotify:track:1a19jsjG2DvbN1fVJonKUU</t>
  </si>
  <si>
    <t>This Is How Tomorrow Moves</t>
  </si>
  <si>
    <t>https://api.spotify.com/v1/audio-analysis/1a19jsjG2DvbN1fVJonKUU</t>
  </si>
  <si>
    <t>1a19jsjG2DvbN1fVJonKUU</t>
  </si>
  <si>
    <t>Beaches</t>
  </si>
  <si>
    <t>2.11e-05</t>
  </si>
  <si>
    <t>5oT7xqbRbQCevZ0XC5aBFu</t>
  </si>
  <si>
    <t>0.0154</t>
  </si>
  <si>
    <t>https://api.spotify.com/v1/tracks/6p8eFfPw3nQkf37aT3AkmK</t>
  </si>
  <si>
    <t>spotify:track:6p8eFfPw3nQkf37aT3AkmK</t>
  </si>
  <si>
    <t>Fear of the Dark (2015 Remaster)</t>
  </si>
  <si>
    <t>Heavy Metal Classics</t>
  </si>
  <si>
    <t>https://api.spotify.com/v1/audio-analysis/6p8eFfPw3nQkf37aT3AkmK</t>
  </si>
  <si>
    <t>6p8eFfPw3nQkf37aT3AkmK</t>
  </si>
  <si>
    <t>Fear of the Dark - 2015 Remaster</t>
  </si>
  <si>
    <t>16Su3EUFLPqWVyrwN1q5wO</t>
  </si>
  <si>
    <t>0.000739</t>
  </si>
  <si>
    <t>heavy</t>
  </si>
  <si>
    <t>27gN69ebwiJRtXEboL12Ih</t>
  </si>
  <si>
    <t>0.0773</t>
  </si>
  <si>
    <t>https://api.spotify.com/v1/tracks/28WmNsclKsrVmdv3tDmoYU</t>
  </si>
  <si>
    <t>spotify:track:28WmNsclKsrVmdv3tDmoYU</t>
  </si>
  <si>
    <t>Kill 'Em All (Remastered)</t>
  </si>
  <si>
    <t>https://api.spotify.com/v1/audio-analysis/28WmNsclKsrVmdv3tDmoYU</t>
  </si>
  <si>
    <t>28WmNsclKsrVmdv3tDmoYU</t>
  </si>
  <si>
    <t>Seek &amp; Destroy - Remastered</t>
  </si>
  <si>
    <t>0.0132</t>
  </si>
  <si>
    <t>1aGapZGHBovnmhwqVNI6JZ</t>
  </si>
  <si>
    <t>Death Metal Essentials</t>
  </si>
  <si>
    <t>death</t>
  </si>
  <si>
    <t>punk</t>
  </si>
  <si>
    <t>Pop Punk Powerhouses</t>
  </si>
  <si>
    <t>pop punk</t>
  </si>
  <si>
    <t>72GgLgQ63eUHG3CyCv42Ju</t>
  </si>
  <si>
    <t>143.85</t>
  </si>
  <si>
    <t>The All-American Rejects</t>
  </si>
  <si>
    <t>https://api.spotify.com/v1/tracks/5lDriBxJd22IhOH9zTcFrV</t>
  </si>
  <si>
    <t>spotify:track:5lDriBxJd22IhOH9zTcFrV</t>
  </si>
  <si>
    <t>Move Along</t>
  </si>
  <si>
    <t>https://api.spotify.com/v1/audio-analysis/5lDriBxJd22IhOH9zTcFrV</t>
  </si>
  <si>
    <t>5lDriBxJd22IhOH9zTcFrV</t>
  </si>
  <si>
    <t>Dirty Little Secret</t>
  </si>
  <si>
    <t>5.38e-06</t>
  </si>
  <si>
    <t>3PWEGZ6CYvXRnr0JCECsDe</t>
  </si>
  <si>
    <t>Jimmy Eat World</t>
  </si>
  <si>
    <t>0.0526</t>
  </si>
  <si>
    <t>https://api.spotify.com/v1/tracks/6GG73Jik4jUlQCkKg9JuGO</t>
  </si>
  <si>
    <t>spotify:track:6GG73Jik4jUlQCkKg9JuGO</t>
  </si>
  <si>
    <t>Bleed American</t>
  </si>
  <si>
    <t>https://api.spotify.com/v1/audio-analysis/6GG73Jik4jUlQCkKg9JuGO</t>
  </si>
  <si>
    <t>6GG73Jik4jUlQCkKg9JuGO</t>
  </si>
  <si>
    <t>0UJhhj5bn5AGAjryFnhueP</t>
  </si>
  <si>
    <t>-6.44</t>
  </si>
  <si>
    <t>0.0627</t>
  </si>
  <si>
    <t>https://api.spotify.com/v1/tracks/6ihL9TjfRjadfEePzXXyVF</t>
  </si>
  <si>
    <t>spotify:track:6ihL9TjfRjadfEePzXXyVF</t>
  </si>
  <si>
    <t>When The World Comes Down</t>
  </si>
  <si>
    <t>https://api.spotify.com/v1/audio-analysis/6ihL9TjfRjadfEePzXXyVF</t>
  </si>
  <si>
    <t>6ihL9TjfRjadfEePzXXyVF</t>
  </si>
  <si>
    <t>Gives You Hell</t>
  </si>
  <si>
    <t>3BCMpDOcQlbCZpf5vnTadZ</t>
  </si>
  <si>
    <t>Bowling For Soup</t>
  </si>
  <si>
    <t>https://api.spotify.com/v1/tracks/5oQcOu1omDykbIPSdSQQNJ</t>
  </si>
  <si>
    <t>spotify:track:5oQcOu1omDykbIPSdSQQNJ</t>
  </si>
  <si>
    <t>A Hangover You Don't Deserve</t>
  </si>
  <si>
    <t>https://api.spotify.com/v1/audio-analysis/5oQcOu1omDykbIPSdSQQNJ</t>
  </si>
  <si>
    <t>5oQcOu1omDykbIPSdSQQNJ</t>
  </si>
  <si>
    <t>43jBR9MNJk5AUuB56M0pRF</t>
  </si>
  <si>
    <t>Fountains Of Wayne</t>
  </si>
  <si>
    <t>https://api.spotify.com/v1/tracks/27L8sESb3KR79asDUBu8nW</t>
  </si>
  <si>
    <t>spotify:track:27L8sESb3KR79asDUBu8nW</t>
  </si>
  <si>
    <t>Welcome Interstate Managers</t>
  </si>
  <si>
    <t>https://api.spotify.com/v1/audio-analysis/27L8sESb3KR79asDUBu8nW</t>
  </si>
  <si>
    <t>27L8sESb3KR79asDUBu8nW</t>
  </si>
  <si>
    <t>Stacy's Mom</t>
  </si>
  <si>
    <t>1.78e-05</t>
  </si>
  <si>
    <t>6TZp52tXShLQbq8yNMxqNT</t>
  </si>
  <si>
    <t>0.0735</t>
  </si>
  <si>
    <t>https://api.spotify.com/v1/tracks/6SpLc7EXZIPpy0sVko0aoU</t>
  </si>
  <si>
    <t>spotify:track:6SpLc7EXZIPpy0sVko0aoU</t>
  </si>
  <si>
    <t>Riot!</t>
  </si>
  <si>
    <t>https://api.spotify.com/v1/audio-analysis/6SpLc7EXZIPpy0sVko0aoU</t>
  </si>
  <si>
    <t>6SpLc7EXZIPpy0sVko0aoU</t>
  </si>
  <si>
    <t>Misery Business</t>
  </si>
  <si>
    <t>9.26e-06</t>
  </si>
  <si>
    <t>71rziY9eLo1tA2dBMxrwhc</t>
  </si>
  <si>
    <t>0.00272</t>
  </si>
  <si>
    <t>93.41</t>
  </si>
  <si>
    <t>Evanescence</t>
  </si>
  <si>
    <t>https://api.spotify.com/v1/tracks/663Karu2rvKLdnY0eo1n3M</t>
  </si>
  <si>
    <t>spotify:track:663Karu2rvKLdnY0eo1n3M</t>
  </si>
  <si>
    <t>The Open Door</t>
  </si>
  <si>
    <t>https://api.spotify.com/v1/audio-analysis/663Karu2rvKLdnY0eo1n3M</t>
  </si>
  <si>
    <t>663Karu2rvKLdnY0eo1n3M</t>
  </si>
  <si>
    <t>Call Me When You're Sober</t>
  </si>
  <si>
    <t>3lFQ9ihSNR5YD0yi0yTzdC</t>
  </si>
  <si>
    <t>0.0482</t>
  </si>
  <si>
    <t>https://api.spotify.com/v1/tracks/00Mb3DuaIH1kjrwOku9CGU</t>
  </si>
  <si>
    <t>spotify:track:00Mb3DuaIH1kjrwOku9CGU</t>
  </si>
  <si>
    <t>https://api.spotify.com/v1/audio-analysis/00Mb3DuaIH1kjrwOku9CGU</t>
  </si>
  <si>
    <t>00Mb3DuaIH1kjrwOku9CGU</t>
  </si>
  <si>
    <t>Sk8er Boi</t>
  </si>
  <si>
    <t>6.79e-05</t>
  </si>
  <si>
    <t>151.95</t>
  </si>
  <si>
    <t>https://api.spotify.com/v1/tracks/1jlG3KJ3gdYmhfuySFfpO1</t>
  </si>
  <si>
    <t>spotify:track:1jlG3KJ3gdYmhfuySFfpO1</t>
  </si>
  <si>
    <t>https://api.spotify.com/v1/audio-analysis/1jlG3KJ3gdYmhfuySFfpO1</t>
  </si>
  <si>
    <t>1jlG3KJ3gdYmhfuySFfpO1</t>
  </si>
  <si>
    <t>I'm with You</t>
  </si>
  <si>
    <t>0.0758</t>
  </si>
  <si>
    <t>https://api.spotify.com/v1/tracks/6sqNctd7MlJoKDOxPVCAvU</t>
  </si>
  <si>
    <t>spotify:track:6sqNctd7MlJoKDOxPVCAvU</t>
  </si>
  <si>
    <t>Under My Skin</t>
  </si>
  <si>
    <t>https://api.spotify.com/v1/audio-analysis/6sqNctd7MlJoKDOxPVCAvU</t>
  </si>
  <si>
    <t>6sqNctd7MlJoKDOxPVCAvU</t>
  </si>
  <si>
    <t>My Happy Ending</t>
  </si>
  <si>
    <t>7851Vsjv3apS52sXUik6iF</t>
  </si>
  <si>
    <t>0.00136</t>
  </si>
  <si>
    <t>0.893</t>
  </si>
  <si>
    <t>Good Charlotte</t>
  </si>
  <si>
    <t>https://api.spotify.com/v1/tracks/0BRHnOFm6sjxN1i9LJrUDu</t>
  </si>
  <si>
    <t>spotify:track:0BRHnOFm6sjxN1i9LJrUDu</t>
  </si>
  <si>
    <t>The Young and The Hopeless</t>
  </si>
  <si>
    <t>https://api.spotify.com/v1/audio-analysis/0BRHnOFm6sjxN1i9LJrUDu</t>
  </si>
  <si>
    <t>0BRHnOFm6sjxN1i9LJrUDu</t>
  </si>
  <si>
    <t>The Anthem</t>
  </si>
  <si>
    <t>5CTygC3aONv7l0klY4k3hc</t>
  </si>
  <si>
    <t>0.00666</t>
  </si>
  <si>
    <t>0.021</t>
  </si>
  <si>
    <t>https://api.spotify.com/v1/tracks/1j8z4TTjJ1YOdoFEDwJTQa</t>
  </si>
  <si>
    <t>spotify:track:1j8z4TTjJ1YOdoFEDwJTQa</t>
  </si>
  <si>
    <t>https://api.spotify.com/v1/audio-analysis/1j8z4TTjJ1YOdoFEDwJTQa</t>
  </si>
  <si>
    <t>1j8z4TTjJ1YOdoFEDwJTQa</t>
  </si>
  <si>
    <t>Ain't It Fun</t>
  </si>
  <si>
    <t>4.41e-05</t>
  </si>
  <si>
    <t>4sgYpkIASM1jVlNC8Wp9oF</t>
  </si>
  <si>
    <t>0.923</t>
  </si>
  <si>
    <t>136.01</t>
  </si>
  <si>
    <t>https://api.spotify.com/v1/tracks/1yjY7rpaAQvKwpdUliHx0d</t>
  </si>
  <si>
    <t>spotify:track:1yjY7rpaAQvKwpdUliHx0d</t>
  </si>
  <si>
    <t>https://api.spotify.com/v1/audio-analysis/1yjY7rpaAQvKwpdUliHx0d</t>
  </si>
  <si>
    <t>1yjY7rpaAQvKwpdUliHx0d</t>
  </si>
  <si>
    <t>Still into You</t>
  </si>
  <si>
    <t>0.0098</t>
  </si>
  <si>
    <t>Panic! At The Disco</t>
  </si>
  <si>
    <t>https://api.spotify.com/v1/tracks/4bPQs0PHn4xbipzdPfn6du</t>
  </si>
  <si>
    <t>spotify:track:4bPQs0PHn4xbipzdPfn6du</t>
  </si>
  <si>
    <t>A Fever You Can't Sweat Out</t>
  </si>
  <si>
    <t>https://api.spotify.com/v1/audio-analysis/4bPQs0PHn4xbipzdPfn6du</t>
  </si>
  <si>
    <t>4bPQs0PHn4xbipzdPfn6du</t>
  </si>
  <si>
    <t>I Write Sins Not Tragedies</t>
  </si>
  <si>
    <t>2YeOhhJg3OWpN0F1VYPxtW</t>
  </si>
  <si>
    <t>0.0807</t>
  </si>
  <si>
    <t>blink-182</t>
  </si>
  <si>
    <t>https://api.spotify.com/v1/tracks/2m1hi0nfMR9vdGC8UcrnwU</t>
  </si>
  <si>
    <t>spotify:track:2m1hi0nfMR9vdGC8UcrnwU</t>
  </si>
  <si>
    <t>Enema Of The State</t>
  </si>
  <si>
    <t>https://api.spotify.com/v1/audio-analysis/2m1hi0nfMR9vdGC8UcrnwU</t>
  </si>
  <si>
    <t>2m1hi0nfMR9vdGC8UcrnwU</t>
  </si>
  <si>
    <t>All The Small Things</t>
  </si>
  <si>
    <t>652N05EcNH1a4bIlUixQE2</t>
  </si>
  <si>
    <t>104.98</t>
  </si>
  <si>
    <t>https://api.spotify.com/v1/tracks/3ZffCQKLFLUvYM59XKLbVm</t>
  </si>
  <si>
    <t>spotify:track:3ZffCQKLFLUvYM59XKLbVm</t>
  </si>
  <si>
    <t>American Idiot</t>
  </si>
  <si>
    <t>https://api.spotify.com/v1/audio-analysis/3ZffCQKLFLUvYM59XKLbVm</t>
  </si>
  <si>
    <t>3ZffCQKLFLUvYM59XKLbVm</t>
  </si>
  <si>
    <t>Wake Me up When September Ends</t>
  </si>
  <si>
    <t>5dN7F9DV0Qg1XRdIgW8rke</t>
  </si>
  <si>
    <t>0.023</t>
  </si>
  <si>
    <t>https://api.spotify.com/v1/tracks/0COqiPhxzoWICwFCS4eZcp</t>
  </si>
  <si>
    <t>spotify:track:0COqiPhxzoWICwFCS4eZcp</t>
  </si>
  <si>
    <t>Fallen</t>
  </si>
  <si>
    <t>https://api.spotify.com/v1/audio-analysis/0COqiPhxzoWICwFCS4eZcp</t>
  </si>
  <si>
    <t>0COqiPhxzoWICwFCS4eZcp</t>
  </si>
  <si>
    <t>Bring Me To Life</t>
  </si>
  <si>
    <t>2.06e-06</t>
  </si>
  <si>
    <t>02w1xMzzdF2OJxTeh1basm</t>
  </si>
  <si>
    <t>0.00721</t>
  </si>
  <si>
    <t>https://api.spotify.com/v1/tracks/2z4U9d5OAA4YLNXoCgioxo</t>
  </si>
  <si>
    <t>spotify:track:2z4U9d5OAA4YLNXoCgioxo</t>
  </si>
  <si>
    <t>Goodbye Lullaby (Expanded Edition)</t>
  </si>
  <si>
    <t>https://api.spotify.com/v1/audio-analysis/2z4U9d5OAA4YLNXoCgioxo</t>
  </si>
  <si>
    <t>2z4U9d5OAA4YLNXoCgioxo</t>
  </si>
  <si>
    <t>What the Hell</t>
  </si>
  <si>
    <t>0.0127</t>
  </si>
  <si>
    <t>1COPJyU2PpM2Itcob3vhFF</t>
  </si>
  <si>
    <t>0.00472</t>
  </si>
  <si>
    <t>https://api.spotify.com/v1/tracks/1oTo3ijRbaDAtrjJrGAPSw</t>
  </si>
  <si>
    <t>spotify:track:1oTo3ijRbaDAtrjJrGAPSw</t>
  </si>
  <si>
    <t>https://api.spotify.com/v1/audio-analysis/1oTo3ijRbaDAtrjJrGAPSw</t>
  </si>
  <si>
    <t>1oTo3ijRbaDAtrjJrGAPSw</t>
  </si>
  <si>
    <t>I Miss You</t>
  </si>
  <si>
    <t>5.33e-06</t>
  </si>
  <si>
    <t>6DMUAqxiFfLdqXv0vqcrQA</t>
  </si>
  <si>
    <t>0.00103</t>
  </si>
  <si>
    <t>167.06</t>
  </si>
  <si>
    <t>0.0294</t>
  </si>
  <si>
    <t>https://api.spotify.com/v1/tracks/5GorCbAP4aL0EJ16frG2hd</t>
  </si>
  <si>
    <t>spotify:track:5GorCbAP4aL0EJ16frG2hd</t>
  </si>
  <si>
    <t>Greatest Hits: God's Favorite Band</t>
  </si>
  <si>
    <t>https://api.spotify.com/v1/audio-analysis/5GorCbAP4aL0EJ16frG2hd</t>
  </si>
  <si>
    <t>5GorCbAP4aL0EJ16frG2hd</t>
  </si>
  <si>
    <t>Boulevard of Broken Dreams</t>
  </si>
  <si>
    <t>2.94e-05</t>
  </si>
  <si>
    <t>3id4t9IqRoB1f1smOERtrY</t>
  </si>
  <si>
    <t>https://api.spotify.com/v1/tracks/6nTiIhLmQ3FWhvrGafw2zj</t>
  </si>
  <si>
    <t>spotify:track:6nTiIhLmQ3FWhvrGafw2zj</t>
  </si>
  <si>
    <t>https://api.spotify.com/v1/audio-analysis/6nTiIhLmQ3FWhvrGafw2zj</t>
  </si>
  <si>
    <t>6nTiIhLmQ3FWhvrGafw2zj</t>
  </si>
  <si>
    <t>7.86e-05</t>
  </si>
  <si>
    <t>2.64e-05</t>
  </si>
  <si>
    <t>Weezer</t>
  </si>
  <si>
    <t>https://api.spotify.com/v1/tracks/1yKu2MhpwzDXXH2tzG6xoa</t>
  </si>
  <si>
    <t>spotify:track:1yKu2MhpwzDXXH2tzG6xoa</t>
  </si>
  <si>
    <t>Make Believe</t>
  </si>
  <si>
    <t>https://api.spotify.com/v1/audio-analysis/1yKu2MhpwzDXXH2tzG6xoa</t>
  </si>
  <si>
    <t>1yKu2MhpwzDXXH2tzG6xoa</t>
  </si>
  <si>
    <t>Beverly Hills</t>
  </si>
  <si>
    <t>4D8A8M0NJjEdQhusawyeDz</t>
  </si>
  <si>
    <t>0.0932</t>
  </si>
  <si>
    <t>0.0272</t>
  </si>
  <si>
    <t>https://api.spotify.com/v1/tracks/7JIuqL4ZqkpfGKQhYlrirs</t>
  </si>
  <si>
    <t>spotify:track:7JIuqL4ZqkpfGKQhYlrirs</t>
  </si>
  <si>
    <t>Brand New Eyes</t>
  </si>
  <si>
    <t>https://api.spotify.com/v1/audio-analysis/7JIuqL4ZqkpfGKQhYlrirs</t>
  </si>
  <si>
    <t>7JIuqL4ZqkpfGKQhYlrirs</t>
  </si>
  <si>
    <t>The Only Exception</t>
  </si>
  <si>
    <t>27UqZoE1kV6sIV6uQcI28A</t>
  </si>
  <si>
    <t>mgk, YUNGBLUD, Travis Barker</t>
  </si>
  <si>
    <t>https://api.spotify.com/v1/tracks/2gTdDMpNxIRFSiu7HutMCg</t>
  </si>
  <si>
    <t>spotify:track:2gTdDMpNxIRFSiu7HutMCg</t>
  </si>
  <si>
    <t>Hotel Diablo</t>
  </si>
  <si>
    <t>https://api.spotify.com/v1/audio-analysis/2gTdDMpNxIRFSiu7HutMCg</t>
  </si>
  <si>
    <t>2gTdDMpNxIRFSiu7HutMCg</t>
  </si>
  <si>
    <t>I Think I'm OKAY (with YUNGBLUD &amp; Travis Barker)</t>
  </si>
  <si>
    <t>0bJIHF1Or1YBLFBMwv53K2</t>
  </si>
  <si>
    <t>Lit</t>
  </si>
  <si>
    <t>https://api.spotify.com/v1/tracks/33iv3wnGMrrDugd7GBso1z</t>
  </si>
  <si>
    <t>spotify:track:33iv3wnGMrrDugd7GBso1z</t>
  </si>
  <si>
    <t>A Place In The Sun</t>
  </si>
  <si>
    <t>https://api.spotify.com/v1/audio-analysis/33iv3wnGMrrDugd7GBso1z</t>
  </si>
  <si>
    <t>33iv3wnGMrrDugd7GBso1z</t>
  </si>
  <si>
    <t>My Own Worst Enemy</t>
  </si>
  <si>
    <t>3w5Uz3q4SJze14P60ZChsp</t>
  </si>
  <si>
    <t>0.00129</t>
  </si>
  <si>
    <t>0.0947</t>
  </si>
  <si>
    <t>Yellowcard</t>
  </si>
  <si>
    <t>0.0638</t>
  </si>
  <si>
    <t>https://api.spotify.com/v1/tracks/23oxJmDc1V9uLUSmN2LIvx</t>
  </si>
  <si>
    <t>spotify:track:23oxJmDc1V9uLUSmN2LIvx</t>
  </si>
  <si>
    <t>Ocean Avenue</t>
  </si>
  <si>
    <t>https://api.spotify.com/v1/audio-analysis/23oxJmDc1V9uLUSmN2LIvx</t>
  </si>
  <si>
    <t>23oxJmDc1V9uLUSmN2LIvx</t>
  </si>
  <si>
    <t>2.83e-05</t>
  </si>
  <si>
    <t>24IBCzEJlHBI0ioxlSuSPA</t>
  </si>
  <si>
    <t>3.43e-05</t>
  </si>
  <si>
    <t>The Red Jumpsuit Apparatus</t>
  </si>
  <si>
    <t>https://api.spotify.com/v1/tracks/4wzjNqjKAKDU82e8uMhzmr</t>
  </si>
  <si>
    <t>spotify:track:4wzjNqjKAKDU82e8uMhzmr</t>
  </si>
  <si>
    <t>Don't You Fake It</t>
  </si>
  <si>
    <t>https://api.spotify.com/v1/audio-analysis/4wzjNqjKAKDU82e8uMhzmr</t>
  </si>
  <si>
    <t>4wzjNqjKAKDU82e8uMhzmr</t>
  </si>
  <si>
    <t>Face Down</t>
  </si>
  <si>
    <t>6TyPSzd5rA2rQ9yLJJ1Gg2</t>
  </si>
  <si>
    <t>0.000665</t>
  </si>
  <si>
    <t>AFI</t>
  </si>
  <si>
    <t>https://api.spotify.com/v1/tracks/0Ti2dlF2xLjXblvdU5fCxM</t>
  </si>
  <si>
    <t>spotify:track:0Ti2dlF2xLjXblvdU5fCxM</t>
  </si>
  <si>
    <t>DECEMBERUNDERGROUND</t>
  </si>
  <si>
    <t>https://api.spotify.com/v1/audio-analysis/0Ti2dlF2xLjXblvdU5fCxM</t>
  </si>
  <si>
    <t>0Ti2dlF2xLjXblvdU5fCxM</t>
  </si>
  <si>
    <t>Miss Murder</t>
  </si>
  <si>
    <t>0.000729</t>
  </si>
  <si>
    <t>1XcA7EEpVRg3FpVbhWu9JV</t>
  </si>
  <si>
    <t>0.00022</t>
  </si>
  <si>
    <t>Fall Out Boy</t>
  </si>
  <si>
    <t>https://api.spotify.com/v1/tracks/3Zwu2K0Qa5sT6teCCHPShP</t>
  </si>
  <si>
    <t>spotify:track:3Zwu2K0Qa5sT6teCCHPShP</t>
  </si>
  <si>
    <t>Infinity On High</t>
  </si>
  <si>
    <t>https://api.spotify.com/v1/audio-analysis/3Zwu2K0Qa5sT6teCCHPShP</t>
  </si>
  <si>
    <t>3Zwu2K0Qa5sT6teCCHPShP</t>
  </si>
  <si>
    <t>Thnks fr th Mmrs</t>
  </si>
  <si>
    <t>0hHopYqXhuvYSHtVyrcb1g</t>
  </si>
  <si>
    <t>0.0051</t>
  </si>
  <si>
    <t>https://api.spotify.com/v1/tracks/7j31rVgGX9Q2blT92VBEA0</t>
  </si>
  <si>
    <t>spotify:track:7j31rVgGX9Q2blT92VBEA0</t>
  </si>
  <si>
    <t>https://api.spotify.com/v1/audio-analysis/7j31rVgGX9Q2blT92VBEA0</t>
  </si>
  <si>
    <t>7j31rVgGX9Q2blT92VBEA0</t>
  </si>
  <si>
    <t>Teenagers</t>
  </si>
  <si>
    <t>Sum 41</t>
  </si>
  <si>
    <t>https://api.spotify.com/v1/tracks/4KacUpvbA3Mfo05gttTjhN</t>
  </si>
  <si>
    <t>spotify:track:4KacUpvbA3Mfo05gttTjhN</t>
  </si>
  <si>
    <t>All Killer, No Filler</t>
  </si>
  <si>
    <t>https://api.spotify.com/v1/audio-analysis/4KacUpvbA3Mfo05gttTjhN</t>
  </si>
  <si>
    <t>4KacUpvbA3Mfo05gttTjhN</t>
  </si>
  <si>
    <t>Fat Lip</t>
  </si>
  <si>
    <t>2UCWsnmZEVg9HhnMeKTsim</t>
  </si>
  <si>
    <t>0.000579</t>
  </si>
  <si>
    <t>https://api.spotify.com/v1/tracks/4LJhJ6DQS7NwE7UKtvcM52</t>
  </si>
  <si>
    <t>spotify:track:4LJhJ6DQS7NwE7UKtvcM52</t>
  </si>
  <si>
    <t>https://api.spotify.com/v1/audio-analysis/4LJhJ6DQS7NwE7UKtvcM52</t>
  </si>
  <si>
    <t>4LJhJ6DQS7NwE7UKtvcM52</t>
  </si>
  <si>
    <t>What's My Age Again?</t>
  </si>
  <si>
    <t>0.000446</t>
  </si>
  <si>
    <t>0.012</t>
  </si>
  <si>
    <t>Gorillaz</t>
  </si>
  <si>
    <t>https://api.spotify.com/v1/tracks/0d28khcov6AiegSCpG5TuT</t>
  </si>
  <si>
    <t>spotify:track:0d28khcov6AiegSCpG5TuT</t>
  </si>
  <si>
    <t>Demon Days</t>
  </si>
  <si>
    <t>https://api.spotify.com/v1/audio-analysis/0d28khcov6AiegSCpG5TuT</t>
  </si>
  <si>
    <t>0d28khcov6AiegSCpG5TuT</t>
  </si>
  <si>
    <t>Feel Good Inc.</t>
  </si>
  <si>
    <t>0.00233</t>
  </si>
  <si>
    <t>0bUTHlWbkSQysoM3VsWldT</t>
  </si>
  <si>
    <t>0.00836</t>
  </si>
  <si>
    <t>https://api.spotify.com/v1/tracks/7lRlq939cDG4SzWOF4VAnd</t>
  </si>
  <si>
    <t>spotify:track:7lRlq939cDG4SzWOF4VAnd</t>
  </si>
  <si>
    <t>Three Cheers for Sweet Revenge</t>
  </si>
  <si>
    <t>https://api.spotify.com/v1/audio-analysis/7lRlq939cDG4SzWOF4VAnd</t>
  </si>
  <si>
    <t>7lRlq939cDG4SzWOF4VAnd</t>
  </si>
  <si>
    <t>I'm Not Okay (I Promise)</t>
  </si>
  <si>
    <t>3DuiGV3J09SUhvp8gqNx8h</t>
  </si>
  <si>
    <t>0.00602</t>
  </si>
  <si>
    <t>https://api.spotify.com/v1/tracks/0w5Bdu51Ka25Pf3hojsKHh</t>
  </si>
  <si>
    <t>spotify:track:0w5Bdu51Ka25Pf3hojsKHh</t>
  </si>
  <si>
    <t>After Laughter</t>
  </si>
  <si>
    <t>https://api.spotify.com/v1/audio-analysis/0w5Bdu51Ka25Pf3hojsKHh</t>
  </si>
  <si>
    <t>0w5Bdu51Ka25Pf3hojsKHh</t>
  </si>
  <si>
    <t>Hard Times</t>
  </si>
  <si>
    <t>4.87e-06</t>
  </si>
  <si>
    <t>1c9Sx7XdXuMptGyfCB6hHs</t>
  </si>
  <si>
    <t>0.00647</t>
  </si>
  <si>
    <t>https://api.spotify.com/v1/tracks/5dTHtzHFPyi8TlTtzoz1J9</t>
  </si>
  <si>
    <t>spotify:track:5dTHtzHFPyi8TlTtzoz1J9</t>
  </si>
  <si>
    <t>https://api.spotify.com/v1/audio-analysis/5dTHtzHFPyi8TlTtzoz1J9</t>
  </si>
  <si>
    <t>5dTHtzHFPyi8TlTtzoz1J9</t>
  </si>
  <si>
    <t>Helena</t>
  </si>
  <si>
    <t>0.0142</t>
  </si>
  <si>
    <t>https://api.spotify.com/v1/tracks/2d6m2F4I7wCuAKtSsdhh83</t>
  </si>
  <si>
    <t>spotify:track:2d6m2F4I7wCuAKtSsdhh83</t>
  </si>
  <si>
    <t>https://api.spotify.com/v1/audio-analysis/2d6m2F4I7wCuAKtSsdhh83</t>
  </si>
  <si>
    <t>2d6m2F4I7wCuAKtSsdhh83</t>
  </si>
  <si>
    <t>Famous Last Words</t>
  </si>
  <si>
    <t>0.000152</t>
  </si>
  <si>
    <t>0.000321</t>
  </si>
  <si>
    <t>0.986</t>
  </si>
  <si>
    <t>https://api.spotify.com/v1/tracks/5BB0Jzw60KyfSTyjJqtely</t>
  </si>
  <si>
    <t>spotify:track:5BB0Jzw60KyfSTyjJqtely</t>
  </si>
  <si>
    <t>Danger Days: The True Lives of the Fabulous Killjoys</t>
  </si>
  <si>
    <t>https://api.spotify.com/v1/audio-analysis/5BB0Jzw60KyfSTyjJqtely</t>
  </si>
  <si>
    <t>5BB0Jzw60KyfSTyjJqtely</t>
  </si>
  <si>
    <t>Na Na Na (Na Na Na Na Na Na Na Na Na)</t>
  </si>
  <si>
    <t>0.00148</t>
  </si>
  <si>
    <t>2wPnKggTK3QhYAKL7Q0vvr</t>
  </si>
  <si>
    <t>0.000264</t>
  </si>
  <si>
    <t>https://api.spotify.com/v1/tracks/1yKAqZoi8xWGLCf5vajroL</t>
  </si>
  <si>
    <t>spotify:track:1yKAqZoi8xWGLCf5vajroL</t>
  </si>
  <si>
    <t>https://api.spotify.com/v1/audio-analysis/1yKAqZoi8xWGLCf5vajroL</t>
  </si>
  <si>
    <t>1yKAqZoi8xWGLCf5vajroL</t>
  </si>
  <si>
    <t>The Ghost of You</t>
  </si>
  <si>
    <t>https://api.spotify.com/v1/tracks/1fJFuvU2ldmeAm5nFIHcPP</t>
  </si>
  <si>
    <t>spotify:track:1fJFuvU2ldmeAm5nFIHcPP</t>
  </si>
  <si>
    <t>Take Off Your Pants And Jacket</t>
  </si>
  <si>
    <t>https://api.spotify.com/v1/audio-analysis/1fJFuvU2ldmeAm5nFIHcPP</t>
  </si>
  <si>
    <t>1fJFuvU2ldmeAm5nFIHcPP</t>
  </si>
  <si>
    <t>First Date</t>
  </si>
  <si>
    <t>3nHpBmW5wJXGeC3ojBkpey</t>
  </si>
  <si>
    <t>0.000715</t>
  </si>
  <si>
    <t>https://api.spotify.com/v1/tracks/2TfSHkHiFO4gRztVIkggkE</t>
  </si>
  <si>
    <t>spotify:track:2TfSHkHiFO4gRztVIkggkE</t>
  </si>
  <si>
    <t>From Under The Cork Tree</t>
  </si>
  <si>
    <t>https://api.spotify.com/v1/audio-analysis/2TfSHkHiFO4gRztVIkggkE</t>
  </si>
  <si>
    <t>2TfSHkHiFO4gRztVIkggkE</t>
  </si>
  <si>
    <t>Sugar, We're Goin Down</t>
  </si>
  <si>
    <t>5nkUSlIhtoJZMOUlB0sNCp</t>
  </si>
  <si>
    <t>0.0854</t>
  </si>
  <si>
    <t>https://api.spotify.com/v1/tracks/0a7BloCiNzLDD9qSQHh5m7</t>
  </si>
  <si>
    <t>spotify:track:0a7BloCiNzLDD9qSQHh5m7</t>
  </si>
  <si>
    <t>https://api.spotify.com/v1/audio-analysis/0a7BloCiNzLDD9qSQHh5m7</t>
  </si>
  <si>
    <t>0a7BloCiNzLDD9qSQHh5m7</t>
  </si>
  <si>
    <t>Dance, Dance</t>
  </si>
  <si>
    <t>0.00523</t>
  </si>
  <si>
    <t>0.0766</t>
  </si>
  <si>
    <t>https://api.spotify.com/v1/tracks/2ydUT1pFhuLDnouelIv4WH</t>
  </si>
  <si>
    <t>spotify:track:2ydUT1pFhuLDnouelIv4WH</t>
  </si>
  <si>
    <t>https://api.spotify.com/v1/audio-analysis/2ydUT1pFhuLDnouelIv4WH</t>
  </si>
  <si>
    <t>2ydUT1pFhuLDnouelIv4WH</t>
  </si>
  <si>
    <t>The Rock Show</t>
  </si>
  <si>
    <t>0.000324</t>
  </si>
  <si>
    <t>https://api.spotify.com/v1/tracks/0MsrWnxQZxPAcov7c74sSo</t>
  </si>
  <si>
    <t>spotify:track:0MsrWnxQZxPAcov7c74sSo</t>
  </si>
  <si>
    <t>https://api.spotify.com/v1/audio-analysis/0MsrWnxQZxPAcov7c74sSo</t>
  </si>
  <si>
    <t>0MsrWnxQZxPAcov7c74sSo</t>
  </si>
  <si>
    <t>Holiday / Boulevard of Broken Dreams</t>
  </si>
  <si>
    <t>2.55e-06</t>
  </si>
  <si>
    <t>0.000659</t>
  </si>
  <si>
    <t>136.02</t>
  </si>
  <si>
    <t>https://api.spotify.com/v1/tracks/6xpDh0dXrkVp0Po1qrHUd8</t>
  </si>
  <si>
    <t>spotify:track:6xpDh0dXrkVp0Po1qrHUd8</t>
  </si>
  <si>
    <t>https://api.spotify.com/v1/audio-analysis/6xpDh0dXrkVp0Po1qrHUd8</t>
  </si>
  <si>
    <t>6xpDh0dXrkVp0Po1qrHUd8</t>
  </si>
  <si>
    <t>Adam's Song</t>
  </si>
  <si>
    <t>Pierce The Veil, Kellin Quinn</t>
  </si>
  <si>
    <t>https://api.spotify.com/v1/tracks/1IT0WQk5J8NsaeII8ktdlZ</t>
  </si>
  <si>
    <t>spotify:track:1IT0WQk5J8NsaeII8ktdlZ</t>
  </si>
  <si>
    <t>Collide With The Sky</t>
  </si>
  <si>
    <t>https://api.spotify.com/v1/audio-analysis/1IT0WQk5J8NsaeII8ktdlZ</t>
  </si>
  <si>
    <t>1IT0WQk5J8NsaeII8ktdlZ</t>
  </si>
  <si>
    <t>King For A Day</t>
  </si>
  <si>
    <t>0.000276</t>
  </si>
  <si>
    <t>661Hz0qJK8WIp7vAWsqKvk</t>
  </si>
  <si>
    <t>3.81e-05</t>
  </si>
  <si>
    <t>Pierce The Veil</t>
  </si>
  <si>
    <t>https://api.spotify.com/v1/tracks/23UoI3jlFiWdo5jadUYo69</t>
  </si>
  <si>
    <t>spotify:track:23UoI3jlFiWdo5jadUYo69</t>
  </si>
  <si>
    <t>https://api.spotify.com/v1/audio-analysis/23UoI3jlFiWdo5jadUYo69</t>
  </si>
  <si>
    <t>23UoI3jlFiWdo5jadUYo69</t>
  </si>
  <si>
    <t>Bulls In The Bronx</t>
  </si>
  <si>
    <t>0.000528</t>
  </si>
  <si>
    <t>0.000394</t>
  </si>
  <si>
    <t>blues</t>
  </si>
  <si>
    <t>https://api.spotify.com/v1/tracks/0e3yhVeNaTfKIWQRw9U9sY</t>
  </si>
  <si>
    <t>spotify:track:0e3yhVeNaTfKIWQRw9U9sY</t>
  </si>
  <si>
    <t>Sleeping With The Past (Remastered with bonus tracks)</t>
  </si>
  <si>
    <t>Classic Blues</t>
  </si>
  <si>
    <t>https://api.spotify.com/v1/audio-analysis/0e3yhVeNaTfKIWQRw9U9sY</t>
  </si>
  <si>
    <t>0e3yhVeNaTfKIWQRw9U9sY</t>
  </si>
  <si>
    <t>Sacrifice</t>
  </si>
  <si>
    <t>0.00183</t>
  </si>
  <si>
    <t>0j12QW17dkUCCI7eOAiT1r</t>
  </si>
  <si>
    <t>0.0165</t>
  </si>
  <si>
    <t>5arFyak5nEhUf9kpsssXxT</t>
  </si>
  <si>
    <t>0.0839</t>
  </si>
  <si>
    <t>https://api.spotify.com/v1/tracks/4eHbdreAnSOrDDsFfc4Fpm</t>
  </si>
  <si>
    <t>spotify:track:4eHbdreAnSOrDDsFfc4Fpm</t>
  </si>
  <si>
    <t>The Bodyguard - Original Soundtrack Album</t>
  </si>
  <si>
    <t>https://api.spotify.com/v1/audio-analysis/4eHbdreAnSOrDDsFfc4Fpm</t>
  </si>
  <si>
    <t>4eHbdreAnSOrDDsFfc4Fpm</t>
  </si>
  <si>
    <t>I Will Always Love You</t>
  </si>
  <si>
    <t>5.62e-06</t>
  </si>
  <si>
    <t>7JVJlkNNobS0GSoy4tCS96</t>
  </si>
  <si>
    <t>-6.9</t>
  </si>
  <si>
    <t>https://api.spotify.com/v1/tracks/63CHa6rmamv9OsehkRD8oz</t>
  </si>
  <si>
    <t>spotify:track:63CHa6rmamv9OsehkRD8oz</t>
  </si>
  <si>
    <t>The Singles (Expanded)</t>
  </si>
  <si>
    <t>https://api.spotify.com/v1/audio-analysis/63CHa6rmamv9OsehkRD8oz</t>
  </si>
  <si>
    <t>63CHa6rmamv9OsehkRD8oz</t>
  </si>
  <si>
    <t>Against All Odds (Take a Look at Me Now) - 2016 Remaster</t>
  </si>
  <si>
    <t>7yZHLfxqiGPbSQLrVJljah</t>
  </si>
  <si>
    <t>-9.29</t>
  </si>
  <si>
    <t>Boyz II Men</t>
  </si>
  <si>
    <t>0.024</t>
  </si>
  <si>
    <t>https://api.spotify.com/v1/tracks/3l3xTXsUXeWlkPqzMs7mPD</t>
  </si>
  <si>
    <t>spotify:track:3l3xTXsUXeWlkPqzMs7mPD</t>
  </si>
  <si>
    <t>Cooleyhighharmony (Bonus Tracks Version)</t>
  </si>
  <si>
    <t>https://api.spotify.com/v1/audio-analysis/3l3xTXsUXeWlkPqzMs7mPD</t>
  </si>
  <si>
    <t>3l3xTXsUXeWlkPqzMs7mPD</t>
  </si>
  <si>
    <t>End Of The Road</t>
  </si>
  <si>
    <t>3jknvlUSe6D9Oyn2E3JBLO</t>
  </si>
  <si>
    <t>C√©line Dion</t>
  </si>
  <si>
    <t>https://api.spotify.com/v1/tracks/5kK1Iru9ogP3Iy1zsANU1n</t>
  </si>
  <si>
    <t>spotify:track:5kK1Iru9ogP3Iy1zsANU1n</t>
  </si>
  <si>
    <t>The Colour Of My Love</t>
  </si>
  <si>
    <t>https://api.spotify.com/v1/audio-analysis/5kK1Iru9ogP3Iy1zsANU1n</t>
  </si>
  <si>
    <t>5kK1Iru9ogP3Iy1zsANU1n</t>
  </si>
  <si>
    <t>The Power of Love</t>
  </si>
  <si>
    <t>6Po5zdKMIH5Xk99vjXyQpC</t>
  </si>
  <si>
    <t>80.61</t>
  </si>
  <si>
    <t>Roxette</t>
  </si>
  <si>
    <t>https://api.spotify.com/v1/tracks/6kvoHl80mfCVTv7XnZkjQn</t>
  </si>
  <si>
    <t>spotify:track:6kvoHl80mfCVTv7XnZkjQn</t>
  </si>
  <si>
    <t>It Must Have Been Love</t>
  </si>
  <si>
    <t>https://api.spotify.com/v1/audio-analysis/6kvoHl80mfCVTv7XnZkjQn</t>
  </si>
  <si>
    <t>6kvoHl80mfCVTv7XnZkjQn</t>
  </si>
  <si>
    <t>It Must Have Been Love - From the Film "Pretty Woman"</t>
  </si>
  <si>
    <t>6.14e-05</t>
  </si>
  <si>
    <t>3dWX1xFUaalRlaaVpe4EPF</t>
  </si>
  <si>
    <t>https://api.spotify.com/v1/tracks/3AoeaZs8dFemFJr3JdzOL0</t>
  </si>
  <si>
    <t>spotify:track:3AoeaZs8dFemFJr3JdzOL0</t>
  </si>
  <si>
    <t>HIStory - PAST, PRESENT AND FUTURE - BOOK I</t>
  </si>
  <si>
    <t>https://api.spotify.com/v1/audio-analysis/3AoeaZs8dFemFJr3JdzOL0</t>
  </si>
  <si>
    <t>3AoeaZs8dFemFJr3JdzOL0</t>
  </si>
  <si>
    <t>You Are Not Alone</t>
  </si>
  <si>
    <t>3OBhnTLrvkoEEETjFA3Qfk</t>
  </si>
  <si>
    <t>Lionel Richie</t>
  </si>
  <si>
    <t>https://api.spotify.com/v1/tracks/6HPLeKiNm92RbykX2BDTUB</t>
  </si>
  <si>
    <t>spotify:track:6HPLeKiNm92RbykX2BDTUB</t>
  </si>
  <si>
    <t>Can't Slow Down</t>
  </si>
  <si>
    <t>https://api.spotify.com/v1/audio-analysis/6HPLeKiNm92RbykX2BDTUB</t>
  </si>
  <si>
    <t>6HPLeKiNm92RbykX2BDTUB</t>
  </si>
  <si>
    <t>Stuck On You</t>
  </si>
  <si>
    <t>5.28e-05</t>
  </si>
  <si>
    <t>5U0NU0T1JKIJwgq2ZDWb2T</t>
  </si>
  <si>
    <t>0.0614</t>
  </si>
  <si>
    <t>Roberta Flack</t>
  </si>
  <si>
    <t>https://api.spotify.com/v1/tracks/3gsCAGsWr6pUm1Vy7CPPob</t>
  </si>
  <si>
    <t>spotify:track:3gsCAGsWr6pUm1Vy7CPPob</t>
  </si>
  <si>
    <t>Killing Me Softly</t>
  </si>
  <si>
    <t>https://api.spotify.com/v1/audio-analysis/3gsCAGsWr6pUm1Vy7CPPob</t>
  </si>
  <si>
    <t>3gsCAGsWr6pUm1Vy7CPPob</t>
  </si>
  <si>
    <t>Killing Me Softly With His Song</t>
  </si>
  <si>
    <t>4GxrvKiysSiDU1HHifh1PA</t>
  </si>
  <si>
    <t>https://api.spotify.com/v1/tracks/1lx8ddGT5wCD6W2xmLeRKG</t>
  </si>
  <si>
    <t>spotify:track:1lx8ddGT5wCD6W2xmLeRKG</t>
  </si>
  <si>
    <t>https://api.spotify.com/v1/audio-analysis/1lx8ddGT5wCD6W2xmLeRKG</t>
  </si>
  <si>
    <t>1lx8ddGT5wCD6W2xmLeRKG</t>
  </si>
  <si>
    <t>Saving All My Love for You</t>
  </si>
  <si>
    <t>4.22e-05</t>
  </si>
  <si>
    <t>2MH37enG6IPvNK5QFLyKes</t>
  </si>
  <si>
    <t>Enya</t>
  </si>
  <si>
    <t>0.0301</t>
  </si>
  <si>
    <t>https://api.spotify.com/v1/tracks/6FLwmdmW77N1Pxb1aWsZmO</t>
  </si>
  <si>
    <t>spotify:track:6FLwmdmW77N1Pxb1aWsZmO</t>
  </si>
  <si>
    <t>A Day Without Rain</t>
  </si>
  <si>
    <t>https://api.spotify.com/v1/audio-analysis/6FLwmdmW77N1Pxb1aWsZmO</t>
  </si>
  <si>
    <t>6FLwmdmW77N1Pxb1aWsZmO</t>
  </si>
  <si>
    <t>Only Time</t>
  </si>
  <si>
    <t>2ioso1tqQ5zABQDVYyiUi5</t>
  </si>
  <si>
    <t>118.01</t>
  </si>
  <si>
    <t>-6.12</t>
  </si>
  <si>
    <t>https://api.spotify.com/v1/tracks/3UhXPxLDFKCj1ZO6mmtV0a</t>
  </si>
  <si>
    <t>spotify:track:3UhXPxLDFKCj1ZO6mmtV0a</t>
  </si>
  <si>
    <t>Dreaming Out Loud</t>
  </si>
  <si>
    <t>https://api.spotify.com/v1/audio-analysis/3UhXPxLDFKCj1ZO6mmtV0a</t>
  </si>
  <si>
    <t>3UhXPxLDFKCj1ZO6mmtV0a</t>
  </si>
  <si>
    <t>Apologize</t>
  </si>
  <si>
    <t>2.14e-05</t>
  </si>
  <si>
    <t>5KIGFE6IFlVQPA4Vsl15nV</t>
  </si>
  <si>
    <t>https://api.spotify.com/v1/tracks/2FTZeRHQ4gRPViPMpWL9uX</t>
  </si>
  <si>
    <t>spotify:track:2FTZeRHQ4gRPViPMpWL9uX</t>
  </si>
  <si>
    <t>A New Day Has Come</t>
  </si>
  <si>
    <t>https://api.spotify.com/v1/audio-analysis/2FTZeRHQ4gRPViPMpWL9uX</t>
  </si>
  <si>
    <t>2FTZeRHQ4gRPViPMpWL9uX</t>
  </si>
  <si>
    <t>I'm Alive</t>
  </si>
  <si>
    <t>5.24e-06</t>
  </si>
  <si>
    <t>1YQ5V21NSxR9ZauQ3RUbfZ</t>
  </si>
  <si>
    <t>0.0247</t>
  </si>
  <si>
    <t>-7.11</t>
  </si>
  <si>
    <t>Seal</t>
  </si>
  <si>
    <t>https://api.spotify.com/v1/tracks/3YKptz29AsOlm7WAVnztBh</t>
  </si>
  <si>
    <t>spotify:track:3YKptz29AsOlm7WAVnztBh</t>
  </si>
  <si>
    <t>https://api.spotify.com/v1/audio-analysis/3YKptz29AsOlm7WAVnztBh</t>
  </si>
  <si>
    <t>3YKptz29AsOlm7WAVnztBh</t>
  </si>
  <si>
    <t>Kiss from a Rose</t>
  </si>
  <si>
    <t>1mSECpFqHRW6leG4idqTE1</t>
  </si>
  <si>
    <t>https://api.spotify.com/v1/tracks/6Hn9Uc1mMNfqChXU3txNke</t>
  </si>
  <si>
    <t>spotify:track:6Hn9Uc1mMNfqChXU3txNke</t>
  </si>
  <si>
    <t>https://api.spotify.com/v1/audio-analysis/6Hn9Uc1mMNfqChXU3txNke</t>
  </si>
  <si>
    <t>6Hn9Uc1mMNfqChXU3txNke</t>
  </si>
  <si>
    <t>Mad</t>
  </si>
  <si>
    <t>https://api.spotify.com/v1/tracks/5EQzuYfTZt7B2LqlvTF49l</t>
  </si>
  <si>
    <t>spotify:track:5EQzuYfTZt7B2LqlvTF49l</t>
  </si>
  <si>
    <t>Falling into You</t>
  </si>
  <si>
    <t>https://api.spotify.com/v1/audio-analysis/5EQzuYfTZt7B2LqlvTF49l</t>
  </si>
  <si>
    <t>5EQzuYfTZt7B2LqlvTF49l</t>
  </si>
  <si>
    <t>It's All Coming Back to Me Now</t>
  </si>
  <si>
    <t>2vk0n8aeQSO74VtQBbNDPR</t>
  </si>
  <si>
    <t>https://api.spotify.com/v1/tracks/28UMiBhn383n9S7GL4tsxD</t>
  </si>
  <si>
    <t>spotify:track:28UMiBhn383n9S7GL4tsxD</t>
  </si>
  <si>
    <t>https://api.spotify.com/v1/audio-analysis/28UMiBhn383n9S7GL4tsxD</t>
  </si>
  <si>
    <t>28UMiBhn383n9S7GL4tsxD</t>
  </si>
  <si>
    <t>Because You Loved Me (Theme from "Up Close and Personal")</t>
  </si>
  <si>
    <t>-9.7</t>
  </si>
  <si>
    <t>Marvin Gaye</t>
  </si>
  <si>
    <t>https://api.spotify.com/v1/tracks/3VZmChrnVW8JK6ano4gSED</t>
  </si>
  <si>
    <t>spotify:track:3VZmChrnVW8JK6ano4gSED</t>
  </si>
  <si>
    <t>Midnight Love</t>
  </si>
  <si>
    <t>https://api.spotify.com/v1/audio-analysis/3VZmChrnVW8JK6ano4gSED</t>
  </si>
  <si>
    <t>3VZmChrnVW8JK6ano4gSED</t>
  </si>
  <si>
    <t>Sexual Healing</t>
  </si>
  <si>
    <t>0.000122</t>
  </si>
  <si>
    <t>3gPlX9Zs3tXZZKNCyoOkSm</t>
  </si>
  <si>
    <t>K-Ci &amp; JoJo</t>
  </si>
  <si>
    <t>https://api.spotify.com/v1/tracks/5GorFaKkP2mLREQvhSblIg</t>
  </si>
  <si>
    <t>spotify:track:5GorFaKkP2mLREQvhSblIg</t>
  </si>
  <si>
    <t>Love Always</t>
  </si>
  <si>
    <t>https://api.spotify.com/v1/audio-analysis/5GorFaKkP2mLREQvhSblIg</t>
  </si>
  <si>
    <t>5GorFaKkP2mLREQvhSblIg</t>
  </si>
  <si>
    <t>All My Life</t>
  </si>
  <si>
    <t>3.91e-06</t>
  </si>
  <si>
    <t>5cmtcMzuUZq8vxS5T7NVPu</t>
  </si>
  <si>
    <t>-9.87</t>
  </si>
  <si>
    <t>James Blunt</t>
  </si>
  <si>
    <t>https://api.spotify.com/v1/tracks/0vg4WnUWvze6pBOJDTq99k</t>
  </si>
  <si>
    <t>spotify:track:0vg4WnUWvze6pBOJDTq99k</t>
  </si>
  <si>
    <t>Back to Bedlam</t>
  </si>
  <si>
    <t>https://api.spotify.com/v1/audio-analysis/0vg4WnUWvze6pBOJDTq99k</t>
  </si>
  <si>
    <t>0vg4WnUWvze6pBOJDTq99k</t>
  </si>
  <si>
    <t>You're Beautiful</t>
  </si>
  <si>
    <t>1.76e-05</t>
  </si>
  <si>
    <t>1ekaxA9Q5GzUPCepx4wzMF</t>
  </si>
  <si>
    <t>Destiny's Child</t>
  </si>
  <si>
    <t>https://api.spotify.com/v1/tracks/7H6ev70Weq6DdpZyyTmUXk</t>
  </si>
  <si>
    <t>spotify:track:7H6ev70Weq6DdpZyyTmUXk</t>
  </si>
  <si>
    <t>The Writing's On The Wall</t>
  </si>
  <si>
    <t>https://api.spotify.com/v1/audio-analysis/7H6ev70Weq6DdpZyyTmUXk</t>
  </si>
  <si>
    <t>7H6ev70Weq6DdpZyyTmUXk</t>
  </si>
  <si>
    <t>Say My Name</t>
  </si>
  <si>
    <t>283NWqNsCA9GwVHrJk59CG</t>
  </si>
  <si>
    <t>Justin Bieber, Ludacris</t>
  </si>
  <si>
    <t>https://api.spotify.com/v1/tracks/6epn3r7S14KUqlReYr77hA</t>
  </si>
  <si>
    <t>spotify:track:6epn3r7S14KUqlReYr77hA</t>
  </si>
  <si>
    <t>My World 2.0</t>
  </si>
  <si>
    <t>https://api.spotify.com/v1/audio-analysis/6epn3r7S14KUqlReYr77hA</t>
  </si>
  <si>
    <t>6epn3r7S14KUqlReYr77hA</t>
  </si>
  <si>
    <t>Baby</t>
  </si>
  <si>
    <t>3BmcYMh0KYsimWL6p2gPa9</t>
  </si>
  <si>
    <t>https://api.spotify.com/v1/tracks/6jG2YzhxptolDzLHTGLt7S</t>
  </si>
  <si>
    <t>spotify:track:6jG2YzhxptolDzLHTGLt7S</t>
  </si>
  <si>
    <t>BEYONC√â [Platinum Edition]</t>
  </si>
  <si>
    <t>https://api.spotify.com/v1/audio-analysis/6jG2YzhxptolDzLHTGLt7S</t>
  </si>
  <si>
    <t>6jG2YzhxptolDzLHTGLt7S</t>
  </si>
  <si>
    <t>Drunk in Love (feat. Jay-Z)</t>
  </si>
  <si>
    <t>2UJwKSBUz6rtW4QLK74kQu</t>
  </si>
  <si>
    <t>0.00972</t>
  </si>
  <si>
    <t>Jay Sean, Lil Wayne</t>
  </si>
  <si>
    <t>https://api.spotify.com/v1/tracks/6cmm1LMvZdB5zsCwX5BjqE</t>
  </si>
  <si>
    <t>spotify:track:6cmm1LMvZdB5zsCwX5BjqE</t>
  </si>
  <si>
    <t>All Or Nothing</t>
  </si>
  <si>
    <t>https://api.spotify.com/v1/audio-analysis/6cmm1LMvZdB5zsCwX5BjqE</t>
  </si>
  <si>
    <t>6cmm1LMvZdB5zsCwX5BjqE</t>
  </si>
  <si>
    <t>Down</t>
  </si>
  <si>
    <t>2H66HrVR1UeMlAoSXpxUnk</t>
  </si>
  <si>
    <t>0.0101</t>
  </si>
  <si>
    <t>Eminem, Rihanna</t>
  </si>
  <si>
    <t>https://api.spotify.com/v1/tracks/15JINEqzVMv3SvJTAXAKED</t>
  </si>
  <si>
    <t>spotify:track:15JINEqzVMv3SvJTAXAKED</t>
  </si>
  <si>
    <t>Recovery</t>
  </si>
  <si>
    <t>https://api.spotify.com/v1/audio-analysis/15JINEqzVMv3SvJTAXAKED</t>
  </si>
  <si>
    <t>15JINEqzVMv3SvJTAXAKED</t>
  </si>
  <si>
    <t>Love The Way You Lie</t>
  </si>
  <si>
    <t>47BiFcV59TQi2s9SkBo2pb</t>
  </si>
  <si>
    <t>-5.38</t>
  </si>
  <si>
    <t>Rihanna, Ne-Yo</t>
  </si>
  <si>
    <t>https://api.spotify.com/v1/tracks/7iu0WYLdo4yksKf3seaxzI</t>
  </si>
  <si>
    <t>spotify:track:7iu0WYLdo4yksKf3seaxzI</t>
  </si>
  <si>
    <t>https://api.spotify.com/v1/audio-analysis/7iu0WYLdo4yksKf3seaxzI</t>
  </si>
  <si>
    <t>7iu0WYLdo4yksKf3seaxzI</t>
  </si>
  <si>
    <t>Hate That I Love You</t>
  </si>
  <si>
    <t>-2.87</t>
  </si>
  <si>
    <t>Eminem, Lil Wayne</t>
  </si>
  <si>
    <t>https://api.spotify.com/v1/tracks/7bHT9osSq1rwT2yaImzqCi</t>
  </si>
  <si>
    <t>spotify:track:7bHT9osSq1rwT2yaImzqCi</t>
  </si>
  <si>
    <t>https://api.spotify.com/v1/audio-analysis/7bHT9osSq1rwT2yaImzqCi</t>
  </si>
  <si>
    <t>7bHT9osSq1rwT2yaImzqCi</t>
  </si>
  <si>
    <t>No Love</t>
  </si>
  <si>
    <t>Lil Wayne, Bruno Mars</t>
  </si>
  <si>
    <t>https://api.spotify.com/v1/tracks/5hUYsaOyMY32yjRXeuQwGj</t>
  </si>
  <si>
    <t>spotify:track:5hUYsaOyMY32yjRXeuQwGj</t>
  </si>
  <si>
    <t>Tha Carter IV (Complete Edition)</t>
  </si>
  <si>
    <t>https://api.spotify.com/v1/audio-analysis/5hUYsaOyMY32yjRXeuQwGj</t>
  </si>
  <si>
    <t>5hUYsaOyMY32yjRXeuQwGj</t>
  </si>
  <si>
    <t>Mirror</t>
  </si>
  <si>
    <t>0pFydyko4Iw450abXlDPpp</t>
  </si>
  <si>
    <t>Tracy Chapman</t>
  </si>
  <si>
    <t>https://api.spotify.com/v1/tracks/2DjWsDGgL1xNbhnr7f6t5F</t>
  </si>
  <si>
    <t>spotify:track:2DjWsDGgL1xNbhnr7f6t5F</t>
  </si>
  <si>
    <t>https://api.spotify.com/v1/audio-analysis/2DjWsDGgL1xNbhnr7f6t5F</t>
  </si>
  <si>
    <t>2DjWsDGgL1xNbhnr7f6t5F</t>
  </si>
  <si>
    <t>Baby Can I Hold You</t>
  </si>
  <si>
    <t>6hmmX5UP4rIvOpGSaPerV8</t>
  </si>
  <si>
    <t>Tamia</t>
  </si>
  <si>
    <t>https://api.spotify.com/v1/tracks/3c6afiysmB7OnxQzzSqRfD</t>
  </si>
  <si>
    <t>spotify:track:3c6afiysmB7OnxQzzSqRfD</t>
  </si>
  <si>
    <t>https://api.spotify.com/v1/audio-analysis/3c6afiysmB7OnxQzzSqRfD</t>
  </si>
  <si>
    <t>3c6afiysmB7OnxQzzSqRfD</t>
  </si>
  <si>
    <t>So Into You</t>
  </si>
  <si>
    <t>3PFEg7sWLEMuS3nyTIguEV</t>
  </si>
  <si>
    <t>0.0665</t>
  </si>
  <si>
    <t>Eminem, Dido</t>
  </si>
  <si>
    <t>0.238</t>
  </si>
  <si>
    <t>https://api.spotify.com/v1/tracks/3UmaczJpikHgJFyBTAJVoz</t>
  </si>
  <si>
    <t>spotify:track:3UmaczJpikHgJFyBTAJVoz</t>
  </si>
  <si>
    <t>The Marshall Mathers LP</t>
  </si>
  <si>
    <t>https://api.spotify.com/v1/audio-analysis/3UmaczJpikHgJFyBTAJVoz</t>
  </si>
  <si>
    <t>3UmaczJpikHgJFyBTAJVoz</t>
  </si>
  <si>
    <t>Stan</t>
  </si>
  <si>
    <t>6t7956yu5zYf5A829XRiHC</t>
  </si>
  <si>
    <t>https://api.spotify.com/v1/tracks/4EI8VuxUuIHKfafU72emqz</t>
  </si>
  <si>
    <t>spotify:track:4EI8VuxUuIHKfafU72emqz</t>
  </si>
  <si>
    <t>The Emancipation of Mimi</t>
  </si>
  <si>
    <t>https://api.spotify.com/v1/audio-analysis/4EI8VuxUuIHKfafU72emqz</t>
  </si>
  <si>
    <t>4EI8VuxUuIHKfafU72emqz</t>
  </si>
  <si>
    <t>We Belong Together</t>
  </si>
  <si>
    <t>6ek7Y68IlB6CoFkkc2gEQb</t>
  </si>
  <si>
    <t>George Benson</t>
  </si>
  <si>
    <t>https://api.spotify.com/v1/tracks/0vB4Vd6PtkJSEnWsmqATnZ</t>
  </si>
  <si>
    <t>spotify:track:0vB4Vd6PtkJSEnWsmqATnZ</t>
  </si>
  <si>
    <t>20/20</t>
  </si>
  <si>
    <t>https://api.spotify.com/v1/audio-analysis/0vB4Vd6PtkJSEnWsmqATnZ</t>
  </si>
  <si>
    <t>0vB4Vd6PtkJSEnWsmqATnZ</t>
  </si>
  <si>
    <t>Nothing's Gonna Change My Love for You</t>
  </si>
  <si>
    <t>23HV3deh17hOFNg3OKmGnW</t>
  </si>
  <si>
    <t>Fantasia</t>
  </si>
  <si>
    <t>https://api.spotify.com/v1/tracks/4iuNZTcvT9diFySSzVsnVS</t>
  </si>
  <si>
    <t>spotify:track:4iuNZTcvT9diFySSzVsnVS</t>
  </si>
  <si>
    <t>https://api.spotify.com/v1/audio-analysis/4iuNZTcvT9diFySSzVsnVS</t>
  </si>
  <si>
    <t>4iuNZTcvT9diFySSzVsnVS</t>
  </si>
  <si>
    <t>When I See U</t>
  </si>
  <si>
    <t>7.92e-05</t>
  </si>
  <si>
    <t>42DybH3gl3WcfXAQySOEiX</t>
  </si>
  <si>
    <t>-7.32</t>
  </si>
  <si>
    <t>0.063</t>
  </si>
  <si>
    <t>https://api.spotify.com/v1/tracks/1NCuYqMc8hKMb4cpNTcJbD</t>
  </si>
  <si>
    <t>spotify:track:1NCuYqMc8hKMb4cpNTcJbD</t>
  </si>
  <si>
    <t>...But Seriously (Deluxe Edition)</t>
  </si>
  <si>
    <t>https://api.spotify.com/v1/audio-analysis/1NCuYqMc8hKMb4cpNTcJbD</t>
  </si>
  <si>
    <t>1NCuYqMc8hKMb4cpNTcJbD</t>
  </si>
  <si>
    <t>Another Day in Paradise - 2016 Remaster</t>
  </si>
  <si>
    <t>0.00269</t>
  </si>
  <si>
    <t>2sS9l8uc3d3UsK9unJyrD8</t>
  </si>
  <si>
    <t>Ben E. King</t>
  </si>
  <si>
    <t>https://api.spotify.com/v1/tracks/3SdTKo2uVsxFblQjpScoHy</t>
  </si>
  <si>
    <t>spotify:track:3SdTKo2uVsxFblQjpScoHy</t>
  </si>
  <si>
    <t>Don't Play That Song (Mono)</t>
  </si>
  <si>
    <t>https://api.spotify.com/v1/audio-analysis/3SdTKo2uVsxFblQjpScoHy</t>
  </si>
  <si>
    <t>3SdTKo2uVsxFblQjpScoHy</t>
  </si>
  <si>
    <t>Stand By Me</t>
  </si>
  <si>
    <t>18Fj7coTfyMi7mEPXIweN7</t>
  </si>
  <si>
    <t>Sean Kingston</t>
  </si>
  <si>
    <t>https://api.spotify.com/v1/tracks/1hGy2eLcmC8eKx7qr1tOqx</t>
  </si>
  <si>
    <t>spotify:track:1hGy2eLcmC8eKx7qr1tOqx</t>
  </si>
  <si>
    <t>Beautiful Girls</t>
  </si>
  <si>
    <t>https://api.spotify.com/v1/audio-analysis/1hGy2eLcmC8eKx7qr1tOqx</t>
  </si>
  <si>
    <t>1hGy2eLcmC8eKx7qr1tOqx</t>
  </si>
  <si>
    <t>71clfVkkopYLrgweVj2cow</t>
  </si>
  <si>
    <t>Lynyrd Skynyrd</t>
  </si>
  <si>
    <t>0.0255</t>
  </si>
  <si>
    <t>https://api.spotify.com/v1/tracks/7e89621JPkKaeDSTQ3avtg</t>
  </si>
  <si>
    <t>spotify:track:7e89621JPkKaeDSTQ3avtg</t>
  </si>
  <si>
    <t>Second Helping (Expanded Edition)</t>
  </si>
  <si>
    <t>Southern Rock</t>
  </si>
  <si>
    <t>https://api.spotify.com/v1/audio-analysis/7e89621JPkKaeDSTQ3avtg</t>
  </si>
  <si>
    <t>7e89621JPkKaeDSTQ3avtg</t>
  </si>
  <si>
    <t>Sweet Home Alabama</t>
  </si>
  <si>
    <t>54V1ljNtyzAm053oJqi0SH</t>
  </si>
  <si>
    <t>southern</t>
  </si>
  <si>
    <t>37i9dQZF1DXbDjX0hus3Iu</t>
  </si>
  <si>
    <t>-8.21</t>
  </si>
  <si>
    <t>0.0924</t>
  </si>
  <si>
    <t>https://api.spotify.com/v1/tracks/5EWPGh7jbTNO2wakv8LjUI</t>
  </si>
  <si>
    <t>spotify:track:5EWPGh7jbTNO2wakv8LjUI</t>
  </si>
  <si>
    <t>Pronounced' Leh-'Nerd 'Skin-'Nerd</t>
  </si>
  <si>
    <t>https://api.spotify.com/v1/audio-analysis/5EWPGh7jbTNO2wakv8LjUI</t>
  </si>
  <si>
    <t>5EWPGh7jbTNO2wakv8LjUI</t>
  </si>
  <si>
    <t>Free Bird</t>
  </si>
  <si>
    <t>9.69e-05</t>
  </si>
  <si>
    <t>6DExt1eX4lflLacVjHHbOs</t>
  </si>
  <si>
    <t>0.0742</t>
  </si>
  <si>
    <t>120.47</t>
  </si>
  <si>
    <t>https://api.spotify.com/v1/tracks/1ju7EsSGvRybSNEsRvc7qY</t>
  </si>
  <si>
    <t>spotify:track:1ju7EsSGvRybSNEsRvc7qY</t>
  </si>
  <si>
    <t>https://api.spotify.com/v1/audio-analysis/1ju7EsSGvRybSNEsRvc7qY</t>
  </si>
  <si>
    <t>1ju7EsSGvRybSNEsRvc7qY</t>
  </si>
  <si>
    <t>Simple Man</t>
  </si>
  <si>
    <t>0.000119</t>
  </si>
  <si>
    <t>folk</t>
  </si>
  <si>
    <t>Bon Iver</t>
  </si>
  <si>
    <t>https://api.spotify.com/v1/tracks/6khKJVbTxzfhbGfHMtyOM8</t>
  </si>
  <si>
    <t>spotify:track:6khKJVbTxzfhbGfHMtyOM8</t>
  </si>
  <si>
    <t>S P E Y S I D E</t>
  </si>
  <si>
    <t>Indie Folk</t>
  </si>
  <si>
    <t>https://api.spotify.com/v1/audio-analysis/6khKJVbTxzfhbGfHMtyOM8</t>
  </si>
  <si>
    <t>6khKJVbTxzfhbGfHMtyOM8</t>
  </si>
  <si>
    <t>5VFsihsTprFnqRHyrNxMPs</t>
  </si>
  <si>
    <t>37i9dQZF1EIfjV34mXjFem</t>
  </si>
  <si>
    <t>Mt. Joy</t>
  </si>
  <si>
    <t>https://api.spotify.com/v1/tracks/13xVnZKZDEGbmXkzBFpJDD</t>
  </si>
  <si>
    <t>spotify:track:13xVnZKZDEGbmXkzBFpJDD</t>
  </si>
  <si>
    <t>https://api.spotify.com/v1/audio-analysis/13xVnZKZDEGbmXkzBFpJDD</t>
  </si>
  <si>
    <t>13xVnZKZDEGbmXkzBFpJDD</t>
  </si>
  <si>
    <t>Silver Lining</t>
  </si>
  <si>
    <t>7MvVdSQGWm8z82TZrR4G2z</t>
  </si>
  <si>
    <t>0.000921</t>
  </si>
  <si>
    <t>0.094</t>
  </si>
  <si>
    <t>The Cinematic Orchestra, Patrick Watson</t>
  </si>
  <si>
    <t>https://api.spotify.com/v1/tracks/54KFQB6N4pn926IUUYZGzK</t>
  </si>
  <si>
    <t>spotify:track:54KFQB6N4pn926IUUYZGzK</t>
  </si>
  <si>
    <t>Ma Fleur</t>
  </si>
  <si>
    <t>https://api.spotify.com/v1/audio-analysis/54KFQB6N4pn926IUUYZGzK</t>
  </si>
  <si>
    <t>54KFQB6N4pn926IUUYZGzK</t>
  </si>
  <si>
    <t>To Build A Home</t>
  </si>
  <si>
    <t>5cPHT4yMCfETLRYAoBFcOZ</t>
  </si>
  <si>
    <t>0.885</t>
  </si>
  <si>
    <t>0.485</t>
  </si>
  <si>
    <t>https://api.spotify.com/v1/tracks/4ZEw5uS9RY6M6lEjsu7w8Q</t>
  </si>
  <si>
    <t>spotify:track:4ZEw5uS9RY6M6lEjsu7w8Q</t>
  </si>
  <si>
    <t>My Home</t>
  </si>
  <si>
    <t>https://api.spotify.com/v1/audio-analysis/4ZEw5uS9RY6M6lEjsu7w8Q</t>
  </si>
  <si>
    <t>4ZEw5uS9RY6M6lEjsu7w8Q</t>
  </si>
  <si>
    <t>6PXZreuCbDw0VlSBrPJ1ND</t>
  </si>
  <si>
    <t>0.196</t>
  </si>
  <si>
    <t>The Lumineers</t>
  </si>
  <si>
    <t>https://api.spotify.com/v1/tracks/4wG82w1L31yQhgGiWt6gIb</t>
  </si>
  <si>
    <t>spotify:track:4wG82w1L31yQhgGiWt6gIb</t>
  </si>
  <si>
    <t>https://api.spotify.com/v1/audio-analysis/4wG82w1L31yQhgGiWt6gIb</t>
  </si>
  <si>
    <t>4wG82w1L31yQhgGiWt6gIb</t>
  </si>
  <si>
    <t>Stubborn Love</t>
  </si>
  <si>
    <t>2MTEiVNgRgIvVIrJAqHNBu</t>
  </si>
  <si>
    <t>141.8</t>
  </si>
  <si>
    <t>Wild Rivers</t>
  </si>
  <si>
    <t>https://api.spotify.com/v1/tracks/42UaitnwvuKqNcD5Oa2HlD</t>
  </si>
  <si>
    <t>spotify:track:42UaitnwvuKqNcD5Oa2HlD</t>
  </si>
  <si>
    <t>Songs to Break Up To</t>
  </si>
  <si>
    <t>https://api.spotify.com/v1/audio-analysis/42UaitnwvuKqNcD5Oa2HlD</t>
  </si>
  <si>
    <t>42UaitnwvuKqNcD5Oa2HlD</t>
  </si>
  <si>
    <t>Thinking 'Bout Love</t>
  </si>
  <si>
    <t>5OVxLrOoXXD2HSKkQNqhQW</t>
  </si>
  <si>
    <t>129.9</t>
  </si>
  <si>
    <t>Chance Pe√±a</t>
  </si>
  <si>
    <t>https://api.spotify.com/v1/tracks/70eyG7pqKozUvKPKXLXmpI</t>
  </si>
  <si>
    <t>spotify:track:70eyG7pqKozUvKPKXLXmpI</t>
  </si>
  <si>
    <t>Ever-Shifting, Continual Blossoming</t>
  </si>
  <si>
    <t>https://api.spotify.com/v1/audio-analysis/70eyG7pqKozUvKPKXLXmpI</t>
  </si>
  <si>
    <t>70eyG7pqKozUvKPKXLXmpI</t>
  </si>
  <si>
    <t>i am not who i was</t>
  </si>
  <si>
    <t>2jHVzEpvZ8gV5zn5IywmRB</t>
  </si>
  <si>
    <t>0.0711</t>
  </si>
  <si>
    <t>https://api.spotify.com/v1/tracks/2kyL1eP0mluFHYlAwKySzj</t>
  </si>
  <si>
    <t>spotify:track:2kyL1eP0mluFHYlAwKySzj</t>
  </si>
  <si>
    <t>SABLE,</t>
  </si>
  <si>
    <t>https://api.spotify.com/v1/audio-analysis/2kyL1eP0mluFHYlAwKySzj</t>
  </si>
  <si>
    <t>2kyL1eP0mluFHYlAwKySzj</t>
  </si>
  <si>
    <t>THINGS BEHIND THINGS BEHIND THINGS</t>
  </si>
  <si>
    <t>2Cwxsws0uZcu61gliYLOEm</t>
  </si>
  <si>
    <t>https://api.spotify.com/v1/tracks/07UFnnK3uPIuKv5Rs9TmXl</t>
  </si>
  <si>
    <t>spotify:track:07UFnnK3uPIuKv5Rs9TmXl</t>
  </si>
  <si>
    <t>https://api.spotify.com/v1/audio-analysis/07UFnnK3uPIuKv5Rs9TmXl</t>
  </si>
  <si>
    <t>07UFnnK3uPIuKv5Rs9TmXl</t>
  </si>
  <si>
    <t>Orange Juice</t>
  </si>
  <si>
    <t>6.84e-06</t>
  </si>
  <si>
    <t>Richy Mitch &amp; The Coal Miners</t>
  </si>
  <si>
    <t>0.0721</t>
  </si>
  <si>
    <t>https://api.spotify.com/v1/tracks/6me7F0aaZjwDo6RJ5MrfBD</t>
  </si>
  <si>
    <t>spotify:track:6me7F0aaZjwDo6RJ5MrfBD</t>
  </si>
  <si>
    <t>RMCM</t>
  </si>
  <si>
    <t>https://api.spotify.com/v1/audio-analysis/6me7F0aaZjwDo6RJ5MrfBD</t>
  </si>
  <si>
    <t>6me7F0aaZjwDo6RJ5MrfBD</t>
  </si>
  <si>
    <t>Evergreen</t>
  </si>
  <si>
    <t>0.00416</t>
  </si>
  <si>
    <t>2weOG4ZiOjfxiuFMsHm9JQ</t>
  </si>
  <si>
    <t>Adrianne Lenker</t>
  </si>
  <si>
    <t>https://api.spotify.com/v1/tracks/4PwWESSlTwzvw9B7bmtTLS</t>
  </si>
  <si>
    <t>spotify:track:4PwWESSlTwzvw9B7bmtTLS</t>
  </si>
  <si>
    <t>songs</t>
  </si>
  <si>
    <t>https://api.spotify.com/v1/audio-analysis/4PwWESSlTwzvw9B7bmtTLS</t>
  </si>
  <si>
    <t>4PwWESSlTwzvw9B7bmtTLS</t>
  </si>
  <si>
    <t>anything</t>
  </si>
  <si>
    <t>1.93e-05</t>
  </si>
  <si>
    <t>2Qt8Z1LB3Fsrf6nhBNsvUJ</t>
  </si>
  <si>
    <t>https://api.spotify.com/v1/tracks/5TgEJ62DOzBpGxZ7WRsrqb</t>
  </si>
  <si>
    <t>spotify:track:5TgEJ62DOzBpGxZ7WRsrqb</t>
  </si>
  <si>
    <t>Hozier (Expanded Edition)</t>
  </si>
  <si>
    <t>https://api.spotify.com/v1/audio-analysis/5TgEJ62DOzBpGxZ7WRsrqb</t>
  </si>
  <si>
    <t>5TgEJ62DOzBpGxZ7WRsrqb</t>
  </si>
  <si>
    <t>Work Song</t>
  </si>
  <si>
    <t>4Pv7m8D82A1Xun7xNCKZjJ</t>
  </si>
  <si>
    <t>Patrick Watson</t>
  </si>
  <si>
    <t>https://api.spotify.com/v1/tracks/44A0o4jA8F2ZF03Zacwlwx</t>
  </si>
  <si>
    <t>spotify:track:44A0o4jA8F2ZF03Zacwlwx</t>
  </si>
  <si>
    <t>Je te laisserai des mots</t>
  </si>
  <si>
    <t>https://api.spotify.com/v1/audio-analysis/44A0o4jA8F2ZF03Zacwlwx</t>
  </si>
  <si>
    <t>44A0o4jA8F2ZF03Zacwlwx</t>
  </si>
  <si>
    <t>1R6MIxBiQensgzDlDes0yT</t>
  </si>
  <si>
    <t>Michael Marcagi</t>
  </si>
  <si>
    <t>https://api.spotify.com/v1/tracks/3Pbp7cUCx4d3OAkZSCoNvn</t>
  </si>
  <si>
    <t>spotify:track:3Pbp7cUCx4d3OAkZSCoNvn</t>
  </si>
  <si>
    <t>Scared To Start</t>
  </si>
  <si>
    <t>https://api.spotify.com/v1/audio-analysis/3Pbp7cUCx4d3OAkZSCoNvn</t>
  </si>
  <si>
    <t>3Pbp7cUCx4d3OAkZSCoNvn</t>
  </si>
  <si>
    <t>2.75e-06</t>
  </si>
  <si>
    <t>3NpeIWhWsxU7d3XL5KEh39</t>
  </si>
  <si>
    <t>Gregory Alan Isakov</t>
  </si>
  <si>
    <t>https://api.spotify.com/v1/tracks/3Kj2EWpIBnvETsYq4cq0IH</t>
  </si>
  <si>
    <t>spotify:track:3Kj2EWpIBnvETsYq4cq0IH</t>
  </si>
  <si>
    <t>This Empty Northern Hemisphere</t>
  </si>
  <si>
    <t>https://api.spotify.com/v1/audio-analysis/3Kj2EWpIBnvETsYq4cq0IH</t>
  </si>
  <si>
    <t>3Kj2EWpIBnvETsYq4cq0IH</t>
  </si>
  <si>
    <t>Big Black Car</t>
  </si>
  <si>
    <t>0.00102</t>
  </si>
  <si>
    <t>06UoTVgpPiGnRPGjowrG3g</t>
  </si>
  <si>
    <t>0.909</t>
  </si>
  <si>
    <t>https://api.spotify.com/v1/tracks/4Skkx52Dh8yo4G1ijAEGs3</t>
  </si>
  <si>
    <t>spotify:track:4Skkx52Dh8yo4G1ijAEGs3</t>
  </si>
  <si>
    <t>https://api.spotify.com/v1/audio-analysis/4Skkx52Dh8yo4G1ijAEGs3</t>
  </si>
  <si>
    <t>4Skkx52Dh8yo4G1ijAEGs3</t>
  </si>
  <si>
    <t>03jkbwbhopEYNhcbwGwIt8</t>
  </si>
  <si>
    <t>Henrik</t>
  </si>
  <si>
    <t>https://api.spotify.com/v1/tracks/4gdDN4A202OO2u7UDhoMjM</t>
  </si>
  <si>
    <t>spotify:track:4gdDN4A202OO2u7UDhoMjM</t>
  </si>
  <si>
    <t>Turn out fine</t>
  </si>
  <si>
    <t>https://api.spotify.com/v1/audio-analysis/4gdDN4A202OO2u7UDhoMjM</t>
  </si>
  <si>
    <t>4gdDN4A202OO2u7UDhoMjM</t>
  </si>
  <si>
    <t>4LPDuEPmWtMfOj8argxDrI</t>
  </si>
  <si>
    <t>0.397</t>
  </si>
  <si>
    <t>https://api.spotify.com/v1/tracks/2tnSBYJyGGYD0Gbn07tTHZ</t>
  </si>
  <si>
    <t>spotify:track:2tnSBYJyGGYD0Gbn07tTHZ</t>
  </si>
  <si>
    <t>Rockwood</t>
  </si>
  <si>
    <t>https://api.spotify.com/v1/audio-analysis/2tnSBYJyGGYD0Gbn07tTHZ</t>
  </si>
  <si>
    <t>2tnSBYJyGGYD0Gbn07tTHZ</t>
  </si>
  <si>
    <t>Good To Be</t>
  </si>
  <si>
    <t>3Kb9vAa1RBNXEQltJpPxwE</t>
  </si>
  <si>
    <t>https://api.spotify.com/v1/tracks/0jkzxxDG8z3Y5OmfNl1VM0</t>
  </si>
  <si>
    <t>spotify:track:0jkzxxDG8z3Y5OmfNl1VM0</t>
  </si>
  <si>
    <t>https://api.spotify.com/v1/audio-analysis/0jkzxxDG8z3Y5OmfNl1VM0</t>
  </si>
  <si>
    <t>0jkzxxDG8z3Y5OmfNl1VM0</t>
  </si>
  <si>
    <t>Homesick</t>
  </si>
  <si>
    <t>1.06e-05</t>
  </si>
  <si>
    <t>https://api.spotify.com/v1/tracks/3UN5BBwxoHbwFGxWNvaEj7</t>
  </si>
  <si>
    <t>spotify:track:3UN5BBwxoHbwFGxWNvaEj7</t>
  </si>
  <si>
    <t>https://api.spotify.com/v1/audio-analysis/3UN5BBwxoHbwFGxWNvaEj7</t>
  </si>
  <si>
    <t>3UN5BBwxoHbwFGxWNvaEj7</t>
  </si>
  <si>
    <t>The Mountain Is You</t>
  </si>
  <si>
    <t>0.0468</t>
  </si>
  <si>
    <t>https://api.spotify.com/v1/tracks/2RiBogNRfulkNf7fVbPOrJ</t>
  </si>
  <si>
    <t>spotify:track:2RiBogNRfulkNf7fVbPOrJ</t>
  </si>
  <si>
    <t>Nation of Two</t>
  </si>
  <si>
    <t>https://api.spotify.com/v1/audio-analysis/2RiBogNRfulkNf7fVbPOrJ</t>
  </si>
  <si>
    <t>2RiBogNRfulkNf7fVbPOrJ</t>
  </si>
  <si>
    <t>Saturday Sun</t>
  </si>
  <si>
    <t>5f6Eu9QtujgGggq5qbbycV</t>
  </si>
  <si>
    <t>Ocie Elliott</t>
  </si>
  <si>
    <t>https://api.spotify.com/v1/tracks/4Vutl1Y7OJOBwIqVISNmzL</t>
  </si>
  <si>
    <t>spotify:track:4Vutl1Y7OJOBwIqVISNmzL</t>
  </si>
  <si>
    <t>EP</t>
  </si>
  <si>
    <t>https://api.spotify.com/v1/audio-analysis/4Vutl1Y7OJOBwIqVISNmzL</t>
  </si>
  <si>
    <t>4Vutl1Y7OJOBwIqVISNmzL</t>
  </si>
  <si>
    <t>Down by the Water</t>
  </si>
  <si>
    <t>1ewyUvC97wRYnvK61UssDm</t>
  </si>
  <si>
    <t>0.0935</t>
  </si>
  <si>
    <t>Jim Croce</t>
  </si>
  <si>
    <t>https://api.spotify.com/v1/tracks/1y4fbtHSJLqpaQXduQw88e</t>
  </si>
  <si>
    <t>spotify:track:1y4fbtHSJLqpaQXduQw88e</t>
  </si>
  <si>
    <t>You Don't Mess Around With Jim</t>
  </si>
  <si>
    <t>American Folk</t>
  </si>
  <si>
    <t>https://api.spotify.com/v1/audio-analysis/1y4fbtHSJLqpaQXduQw88e</t>
  </si>
  <si>
    <t>1y4fbtHSJLqpaQXduQw88e</t>
  </si>
  <si>
    <t>Walkin‚Äô Back to Georgia</t>
  </si>
  <si>
    <t>0.000619</t>
  </si>
  <si>
    <t>0dZaHQ0OJlIyVrEuvnXmS9</t>
  </si>
  <si>
    <t>american</t>
  </si>
  <si>
    <t>37i9dQZF1EIf7CddUmF8UH</t>
  </si>
  <si>
    <t>Colter Wall</t>
  </si>
  <si>
    <t>https://api.spotify.com/v1/tracks/43UV5Uk0ntzH6MP8Rx1RKh</t>
  </si>
  <si>
    <t>spotify:track:43UV5Uk0ntzH6MP8Rx1RKh</t>
  </si>
  <si>
    <t>Imaginary Appalachia</t>
  </si>
  <si>
    <t>https://api.spotify.com/v1/audio-analysis/43UV5Uk0ntzH6MP8Rx1RKh</t>
  </si>
  <si>
    <t>43UV5Uk0ntzH6MP8Rx1RKh</t>
  </si>
  <si>
    <t>The Devil Wears a Suit and Tie</t>
  </si>
  <si>
    <t>6kV0NSYFjIMVgkhWRDI0bS</t>
  </si>
  <si>
    <t>Neil Young</t>
  </si>
  <si>
    <t>0.0269</t>
  </si>
  <si>
    <t>https://api.spotify.com/v1/tracks/26QKxvjlCo2fSd3T4c8Zpb</t>
  </si>
  <si>
    <t>spotify:track:26QKxvjlCo2fSd3T4c8Zpb</t>
  </si>
  <si>
    <t>Harvest (50th Anniversary Edition)</t>
  </si>
  <si>
    <t>https://api.spotify.com/v1/audio-analysis/26QKxvjlCo2fSd3T4c8Zpb</t>
  </si>
  <si>
    <t>26QKxvjlCo2fSd3T4c8Zpb</t>
  </si>
  <si>
    <t>Heart of Gold</t>
  </si>
  <si>
    <t>2LOpi63tYGh0Suy8eLJDVQ</t>
  </si>
  <si>
    <t>https://api.spotify.com/v1/tracks/4mQtXW0vrHC3oTkA1mQsb0</t>
  </si>
  <si>
    <t>spotify:track:4mQtXW0vrHC3oTkA1mQsb0</t>
  </si>
  <si>
    <t>https://api.spotify.com/v1/audio-analysis/4mQtXW0vrHC3oTkA1mQsb0</t>
  </si>
  <si>
    <t>4mQtXW0vrHC3oTkA1mQsb0</t>
  </si>
  <si>
    <t>Operator (That's Not the Way It Feels)</t>
  </si>
  <si>
    <t>-17.18</t>
  </si>
  <si>
    <t>America, George Martin</t>
  </si>
  <si>
    <t>https://api.spotify.com/v1/tracks/54eZmuggBFJbV7k248bTTt</t>
  </si>
  <si>
    <t>spotify:track:54eZmuggBFJbV7k248bTTt</t>
  </si>
  <si>
    <t>America</t>
  </si>
  <si>
    <t>https://api.spotify.com/v1/audio-analysis/54eZmuggBFJbV7k248bTTt</t>
  </si>
  <si>
    <t>54eZmuggBFJbV7k248bTTt</t>
  </si>
  <si>
    <t>A Horse with No Name</t>
  </si>
  <si>
    <t>0.0147</t>
  </si>
  <si>
    <t>0E5IKYhiKgbYQkmfsFonbZ</t>
  </si>
  <si>
    <t>https://api.spotify.com/v1/tracks/6fhgO6p9DsTyHqPctyzDkV</t>
  </si>
  <si>
    <t>spotify:track:6fhgO6p9DsTyHqPctyzDkV</t>
  </si>
  <si>
    <t>https://api.spotify.com/v1/audio-analysis/6fhgO6p9DsTyHqPctyzDkV</t>
  </si>
  <si>
    <t>6fhgO6p9DsTyHqPctyzDkV</t>
  </si>
  <si>
    <t>Sleeping on the Blacktop</t>
  </si>
  <si>
    <t>Avvy Sra, Karan Aujla, Jaani</t>
  </si>
  <si>
    <t>https://api.spotify.com/v1/tracks/3nKQrVVlwbAQSnFbgZWdN0</t>
  </si>
  <si>
    <t>spotify:track:3nKQrVVlwbAQSnFbgZWdN0</t>
  </si>
  <si>
    <t>White Brown Black</t>
  </si>
  <si>
    <t>Bhangra Bangers</t>
  </si>
  <si>
    <t>https://api.spotify.com/v1/audio-analysis/3nKQrVVlwbAQSnFbgZWdN0</t>
  </si>
  <si>
    <t>3nKQrVVlwbAQSnFbgZWdN0</t>
  </si>
  <si>
    <t>3.93e-06</t>
  </si>
  <si>
    <t>3rOSq53b9Cv7ygKe5NwKNJ</t>
  </si>
  <si>
    <t>bhangra</t>
  </si>
  <si>
    <t>37i9dQZF1DX3VNFqEPdDGw</t>
  </si>
  <si>
    <t>-6.26</t>
  </si>
  <si>
    <t>AP Dhillon, Gminxr, Gurinder Gill, Shinda Kahlon</t>
  </si>
  <si>
    <t>https://api.spotify.com/v1/tracks/58f4twRnbZOOVUhMUpplJ4</t>
  </si>
  <si>
    <t>spotify:track:58f4twRnbZOOVUhMUpplJ4</t>
  </si>
  <si>
    <t>Brown Munde</t>
  </si>
  <si>
    <t>https://api.spotify.com/v1/audio-analysis/58f4twRnbZOOVUhMUpplJ4</t>
  </si>
  <si>
    <t>58f4twRnbZOOVUhMUpplJ4</t>
  </si>
  <si>
    <t>1Ac8fcWoMbo35vD3B5Tjqs</t>
  </si>
  <si>
    <t>lofi</t>
  </si>
  <si>
    <t>0.0941</t>
  </si>
  <si>
    <t>Kina, Adriana Proenza</t>
  </si>
  <si>
    <t>https://api.spotify.com/v1/tracks/58wyJLv6yH1La9NIZPl3ne</t>
  </si>
  <si>
    <t>spotify:track:58wyJLv6yH1La9NIZPl3ne</t>
  </si>
  <si>
    <t>Can We Kiss Forever?</t>
  </si>
  <si>
    <t>Lofi Hip Hop</t>
  </si>
  <si>
    <t>https://api.spotify.com/v1/audio-analysis/58wyJLv6yH1La9NIZPl3ne</t>
  </si>
  <si>
    <t>58wyJLv6yH1La9NIZPl3ne</t>
  </si>
  <si>
    <t>0.026</t>
  </si>
  <si>
    <t>0MGcjBIFcL2qaCrgGjIGFb</t>
  </si>
  <si>
    <t>3BOxfexQyBa1tsEZ1tJFVQ</t>
  </si>
  <si>
    <t>Kina, Sn√∏w</t>
  </si>
  <si>
    <t>https://api.spotify.com/v1/tracks/4ZLzoOkj0MPWrTLvooIuaa</t>
  </si>
  <si>
    <t>spotify:track:4ZLzoOkj0MPWrTLvooIuaa</t>
  </si>
  <si>
    <t>Get You The Moon (feat. Sn√∏w)</t>
  </si>
  <si>
    <t>https://api.spotify.com/v1/audio-analysis/4ZLzoOkj0MPWrTLvooIuaa</t>
  </si>
  <si>
    <t>4ZLzoOkj0MPWrTLvooIuaa</t>
  </si>
  <si>
    <t>5LZSpPoBVBsh6kRSEKfPQ8</t>
  </si>
  <si>
    <t>0.00362</t>
  </si>
  <si>
    <t>Yehezkel Raz</t>
  </si>
  <si>
    <t>https://api.spotify.com/v1/tracks/2kbruQXVXFmxxm4l75zuwy</t>
  </si>
  <si>
    <t>spotify:track:2kbruQXVXFmxxm4l75zuwy</t>
  </si>
  <si>
    <t>Preludes, Book 2 - Torrents</t>
  </si>
  <si>
    <t>Minimalism</t>
  </si>
  <si>
    <t>https://api.spotify.com/v1/audio-analysis/2kbruQXVXFmxxm4l75zuwy</t>
  </si>
  <si>
    <t>2kbruQXVXFmxxm4l75zuwy</t>
  </si>
  <si>
    <t>Behind Every Decision</t>
  </si>
  <si>
    <t>23evXngVDHzY3P9A2wNDJY</t>
  </si>
  <si>
    <t>37i9dQZF1EIcPn17YOI0D2</t>
  </si>
  <si>
    <t>Tropical House</t>
  </si>
  <si>
    <t>tropical</t>
  </si>
  <si>
    <t>37i9dQZF1DX0AMssoUKCz7</t>
  </si>
  <si>
    <t>CYRIL</t>
  </si>
  <si>
    <t>https://api.spotify.com/v1/tracks/0h3Xy4V4apMraB5NuM8U7Z</t>
  </si>
  <si>
    <t>spotify:track:0h3Xy4V4apMraB5NuM8U7Z</t>
  </si>
  <si>
    <t>Stumblin' In</t>
  </si>
  <si>
    <t>https://api.spotify.com/v1/audio-analysis/0h3Xy4V4apMraB5NuM8U7Z</t>
  </si>
  <si>
    <t>0h3Xy4V4apMraB5NuM8U7Z</t>
  </si>
  <si>
    <t>0.00995</t>
  </si>
  <si>
    <t>2HxzXLKO0AvkScWYHSspQc</t>
  </si>
  <si>
    <t>Kygo, Zak Abel, Nile Rodgers</t>
  </si>
  <si>
    <t>0.0741</t>
  </si>
  <si>
    <t>https://api.spotify.com/v1/tracks/4QfikoJtCEiOj7G5R9m3sP</t>
  </si>
  <si>
    <t>spotify:track:4QfikoJtCEiOj7G5R9m3sP</t>
  </si>
  <si>
    <t>For Life (feat. Nile Rodgers)</t>
  </si>
  <si>
    <t>https://api.spotify.com/v1/audio-analysis/4QfikoJtCEiOj7G5R9m3sP</t>
  </si>
  <si>
    <t>4QfikoJtCEiOj7G5R9m3sP</t>
  </si>
  <si>
    <t>2Cqf3izEp75CqTKgul5Mi1</t>
  </si>
  <si>
    <t>Lavern</t>
  </si>
  <si>
    <t>https://api.spotify.com/v1/tracks/4SnuG111QPmgwRmlwhJ4Mg</t>
  </si>
  <si>
    <t>spotify:track:4SnuG111QPmgwRmlwhJ4Mg</t>
  </si>
  <si>
    <t>Hold Me</t>
  </si>
  <si>
    <t>https://api.spotify.com/v1/audio-analysis/4SnuG111QPmgwRmlwhJ4Mg</t>
  </si>
  <si>
    <t>4SnuG111QPmgwRmlwhJ4Mg</t>
  </si>
  <si>
    <t>7osmi3cnYDpPDYflMWa80W</t>
  </si>
  <si>
    <t>TWOPILOTS</t>
  </si>
  <si>
    <t>https://api.spotify.com/v1/tracks/6yv0ZjBlZy2oRFq7jAis2C</t>
  </si>
  <si>
    <t>spotify:track:6yv0ZjBlZy2oRFq7jAis2C</t>
  </si>
  <si>
    <t>https://api.spotify.com/v1/audio-analysis/6yv0ZjBlZy2oRFq7jAis2C</t>
  </si>
  <si>
    <t>6yv0ZjBlZy2oRFq7jAis2C</t>
  </si>
  <si>
    <t>3.27e-05</t>
  </si>
  <si>
    <t>2zx1E2Yv7eYSWvfbPDDF7P</t>
  </si>
  <si>
    <t>Techno Bunker</t>
  </si>
  <si>
    <t>techno</t>
  </si>
  <si>
    <t>37i9dQZF1DX4uPi2roRUwU</t>
  </si>
  <si>
    <t>Matt Sassari</t>
  </si>
  <si>
    <t>https://api.spotify.com/v1/tracks/5ZduaRci3iNUiDfJbBfAaf</t>
  </si>
  <si>
    <t>spotify:track:5ZduaRci3iNUiDfJbBfAaf</t>
  </si>
  <si>
    <t>Give It To Me (Full Vocal Mix)</t>
  </si>
  <si>
    <t>https://api.spotify.com/v1/audio-analysis/5ZduaRci3iNUiDfJbBfAaf</t>
  </si>
  <si>
    <t>5ZduaRci3iNUiDfJbBfAaf</t>
  </si>
  <si>
    <t>Give It To Me - Full Vocal Mix</t>
  </si>
  <si>
    <t>0.00238</t>
  </si>
  <si>
    <t>1jbRY71konakrKvDUiW7Rp</t>
  </si>
  <si>
    <t>0.00116</t>
  </si>
  <si>
    <t>nimino</t>
  </si>
  <si>
    <t>https://api.spotify.com/v1/tracks/39glDGcpBhLVMSsQhvtqHR</t>
  </si>
  <si>
    <t>spotify:track:39glDGcpBhLVMSsQhvtqHR</t>
  </si>
  <si>
    <t>I Only Smoke When I Drink</t>
  </si>
  <si>
    <t>https://api.spotify.com/v1/audio-analysis/39glDGcpBhLVMSsQhvtqHR</t>
  </si>
  <si>
    <t>39glDGcpBhLVMSsQhvtqHR</t>
  </si>
  <si>
    <t>05iJvxOa8h8GjGPe5JnvDG</t>
  </si>
  <si>
    <t>Mr. Belt &amp; Wezol</t>
  </si>
  <si>
    <t>https://api.spotify.com/v1/tracks/5OFVzqSeFxGpvDGyHvVeLj</t>
  </si>
  <si>
    <t>spotify:track:5OFVzqSeFxGpvDGyHvVeLj</t>
  </si>
  <si>
    <t>It's Not Right But It's Okay</t>
  </si>
  <si>
    <t>https://api.spotify.com/v1/audio-analysis/5OFVzqSeFxGpvDGyHvVeLj</t>
  </si>
  <si>
    <t>5OFVzqSeFxGpvDGyHvVeLj</t>
  </si>
  <si>
    <t>7.47e-06</t>
  </si>
  <si>
    <t>116jZe8fEmfjKBh4d8ZcDO</t>
  </si>
  <si>
    <t>125.91</t>
  </si>
  <si>
    <t>David Guetta, Alesso, Madison Love</t>
  </si>
  <si>
    <t>https://api.spotify.com/v1/tracks/7K1BLb6MpvKuGEPpHw35mO</t>
  </si>
  <si>
    <t>spotify:track:7K1BLb6MpvKuGEPpHw35mO</t>
  </si>
  <si>
    <t>Never Going Home Tonight (feat. Madison Love)</t>
  </si>
  <si>
    <t>https://api.spotify.com/v1/audio-analysis/7K1BLb6MpvKuGEPpHw35mO</t>
  </si>
  <si>
    <t>7K1BLb6MpvKuGEPpHw35mO</t>
  </si>
  <si>
    <t>0tn39dXCidefjSr5PqXbcX</t>
  </si>
  <si>
    <t>Imanbek, BYOR</t>
  </si>
  <si>
    <t>https://api.spotify.com/v1/tracks/7fZBQnc0zXwVybgCIrQQil</t>
  </si>
  <si>
    <t>spotify:track:7fZBQnc0zXwVybgCIrQQil</t>
  </si>
  <si>
    <t>Belly Dancer</t>
  </si>
  <si>
    <t>https://api.spotify.com/v1/audio-analysis/7fZBQnc0zXwVybgCIrQQil</t>
  </si>
  <si>
    <t>7fZBQnc0zXwVybgCIrQQil</t>
  </si>
  <si>
    <t>5.57e-06</t>
  </si>
  <si>
    <t>2npvQTpyjLtapBWTNTNlqn</t>
  </si>
  <si>
    <t>James Hype, Miggy Dela Rosa</t>
  </si>
  <si>
    <t>https://api.spotify.com/v1/tracks/4zN21mbAuaD0WqtmaTZZeP</t>
  </si>
  <si>
    <t>spotify:track:4zN21mbAuaD0WqtmaTZZeP</t>
  </si>
  <si>
    <t>Ferrari</t>
  </si>
  <si>
    <t>https://api.spotify.com/v1/audio-analysis/4zN21mbAuaD0WqtmaTZZeP</t>
  </si>
  <si>
    <t>4zN21mbAuaD0WqtmaTZZeP</t>
  </si>
  <si>
    <t>6moZ4sNThthUAwCklyuPY8</t>
  </si>
  <si>
    <t>Gabry Ponte, LUM!X, Prezioso</t>
  </si>
  <si>
    <t>https://api.spotify.com/v1/tracks/2USlegnFJLrVLpoVfPimKB</t>
  </si>
  <si>
    <t>spotify:track:2USlegnFJLrVLpoVfPimKB</t>
  </si>
  <si>
    <t>https://api.spotify.com/v1/audio-analysis/2USlegnFJLrVLpoVfPimKB</t>
  </si>
  <si>
    <t>2USlegnFJLrVLpoVfPimKB</t>
  </si>
  <si>
    <t>3.21e-05</t>
  </si>
  <si>
    <t>35Q09Y0b7ZxOoCdF7sBiGf</t>
  </si>
  <si>
    <t>Peggy Gou</t>
  </si>
  <si>
    <t>https://api.spotify.com/v1/tracks/23RoR84KodL5HWvUTneQ1w</t>
  </si>
  <si>
    <t>spotify:track:23RoR84KodL5HWvUTneQ1w</t>
  </si>
  <si>
    <t>(It Goes Like) Nanana [Edit]</t>
  </si>
  <si>
    <t>https://api.spotify.com/v1/audio-analysis/23RoR84KodL5HWvUTneQ1w</t>
  </si>
  <si>
    <t>23RoR84KodL5HWvUTneQ1w</t>
  </si>
  <si>
    <t>(It Goes Like) Nanana - Edit</t>
  </si>
  <si>
    <t>2LVDNOUUy2g8517ZEtQIcK</t>
  </si>
  <si>
    <t>Bakermat</t>
  </si>
  <si>
    <t>0.0709</t>
  </si>
  <si>
    <t>https://api.spotify.com/v1/tracks/780be5fB7823aHG06mwTat</t>
  </si>
  <si>
    <t>spotify:track:780be5fB7823aHG06mwTat</t>
  </si>
  <si>
    <t>The Ringmaster</t>
  </si>
  <si>
    <t>https://api.spotify.com/v1/audio-analysis/780be5fB7823aHG06mwTat</t>
  </si>
  <si>
    <t>780be5fB7823aHG06mwTat</t>
  </si>
  <si>
    <t>Baian√°</t>
  </si>
  <si>
    <t>5pmFI5q0ob82elppBCel0W</t>
  </si>
  <si>
    <t>0.000754</t>
  </si>
  <si>
    <t>IVE, David Guetta</t>
  </si>
  <si>
    <t>https://api.spotify.com/v1/tracks/5sTLGx6c7YRwnrWm6O091n</t>
  </si>
  <si>
    <t>spotify:track:5sTLGx6c7YRwnrWm6O091n</t>
  </si>
  <si>
    <t>Supernova Love</t>
  </si>
  <si>
    <t>https://api.spotify.com/v1/audio-analysis/5sTLGx6c7YRwnrWm6O091n</t>
  </si>
  <si>
    <t>5sTLGx6c7YRwnrWm6O091n</t>
  </si>
  <si>
    <t>0LMT3Tdqs2Zy8VIxwuf47X</t>
  </si>
  <si>
    <t>129.89</t>
  </si>
  <si>
    <t>David Guetta, Alphaville, Ava Max</t>
  </si>
  <si>
    <t>https://api.spotify.com/v1/tracks/3bg2qahpZmsg5wV2EMPXIk</t>
  </si>
  <si>
    <t>spotify:track:3bg2qahpZmsg5wV2EMPXIk</t>
  </si>
  <si>
    <t>Forever Young</t>
  </si>
  <si>
    <t>https://api.spotify.com/v1/audio-analysis/3bg2qahpZmsg5wV2EMPXIk</t>
  </si>
  <si>
    <t>3bg2qahpZmsg5wV2EMPXIk</t>
  </si>
  <si>
    <t>5a450MS1eKGQQAsqgvsZ6J</t>
  </si>
  <si>
    <t>Zerb, Sofiya Nzau</t>
  </si>
  <si>
    <t>0.0587</t>
  </si>
  <si>
    <t>https://api.spotify.com/v1/tracks/5KTZgG84bKFGm53lhLtTqc</t>
  </si>
  <si>
    <t>spotify:track:5KTZgG84bKFGm53lhLtTqc</t>
  </si>
  <si>
    <t>SURRENDER</t>
  </si>
  <si>
    <t>https://api.spotify.com/v1/audio-analysis/5KTZgG84bKFGm53lhLtTqc</t>
  </si>
  <si>
    <t>5KTZgG84bKFGm53lhLtTqc</t>
  </si>
  <si>
    <t>Mwaki</t>
  </si>
  <si>
    <t>5asqLE8StjaHpMWSyjzo2D</t>
  </si>
  <si>
    <t>Ella Henderson, Rudimental</t>
  </si>
  <si>
    <t>https://api.spotify.com/v1/tracks/5Jpz4nv8nA6FIYO5gEyQa2</t>
  </si>
  <si>
    <t>spotify:track:5Jpz4nv8nA6FIYO5gEyQa2</t>
  </si>
  <si>
    <t>Alibi (feat. Rudimental)</t>
  </si>
  <si>
    <t>https://api.spotify.com/v1/audio-analysis/5Jpz4nv8nA6FIYO5gEyQa2</t>
  </si>
  <si>
    <t>5Jpz4nv8nA6FIYO5gEyQa2</t>
  </si>
  <si>
    <t>0.00281</t>
  </si>
  <si>
    <t>3Ku8LDPYg53Kh59amfFWjL</t>
  </si>
  <si>
    <t>Kronan, Nyaruach, Bakermat</t>
  </si>
  <si>
    <t>https://api.spotify.com/v1/tracks/0GT2hQQ6mdHeW0AZDl5NlJ</t>
  </si>
  <si>
    <t>spotify:track:0GT2hQQ6mdHeW0AZDl5NlJ</t>
  </si>
  <si>
    <t>Gatluak (Bakermat Remix)</t>
  </si>
  <si>
    <t>https://api.spotify.com/v1/audio-analysis/0GT2hQQ6mdHeW0AZDl5NlJ</t>
  </si>
  <si>
    <t>0GT2hQQ6mdHeW0AZDl5NlJ</t>
  </si>
  <si>
    <t>Gatluak - Bakermat Remix</t>
  </si>
  <si>
    <t>1XVR96ao2iSG3yDGr1a1rN</t>
  </si>
  <si>
    <t>123.96</t>
  </si>
  <si>
    <t>0.0512</t>
  </si>
  <si>
    <t>Nathan Dawe, Ella Henderson</t>
  </si>
  <si>
    <t>https://api.spotify.com/v1/tracks/1RF02Cf80mTaeNXG2P2boR</t>
  </si>
  <si>
    <t>spotify:track:1RF02Cf80mTaeNXG2P2boR</t>
  </si>
  <si>
    <t>21 Reasons (feat. Ella Henderson)</t>
  </si>
  <si>
    <t>https://api.spotify.com/v1/audio-analysis/1RF02Cf80mTaeNXG2P2boR</t>
  </si>
  <si>
    <t>1RF02Cf80mTaeNXG2P2boR</t>
  </si>
  <si>
    <t>5.92e-06</t>
  </si>
  <si>
    <t>118PKNjhP4NWcrW5OjMwzc</t>
  </si>
  <si>
    <t>LAVINIA, Ely Oaks</t>
  </si>
  <si>
    <t>0.0641</t>
  </si>
  <si>
    <t>https://api.spotify.com/v1/tracks/7r2cCbhAbGUE4Izor1ZnlZ</t>
  </si>
  <si>
    <t>spotify:track:7r2cCbhAbGUE4Izor1ZnlZ</t>
  </si>
  <si>
    <t>K.O.</t>
  </si>
  <si>
    <t>https://api.spotify.com/v1/audio-analysis/7r2cCbhAbGUE4Izor1ZnlZ</t>
  </si>
  <si>
    <t>7r2cCbhAbGUE4Izor1ZnlZ</t>
  </si>
  <si>
    <t>1EC9EHPbmFJr9W3rmR2Jee</t>
  </si>
  <si>
    <t>0.0962</t>
  </si>
  <si>
    <t>√ñwnboss, Sevek</t>
  </si>
  <si>
    <t>https://api.spotify.com/v1/tracks/6GomT970rCOkKAyyrwJeZi</t>
  </si>
  <si>
    <t>spotify:track:6GomT970rCOkKAyyrwJeZi</t>
  </si>
  <si>
    <t>Move Your Body</t>
  </si>
  <si>
    <t>https://api.spotify.com/v1/audio-analysis/6GomT970rCOkKAyyrwJeZi</t>
  </si>
  <si>
    <t>6GomT970rCOkKAyyrwJeZi</t>
  </si>
  <si>
    <t>0.000403</t>
  </si>
  <si>
    <t>4l9wMVL4XAM5jPMXP5RAbL</t>
  </si>
  <si>
    <t>0.0169</t>
  </si>
  <si>
    <t>0.098</t>
  </si>
  <si>
    <t>Niklas Dee, Ren√© Miller</t>
  </si>
  <si>
    <t>https://api.spotify.com/v1/tracks/47KhhDku9RLDsWIJjYaXDs</t>
  </si>
  <si>
    <t>spotify:track:47KhhDku9RLDsWIJjYaXDs</t>
  </si>
  <si>
    <t>Around The World</t>
  </si>
  <si>
    <t>https://api.spotify.com/v1/audio-analysis/47KhhDku9RLDsWIJjYaXDs</t>
  </si>
  <si>
    <t>47KhhDku9RLDsWIJjYaXDs</t>
  </si>
  <si>
    <t>0.000709</t>
  </si>
  <si>
    <t>6DJnx2cTEn3txXXK4Xo2Tf</t>
  </si>
  <si>
    <t>Jax Jones, MNEK</t>
  </si>
  <si>
    <t>https://api.spotify.com/v1/tracks/3sa06xVNmLLYIxdNNmVQN8</t>
  </si>
  <si>
    <t>spotify:track:3sa06xVNmLLYIxdNNmVQN8</t>
  </si>
  <si>
    <t>Where Did You Go (feat. MNEK)</t>
  </si>
  <si>
    <t>https://api.spotify.com/v1/audio-analysis/3sa06xVNmLLYIxdNNmVQN8</t>
  </si>
  <si>
    <t>3sa06xVNmLLYIxdNNmVQN8</t>
  </si>
  <si>
    <t>Where Did You Go? (feat. MNEK)</t>
  </si>
  <si>
    <t>7.08e-06</t>
  </si>
  <si>
    <t>5vSLX6JljaSXuRY2Wqi6xL</t>
  </si>
  <si>
    <t>Hannah Laing, RoRo</t>
  </si>
  <si>
    <t>0.0595</t>
  </si>
  <si>
    <t>https://api.spotify.com/v1/tracks/0ZVjgfaC2Ptrod9v6p9KFP</t>
  </si>
  <si>
    <t>spotify:track:0ZVjgfaC2Ptrod9v6p9KFP</t>
  </si>
  <si>
    <t>Good Love</t>
  </si>
  <si>
    <t>https://api.spotify.com/v1/audio-analysis/0ZVjgfaC2Ptrod9v6p9KFP</t>
  </si>
  <si>
    <t>0ZVjgfaC2Ptrod9v6p9KFP</t>
  </si>
  <si>
    <t>0.0042</t>
  </si>
  <si>
    <t>4SCAkvXJmXuvoQTlQU7Q48</t>
  </si>
  <si>
    <t>BLOND:ISH, Stevie Appleton</t>
  </si>
  <si>
    <t>https://api.spotify.com/v1/tracks/4HB7ECLzrbgapiZyLlFbxz</t>
  </si>
  <si>
    <t>spotify:track:4HB7ECLzrbgapiZyLlFbxz</t>
  </si>
  <si>
    <t>Never Walk Alone</t>
  </si>
  <si>
    <t>https://api.spotify.com/v1/audio-analysis/4HB7ECLzrbgapiZyLlFbxz</t>
  </si>
  <si>
    <t>4HB7ECLzrbgapiZyLlFbxz</t>
  </si>
  <si>
    <t>1BuWrjAiFiHMHtCYHuUIKM</t>
  </si>
  <si>
    <t>Fred again.., Obongjayar</t>
  </si>
  <si>
    <t>https://api.spotify.com/v1/tracks/3YgtkOxZsTuaZdL8McA1FQ</t>
  </si>
  <si>
    <t>spotify:track:3YgtkOxZsTuaZdL8McA1FQ</t>
  </si>
  <si>
    <t>adore u</t>
  </si>
  <si>
    <t>https://api.spotify.com/v1/audio-analysis/3YgtkOxZsTuaZdL8McA1FQ</t>
  </si>
  <si>
    <t>3YgtkOxZsTuaZdL8McA1FQ</t>
  </si>
  <si>
    <t>0.00413</t>
  </si>
  <si>
    <t>7K3BWpksmH4L7BoqUdhZrL</t>
  </si>
  <si>
    <t>Kygo, Sandro Cavazza</t>
  </si>
  <si>
    <t>https://api.spotify.com/v1/tracks/4aPX3IT9cskOWmeZvOYc5s</t>
  </si>
  <si>
    <t>spotify:track:4aPX3IT9cskOWmeZvOYc5s</t>
  </si>
  <si>
    <t>Hold On Me</t>
  </si>
  <si>
    <t>https://api.spotify.com/v1/audio-analysis/4aPX3IT9cskOWmeZvOYc5s</t>
  </si>
  <si>
    <t>4aPX3IT9cskOWmeZvOYc5s</t>
  </si>
  <si>
    <t>4gnk9fBYQyrqdoTEqvlhzO</t>
  </si>
  <si>
    <t>0.0801</t>
  </si>
  <si>
    <t>Jain, Ian Asher</t>
  </si>
  <si>
    <t>https://api.spotify.com/v1/tracks/67eYAnkdTu8BMcIx29z26L</t>
  </si>
  <si>
    <t>spotify:track:67eYAnkdTu8BMcIx29z26L</t>
  </si>
  <si>
    <t>Makeba (Ian Asher Remix)</t>
  </si>
  <si>
    <t>https://api.spotify.com/v1/audio-analysis/67eYAnkdTu8BMcIx29z26L</t>
  </si>
  <si>
    <t>67eYAnkdTu8BMcIx29z26L</t>
  </si>
  <si>
    <t>Makeba - Ian Asher Remix</t>
  </si>
  <si>
    <t>69aS8KFiYm1TvWVjem6aLj</t>
  </si>
  <si>
    <t>Ti√´sto, Soaky Siren</t>
  </si>
  <si>
    <t>https://api.spotify.com/v1/tracks/799db91cR00On6N158VLHS</t>
  </si>
  <si>
    <t>spotify:track:799db91cR00On6N158VLHS</t>
  </si>
  <si>
    <t>Tantalizing</t>
  </si>
  <si>
    <t>https://api.spotify.com/v1/audio-analysis/799db91cR00On6N158VLHS</t>
  </si>
  <si>
    <t>799db91cR00On6N158VLHS</t>
  </si>
  <si>
    <t>6zE4ILhnXYqXot6bVh2k0C</t>
  </si>
  <si>
    <t>0.0022</t>
  </si>
  <si>
    <t>Robin Schulz, CYRIL, Sam Martin</t>
  </si>
  <si>
    <t>https://api.spotify.com/v1/tracks/4arNFfHtD5FPYcpUUiUOM1</t>
  </si>
  <si>
    <t>spotify:track:4arNFfHtD5FPYcpUUiUOM1</t>
  </si>
  <si>
    <t>World Gone Wild (feat. Sam Martin)</t>
  </si>
  <si>
    <t>https://api.spotify.com/v1/audio-analysis/4arNFfHtD5FPYcpUUiUOM1</t>
  </si>
  <si>
    <t>4arNFfHtD5FPYcpUUiUOM1</t>
  </si>
  <si>
    <t>1e1baOsSG422OeuXVWGNRt</t>
  </si>
  <si>
    <t>0.00882</t>
  </si>
  <si>
    <t>Jax Jones, Calum Scott</t>
  </si>
  <si>
    <t>https://api.spotify.com/v1/tracks/4q05KbxYZ5JdkmrletgPjF</t>
  </si>
  <si>
    <t>spotify:track:4q05KbxYZ5JdkmrletgPjF</t>
  </si>
  <si>
    <t>Whistle (feat. Calum Scott)</t>
  </si>
  <si>
    <t>https://api.spotify.com/v1/audio-analysis/4q05KbxYZ5JdkmrletgPjF</t>
  </si>
  <si>
    <t>4q05KbxYZ5JdkmrletgPjF</t>
  </si>
  <si>
    <t>4.6e-06</t>
  </si>
  <si>
    <t>0kXUCfMDhIUoHOfZ7TLsoj</t>
  </si>
  <si>
    <t>130.02</t>
  </si>
  <si>
    <t>Gabry Ponte, Sean Paul, NATTI NATASHA</t>
  </si>
  <si>
    <t>https://api.spotify.com/v1/tracks/5Nwh8kghoqebxmco5ZWbDt</t>
  </si>
  <si>
    <t>spotify:track:5Nwh8kghoqebxmco5ZWbDt</t>
  </si>
  <si>
    <t>Born To Love Ya</t>
  </si>
  <si>
    <t>https://api.spotify.com/v1/audio-analysis/5Nwh8kghoqebxmco5ZWbDt</t>
  </si>
  <si>
    <t>5Nwh8kghoqebxmco5ZWbDt</t>
  </si>
  <si>
    <t>4dx4jGH35HYUcRT6vNQjPo</t>
  </si>
  <si>
    <t>0.688</t>
  </si>
  <si>
    <t>Lost Frequencies</t>
  </si>
  <si>
    <t>https://api.spotify.com/v1/tracks/4r6c2ClnuYLwNv4lEM7XlW</t>
  </si>
  <si>
    <t>spotify:track:4r6c2ClnuYLwNv4lEM7XlW</t>
  </si>
  <si>
    <t>Love Is The Only Thing</t>
  </si>
  <si>
    <t>https://api.spotify.com/v1/audio-analysis/4r6c2ClnuYLwNv4lEM7XlW</t>
  </si>
  <si>
    <t>4r6c2ClnuYLwNv4lEM7XlW</t>
  </si>
  <si>
    <t>0.00736</t>
  </si>
  <si>
    <t>15jDxA16MFYS22jkKrzT59</t>
  </si>
  <si>
    <t>Dimitri Vegas, Steve Aoki, Ann Lee, Sound Of Legend</t>
  </si>
  <si>
    <t>https://api.spotify.com/v1/tracks/03xIKiQXopptD4Sv8ijvcG</t>
  </si>
  <si>
    <t>spotify:track:03xIKiQXopptD4Sv8ijvcG</t>
  </si>
  <si>
    <t>2 Times</t>
  </si>
  <si>
    <t>https://api.spotify.com/v1/audio-analysis/03xIKiQXopptD4Sv8ijvcG</t>
  </si>
  <si>
    <t>03xIKiQXopptD4Sv8ijvcG</t>
  </si>
  <si>
    <t>0.000738</t>
  </si>
  <si>
    <t>4wiZ07TwRSwCUTjIXqcriy</t>
  </si>
  <si>
    <t>-5.15</t>
  </si>
  <si>
    <t>0.0667</t>
  </si>
  <si>
    <t>Alok, Bebe Rexha</t>
  </si>
  <si>
    <t>https://api.spotify.com/v1/tracks/0sftzYE0YgPHXrvJyUyGjB</t>
  </si>
  <si>
    <t>spotify:track:0sftzYE0YgPHXrvJyUyGjB</t>
  </si>
  <si>
    <t>Deep In Your Love</t>
  </si>
  <si>
    <t>https://api.spotify.com/v1/audio-analysis/0sftzYE0YgPHXrvJyUyGjB</t>
  </si>
  <si>
    <t>0sftzYE0YgPHXrvJyUyGjB</t>
  </si>
  <si>
    <t>6.89e-05</t>
  </si>
  <si>
    <t>3QkffLjHLnGMUgMAvrOgrs</t>
  </si>
  <si>
    <t>The Blessed Madonna, Clementine Douglas</t>
  </si>
  <si>
    <t>0.0444</t>
  </si>
  <si>
    <t>https://api.spotify.com/v1/tracks/1TcF5F10EN17vraisG1gQv</t>
  </si>
  <si>
    <t>spotify:track:1TcF5F10EN17vraisG1gQv</t>
  </si>
  <si>
    <t>Happier (feat. Clementine Douglas)</t>
  </si>
  <si>
    <t>https://api.spotify.com/v1/audio-analysis/1TcF5F10EN17vraisG1gQv</t>
  </si>
  <si>
    <t>1TcF5F10EN17vraisG1gQv</t>
  </si>
  <si>
    <t>5Tuzxg7Wwhx4ydYsxFsd7o</t>
  </si>
  <si>
    <t>Purple Disco Machine, Benjamin Ingrosso, Nile Rodgers, Shenseea</t>
  </si>
  <si>
    <t>https://api.spotify.com/v1/tracks/1NpIUD4KqHaMT91kw0YV40</t>
  </si>
  <si>
    <t>spotify:track:1NpIUD4KqHaMT91kw0YV40</t>
  </si>
  <si>
    <t>Honey Boy (feat. Nile Rodgers &amp; Shenseea)</t>
  </si>
  <si>
    <t>https://api.spotify.com/v1/audio-analysis/1NpIUD4KqHaMT91kw0YV40</t>
  </si>
  <si>
    <t>1NpIUD4KqHaMT91kw0YV40</t>
  </si>
  <si>
    <t>9.38e-05</t>
  </si>
  <si>
    <t>0WWjvPdLmnwYrTi03XJ9ib</t>
  </si>
  <si>
    <t>Future Bass</t>
  </si>
  <si>
    <t>future bass</t>
  </si>
  <si>
    <t>3Ivv8tT1eEt89ALFXDy59O</t>
  </si>
  <si>
    <t>141.99</t>
  </si>
  <si>
    <t>Marshmello</t>
  </si>
  <si>
    <t>https://api.spotify.com/v1/tracks/3MEYFivt6bilQ9q9mFWZ4g</t>
  </si>
  <si>
    <t>spotify:track:3MEYFivt6bilQ9q9mFWZ4g</t>
  </si>
  <si>
    <t>Alone</t>
  </si>
  <si>
    <t>https://api.spotify.com/v1/audio-analysis/3MEYFivt6bilQ9q9mFWZ4g</t>
  </si>
  <si>
    <t>3MEYFivt6bilQ9q9mFWZ4g</t>
  </si>
  <si>
    <t>0.0155</t>
  </si>
  <si>
    <t>7ePC9qS9mSOTY9E0YPP6yg</t>
  </si>
  <si>
    <t>Deep House Relax</t>
  </si>
  <si>
    <t>deep house</t>
  </si>
  <si>
    <t>37i9dQZF1DX2TRYkJECvfC</t>
  </si>
  <si>
    <t>Los √Ångeles Azules</t>
  </si>
  <si>
    <t>https://api.spotify.com/v1/tracks/5hrxAFrYbNTLjAYSrmbpgr</t>
  </si>
  <si>
    <t>spotify:track:5hrxAFrYbNTLjAYSrmbpgr</t>
  </si>
  <si>
    <t>Una Lluvia De Rosas</t>
  </si>
  <si>
    <t>Cumbia Classics</t>
  </si>
  <si>
    <t>https://api.spotify.com/v1/audio-analysis/5hrxAFrYbNTLjAYSrmbpgr</t>
  </si>
  <si>
    <t>5hrxAFrYbNTLjAYSrmbpgr</t>
  </si>
  <si>
    <t>El List√≥n De Tu Pelo</t>
  </si>
  <si>
    <t>3cwMyqMeTxBd26z6AjKGdv</t>
  </si>
  <si>
    <t>cumbia</t>
  </si>
  <si>
    <t>0KmkdDrKlNG5GPuoF0sf3y</t>
  </si>
  <si>
    <t>https://api.spotify.com/v1/tracks/1Y372uxsCkKqNclj2ercap</t>
  </si>
  <si>
    <t>spotify:track:1Y372uxsCkKqNclj2ercap</t>
  </si>
  <si>
    <t>https://api.spotify.com/v1/audio-analysis/1Y372uxsCkKqNclj2ercap</t>
  </si>
  <si>
    <t>1Y372uxsCkKqNclj2ercap</t>
  </si>
  <si>
    <t>17 A√±os</t>
  </si>
  <si>
    <t>Grupo Mojado</t>
  </si>
  <si>
    <t>https://api.spotify.com/v1/tracks/1xKP7GVLY33i5jmx1bB1Kk</t>
  </si>
  <si>
    <t>spotify:track:1xKP7GVLY33i5jmx1bB1Kk</t>
  </si>
  <si>
    <t>Sue√±o Y Realidad</t>
  </si>
  <si>
    <t>https://api.spotify.com/v1/audio-analysis/1xKP7GVLY33i5jmx1bB1Kk</t>
  </si>
  <si>
    <t>1xKP7GVLY33i5jmx1bB1Kk</t>
  </si>
  <si>
    <t>Piensa En M√≠</t>
  </si>
  <si>
    <t>3jVJ1fTyUxYdpzb8Pt9V6U</t>
  </si>
  <si>
    <t>Reggaeton Hits</t>
  </si>
  <si>
    <t>reggaeton</t>
  </si>
  <si>
    <t>50RFc7X949cZs4CHZ4fPDe</t>
  </si>
  <si>
    <t>FloyyMenor, Ozuna, Anitta</t>
  </si>
  <si>
    <t>https://api.spotify.com/v1/tracks/0JGTfiC4Z41GEEpMYLbWwO</t>
  </si>
  <si>
    <t>spotify:track:0JGTfiC4Z41GEEpMYLbWwO</t>
  </si>
  <si>
    <t>Gata Only (Remix)</t>
  </si>
  <si>
    <t>https://api.spotify.com/v1/audio-analysis/0JGTfiC4Z41GEEpMYLbWwO</t>
  </si>
  <si>
    <t>0JGTfiC4Z41GEEpMYLbWwO</t>
  </si>
  <si>
    <t>3j6Hr2FWIsjgTKWbfRx0tu</t>
  </si>
  <si>
    <t>0.0636</t>
  </si>
  <si>
    <t>https://api.spotify.com/v1/tracks/42wdz3j7gstgUuhoFLCXqd</t>
  </si>
  <si>
    <t>spotify:track:42wdz3j7gstgUuhoFLCXqd</t>
  </si>
  <si>
    <t>EL COMIENZO</t>
  </si>
  <si>
    <t>https://api.spotify.com/v1/audio-analysis/42wdz3j7gstgUuhoFLCXqd</t>
  </si>
  <si>
    <t>42wdz3j7gstgUuhoFLCXqd</t>
  </si>
  <si>
    <t>6.42e-06</t>
  </si>
  <si>
    <t>6MikZBKCtKfPM4439yzBRz</t>
  </si>
  <si>
    <t>-2.4</t>
  </si>
  <si>
    <t>Myke Towers, Bad Bunny</t>
  </si>
  <si>
    <t>https://api.spotify.com/v1/tracks/0LZy30mVmxqUpdQmaXKXBd</t>
  </si>
  <si>
    <t>spotify:track:0LZy30mVmxqUpdQmaXKXBd</t>
  </si>
  <si>
    <t>ADIVINO</t>
  </si>
  <si>
    <t>https://api.spotify.com/v1/audio-analysis/0LZy30mVmxqUpdQmaXKXBd</t>
  </si>
  <si>
    <t>0LZy30mVmxqUpdQmaXKXBd</t>
  </si>
  <si>
    <t>2.39e-05</t>
  </si>
  <si>
    <t>3sRyLQf04m9vm40JNRFiCl</t>
  </si>
  <si>
    <t>0.0943</t>
  </si>
  <si>
    <t>Mora, SAIKO</t>
  </si>
  <si>
    <t>0.0819</t>
  </si>
  <si>
    <t>https://api.spotify.com/v1/tracks/0QRHOAeU8JRaVVn3UoZBih</t>
  </si>
  <si>
    <t>spotify:track:0QRHOAeU8JRaVVn3UoZBih</t>
  </si>
  <si>
    <t>ESTRELLA</t>
  </si>
  <si>
    <t>https://api.spotify.com/v1/audio-analysis/0QRHOAeU8JRaVVn3UoZBih</t>
  </si>
  <si>
    <t>0QRHOAeU8JRaVVn3UoZBih</t>
  </si>
  <si>
    <t>REINA</t>
  </si>
  <si>
    <t>1.06e-06</t>
  </si>
  <si>
    <t>0SoJvPHbKVhvmVJOp3kzp3</t>
  </si>
  <si>
    <t>Bad Bunny, Mora</t>
  </si>
  <si>
    <t>https://api.spotify.com/v1/tracks/4qSEvFGCpde73gqIuq3sho</t>
  </si>
  <si>
    <t>spotify:track:4qSEvFGCpde73gqIuq3sho</t>
  </si>
  <si>
    <t>https://api.spotify.com/v1/audio-analysis/4qSEvFGCpde73gqIuq3sho</t>
  </si>
  <si>
    <t>4qSEvFGCpde73gqIuq3sho</t>
  </si>
  <si>
    <t>HIBIKI</t>
  </si>
  <si>
    <t>0.068</t>
  </si>
  <si>
    <t>https://api.spotify.com/v1/tracks/4MjDJD8cW7iVeWInc2Bdyj</t>
  </si>
  <si>
    <t>spotify:track:4MjDJD8cW7iVeWInc2Bdyj</t>
  </si>
  <si>
    <t>https://api.spotify.com/v1/audio-analysis/4MjDJD8cW7iVeWInc2Bdyj</t>
  </si>
  <si>
    <t>4MjDJD8cW7iVeWInc2Bdyj</t>
  </si>
  <si>
    <t>MONACO</t>
  </si>
  <si>
    <t>0.000402</t>
  </si>
  <si>
    <t>-5.41</t>
  </si>
  <si>
    <t>Bad Bunny, Young Miko</t>
  </si>
  <si>
    <t>https://api.spotify.com/v1/tracks/3nNmRE0DxHC6ZaKkrpUumS</t>
  </si>
  <si>
    <t>spotify:track:3nNmRE0DxHC6ZaKkrpUumS</t>
  </si>
  <si>
    <t>https://api.spotify.com/v1/audio-analysis/3nNmRE0DxHC6ZaKkrpUumS</t>
  </si>
  <si>
    <t>3nNmRE0DxHC6ZaKkrpUumS</t>
  </si>
  <si>
    <t>FINA</t>
  </si>
  <si>
    <t>1.11e-06</t>
  </si>
  <si>
    <t>Rauw Alejandro</t>
  </si>
  <si>
    <t>https://api.spotify.com/v1/tracks/2kz1YOhJiNubjigR1gB1VX</t>
  </si>
  <si>
    <t>spotify:track:2kz1YOhJiNubjigR1gB1VX</t>
  </si>
  <si>
    <t>PLAYA SATURNO</t>
  </si>
  <si>
    <t>https://api.spotify.com/v1/audio-analysis/2kz1YOhJiNubjigR1gB1VX</t>
  </si>
  <si>
    <t>2kz1YOhJiNubjigR1gB1VX</t>
  </si>
  <si>
    <t>DILUVIO</t>
  </si>
  <si>
    <t>6E7Awtyx6opYTbPXx6ApzB</t>
  </si>
  <si>
    <t>KAROL G, Peso Pluma</t>
  </si>
  <si>
    <t>https://api.spotify.com/v1/tracks/5RqSsdzTNPX1uzkmlHCFvK</t>
  </si>
  <si>
    <t>spotify:track:5RqSsdzTNPX1uzkmlHCFvK</t>
  </si>
  <si>
    <t>MA√ëANA SER√Å BONITO (BICHOTA SEASON)</t>
  </si>
  <si>
    <t>https://api.spotify.com/v1/audio-analysis/5RqSsdzTNPX1uzkmlHCFvK</t>
  </si>
  <si>
    <t>5RqSsdzTNPX1uzkmlHCFvK</t>
  </si>
  <si>
    <t>QLONA</t>
  </si>
  <si>
    <t>0FqAaUEyKCyUNFE1uQPZ7i</t>
  </si>
  <si>
    <t>https://api.spotify.com/v1/tracks/7ro0hRteUMfnOioTFI5TG1</t>
  </si>
  <si>
    <t>spotify:track:7ro0hRteUMfnOioTFI5TG1</t>
  </si>
  <si>
    <t>WHERE SHE GOES</t>
  </si>
  <si>
    <t>https://api.spotify.com/v1/audio-analysis/7ro0hRteUMfnOioTFI5TG1</t>
  </si>
  <si>
    <t>7ro0hRteUMfnOioTFI5TG1</t>
  </si>
  <si>
    <t>5gCcb5fsSb6w5K8SyJrgtB</t>
  </si>
  <si>
    <t>Eladio Carrion, Bad Bunny</t>
  </si>
  <si>
    <t>https://api.spotify.com/v1/tracks/0PB0O24JqAuNdOAFVJljMS</t>
  </si>
  <si>
    <t>spotify:track:0PB0O24JqAuNdOAFVJljMS</t>
  </si>
  <si>
    <t>3MEN2 KBRN</t>
  </si>
  <si>
    <t>https://api.spotify.com/v1/audio-analysis/0PB0O24JqAuNdOAFVJljMS</t>
  </si>
  <si>
    <t>0PB0O24JqAuNdOAFVJljMS</t>
  </si>
  <si>
    <t>Coco Chanel</t>
  </si>
  <si>
    <t>4.43e-05</t>
  </si>
  <si>
    <t>6BGN5CVd7koJApotl5Bj8u</t>
  </si>
  <si>
    <t>123.06</t>
  </si>
  <si>
    <t>https://api.spotify.com/v1/tracks/5MxFWjuqQIsbNWbMdMdbli</t>
  </si>
  <si>
    <t>spotify:track:5MxFWjuqQIsbNWbMdMdbli</t>
  </si>
  <si>
    <t>La Jumpa</t>
  </si>
  <si>
    <t>https://api.spotify.com/v1/audio-analysis/5MxFWjuqQIsbNWbMdMdbli</t>
  </si>
  <si>
    <t>5MxFWjuqQIsbNWbMdMdbli</t>
  </si>
  <si>
    <t>6LOhj1aK7vkGHJXtKU16PN</t>
  </si>
  <si>
    <t>Bad Bunny, Chencho Corleone</t>
  </si>
  <si>
    <t>https://api.spotify.com/v1/tracks/6Sq7ltF9Qa7SNFBsV5Cogx</t>
  </si>
  <si>
    <t>spotify:track:6Sq7ltF9Qa7SNFBsV5Cogx</t>
  </si>
  <si>
    <t>https://api.spotify.com/v1/audio-analysis/6Sq7ltF9Qa7SNFBsV5Cogx</t>
  </si>
  <si>
    <t>6Sq7ltF9Qa7SNFBsV5Cogx</t>
  </si>
  <si>
    <t>Me Porto Bonito</t>
  </si>
  <si>
    <t>https://api.spotify.com/v1/tracks/5Eax0qFko2dh7Rl2lYs3bx</t>
  </si>
  <si>
    <t>spotify:track:5Eax0qFko2dh7Rl2lYs3bx</t>
  </si>
  <si>
    <t>https://api.spotify.com/v1/audio-analysis/5Eax0qFko2dh7Rl2lYs3bx</t>
  </si>
  <si>
    <t>5Eax0qFko2dh7Rl2lYs3bx</t>
  </si>
  <si>
    <t>Efecto</t>
  </si>
  <si>
    <t>1.73e-05</t>
  </si>
  <si>
    <t>https://api.spotify.com/v1/tracks/1IHWl5LamUGEuP4ozKQSXZ</t>
  </si>
  <si>
    <t>spotify:track:1IHWl5LamUGEuP4ozKQSXZ</t>
  </si>
  <si>
    <t>https://api.spotify.com/v1/audio-analysis/1IHWl5LamUGEuP4ozKQSXZ</t>
  </si>
  <si>
    <t>1IHWl5LamUGEuP4ozKQSXZ</t>
  </si>
  <si>
    <t>Tit√≠ Me Pregunt√≥</t>
  </si>
  <si>
    <t>0.000291</t>
  </si>
  <si>
    <t>Bad Bunny, JHAYCO</t>
  </si>
  <si>
    <t>0.0419</t>
  </si>
  <si>
    <t>https://api.spotify.com/v1/tracks/41oY4WCTj5kccfesTVFnvN</t>
  </si>
  <si>
    <t>spotify:track:41oY4WCTj5kccfesTVFnvN</t>
  </si>
  <si>
    <t>https://api.spotify.com/v1/audio-analysis/41oY4WCTj5kccfesTVFnvN</t>
  </si>
  <si>
    <t>41oY4WCTj5kccfesTVFnvN</t>
  </si>
  <si>
    <t>Tarot</t>
  </si>
  <si>
    <t>0.0225</t>
  </si>
  <si>
    <t>196.12</t>
  </si>
  <si>
    <t>-3.51</t>
  </si>
  <si>
    <t>Bad Bunny, Tony Dize</t>
  </si>
  <si>
    <t>https://api.spotify.com/v1/tracks/1797zYiX4cKosMH836X9Gt</t>
  </si>
  <si>
    <t>spotify:track:1797zYiX4cKosMH836X9Gt</t>
  </si>
  <si>
    <t>https://api.spotify.com/v1/audio-analysis/1797zYiX4cKosMH836X9Gt</t>
  </si>
  <si>
    <t>1797zYiX4cKosMH836X9Gt</t>
  </si>
  <si>
    <t>La Corriente</t>
  </si>
  <si>
    <t>Mora, JHAYCO</t>
  </si>
  <si>
    <t>https://api.spotify.com/v1/tracks/2hLXUbsOU9cDb9RFva9FYr</t>
  </si>
  <si>
    <t>spotify:track:2hLXUbsOU9cDb9RFva9FYr</t>
  </si>
  <si>
    <t>https://api.spotify.com/v1/audio-analysis/2hLXUbsOU9cDb9RFva9FYr</t>
  </si>
  <si>
    <t>2hLXUbsOU9cDb9RFva9FYr</t>
  </si>
  <si>
    <t>MEMORIAS</t>
  </si>
  <si>
    <t>Tego Calder√≥n</t>
  </si>
  <si>
    <t>https://api.spotify.com/v1/tracks/5YJ4BVvTFmVCxUyhKejHfR</t>
  </si>
  <si>
    <t>spotify:track:5YJ4BVvTFmVCxUyhKejHfR</t>
  </si>
  <si>
    <t>El Abayarde</t>
  </si>
  <si>
    <t>https://api.spotify.com/v1/audio-analysis/5YJ4BVvTFmVCxUyhKejHfR</t>
  </si>
  <si>
    <t>5YJ4BVvTFmVCxUyhKejHfR</t>
  </si>
  <si>
    <t>Pa' Que Retozen</t>
  </si>
  <si>
    <t>8.34e-05</t>
  </si>
  <si>
    <t>6Q1kiSijkaHwoCwZUHW6IY</t>
  </si>
  <si>
    <t>0.0674</t>
  </si>
  <si>
    <t>Aventura, Bad Bunny</t>
  </si>
  <si>
    <t>https://api.spotify.com/v1/tracks/2vmfvSoZBFAt9hhRoEByLi</t>
  </si>
  <si>
    <t>spotify:track:2vmfvSoZBFAt9hhRoEByLi</t>
  </si>
  <si>
    <t>Volv√≠</t>
  </si>
  <si>
    <t>https://api.spotify.com/v1/audio-analysis/2vmfvSoZBFAt9hhRoEByLi</t>
  </si>
  <si>
    <t>2vmfvSoZBFAt9hhRoEByLi</t>
  </si>
  <si>
    <t>23zzZlUiABIg4ftZbJ7peK</t>
  </si>
  <si>
    <t>Mora, Bad Bunny, Sech</t>
  </si>
  <si>
    <t>0.0673</t>
  </si>
  <si>
    <t>https://api.spotify.com/v1/tracks/0G2zPzWqVjR68iNPmx2TBe</t>
  </si>
  <si>
    <t>spotify:track:0G2zPzWqVjR68iNPmx2TBe</t>
  </si>
  <si>
    <t>Volando (Remix)</t>
  </si>
  <si>
    <t>https://api.spotify.com/v1/audio-analysis/0G2zPzWqVjR68iNPmx2TBe</t>
  </si>
  <si>
    <t>0G2zPzWqVjR68iNPmx2TBe</t>
  </si>
  <si>
    <t>Volando - Remix</t>
  </si>
  <si>
    <t>4MCZWUKxkvdMITh4KapBKX</t>
  </si>
  <si>
    <t>https://api.spotify.com/v1/tracks/2JPLbjOn0wPCngEot2STUS</t>
  </si>
  <si>
    <t>spotify:track:2JPLbjOn0wPCngEot2STUS</t>
  </si>
  <si>
    <t>Yonaguni</t>
  </si>
  <si>
    <t>https://api.spotify.com/v1/audio-analysis/2JPLbjOn0wPCngEot2STUS</t>
  </si>
  <si>
    <t>2JPLbjOn0wPCngEot2STUS</t>
  </si>
  <si>
    <t>6VSOIs13DaSG2IPilNviX5</t>
  </si>
  <si>
    <t>https://api.spotify.com/v1/tracks/5RubKOuDoPn5Kj5TLVxSxY</t>
  </si>
  <si>
    <t>spotify:track:5RubKOuDoPn5Kj5TLVxSxY</t>
  </si>
  <si>
    <t>https://api.spotify.com/v1/audio-analysis/5RubKOuDoPn5Kj5TLVxSxY</t>
  </si>
  <si>
    <t>5RubKOuDoPn5Kj5TLVxSxY</t>
  </si>
  <si>
    <t>TE MUDASTE</t>
  </si>
  <si>
    <t>0.000572</t>
  </si>
  <si>
    <t>Bad Bunny, ROSAL√çA</t>
  </si>
  <si>
    <t>https://api.spotify.com/v1/tracks/2XIc1pqjXV3Cr2BQUGNBck</t>
  </si>
  <si>
    <t>spotify:track:2XIc1pqjXV3Cr2BQUGNBck</t>
  </si>
  <si>
    <t>https://api.spotify.com/v1/audio-analysis/2XIc1pqjXV3Cr2BQUGNBck</t>
  </si>
  <si>
    <t>2XIc1pqjXV3Cr2BQUGNBck</t>
  </si>
  <si>
    <t>LA NOCHE DE ANOCHE</t>
  </si>
  <si>
    <t>ROSAL√çA, Ozuna</t>
  </si>
  <si>
    <t>https://api.spotify.com/v1/tracks/7BlBVFwvbWvcwNcUarQmjk</t>
  </si>
  <si>
    <t>spotify:track:7BlBVFwvbWvcwNcUarQmjk</t>
  </si>
  <si>
    <t>Yo x Ti, Tu x Mi</t>
  </si>
  <si>
    <t>https://api.spotify.com/v1/audio-analysis/7BlBVFwvbWvcwNcUarQmjk</t>
  </si>
  <si>
    <t>7BlBVFwvbWvcwNcUarQmjk</t>
  </si>
  <si>
    <t>0.000868</t>
  </si>
  <si>
    <t>3844bY26oeSkqd06th4EYp</t>
  </si>
  <si>
    <t>0.0544</t>
  </si>
  <si>
    <t>https://api.spotify.com/v1/tracks/4MzXwWMhyBbmu6hOcLVD49</t>
  </si>
  <si>
    <t>spotify:track:4MzXwWMhyBbmu6hOcLVD49</t>
  </si>
  <si>
    <t>https://api.spotify.com/v1/audio-analysis/4MzXwWMhyBbmu6hOcLVD49</t>
  </si>
  <si>
    <t>4MzXwWMhyBbmu6hOcLVD49</t>
  </si>
  <si>
    <t>D√ÅKITI</t>
  </si>
  <si>
    <t>5.22e-05</t>
  </si>
  <si>
    <t>Anuel AA, Bad Bunny</t>
  </si>
  <si>
    <t>https://api.spotify.com/v1/tracks/06s3QtMJVXw1AJX3UfvZG1</t>
  </si>
  <si>
    <t>spotify:track:06s3QtMJVXw1AJX3UfvZG1</t>
  </si>
  <si>
    <t>Emmanuel</t>
  </si>
  <si>
    <t>https://api.spotify.com/v1/audio-analysis/06s3QtMJVXw1AJX3UfvZG1</t>
  </si>
  <si>
    <t>06s3QtMJVXw1AJX3UfvZG1</t>
  </si>
  <si>
    <t>Hasta Que Dios Diga</t>
  </si>
  <si>
    <t>3.29e-06</t>
  </si>
  <si>
    <t>7JtT7OyWM8BnIS5FXXPMKg</t>
  </si>
  <si>
    <t>Bad Bunny, Jowell &amp; Randy, √ëengo Flow</t>
  </si>
  <si>
    <t>https://api.spotify.com/v1/tracks/2DEZmgHKAvm41k4J3R2E9Y</t>
  </si>
  <si>
    <t>spotify:track:2DEZmgHKAvm41k4J3R2E9Y</t>
  </si>
  <si>
    <t>YHLQMDLG</t>
  </si>
  <si>
    <t>https://api.spotify.com/v1/audio-analysis/2DEZmgHKAvm41k4J3R2E9Y</t>
  </si>
  <si>
    <t>2DEZmgHKAvm41k4J3R2E9Y</t>
  </si>
  <si>
    <t>Safaera</t>
  </si>
  <si>
    <t>5lJqux7orBlA1QzyiBGti1</t>
  </si>
  <si>
    <t>179.87</t>
  </si>
  <si>
    <t>0.0783</t>
  </si>
  <si>
    <t>https://api.spotify.com/v1/tracks/6NfrH0ANGmgBXyxgV2PeXt</t>
  </si>
  <si>
    <t>spotify:track:6NfrH0ANGmgBXyxgV2PeXt</t>
  </si>
  <si>
    <t>https://api.spotify.com/v1/audio-analysis/6NfrH0ANGmgBXyxgV2PeXt</t>
  </si>
  <si>
    <t>6NfrH0ANGmgBXyxgV2PeXt</t>
  </si>
  <si>
    <t>La Dif√≠cil</t>
  </si>
  <si>
    <t>7.14e-06</t>
  </si>
  <si>
    <t>https://api.spotify.com/v1/tracks/4r9jkMEnArtWGH2rL2FZl0</t>
  </si>
  <si>
    <t>spotify:track:4r9jkMEnArtWGH2rL2FZl0</t>
  </si>
  <si>
    <t>https://api.spotify.com/v1/audio-analysis/4r9jkMEnArtWGH2rL2FZl0</t>
  </si>
  <si>
    <t>4r9jkMEnArtWGH2rL2FZl0</t>
  </si>
  <si>
    <t>A Tu Merced</t>
  </si>
  <si>
    <t>0.000106</t>
  </si>
  <si>
    <t>0.0646</t>
  </si>
  <si>
    <t>https://api.spotify.com/v1/tracks/41wtwzCZkXwpnakmwJ239F</t>
  </si>
  <si>
    <t>spotify:track:41wtwzCZkXwpnakmwJ239F</t>
  </si>
  <si>
    <t>https://api.spotify.com/v1/audio-analysis/41wtwzCZkXwpnakmwJ239F</t>
  </si>
  <si>
    <t>41wtwzCZkXwpnakmwJ239F</t>
  </si>
  <si>
    <t>Si Veo a Tu Mam√°</t>
  </si>
  <si>
    <t>4.81e-06</t>
  </si>
  <si>
    <t>https://api.spotify.com/v1/tracks/5kqNIqFjijuzvVLhuY9B8j</t>
  </si>
  <si>
    <t>spotify:track:5kqNIqFjijuzvVLhuY9B8j</t>
  </si>
  <si>
    <t>https://api.spotify.com/v1/audio-analysis/5kqNIqFjijuzvVLhuY9B8j</t>
  </si>
  <si>
    <t>5kqNIqFjijuzvVLhuY9B8j</t>
  </si>
  <si>
    <t>La Zona</t>
  </si>
  <si>
    <t>7.04e-05</t>
  </si>
  <si>
    <t>-5.16</t>
  </si>
  <si>
    <t>0.0695</t>
  </si>
  <si>
    <t>https://api.spotify.com/v1/tracks/0SqqAgdovOE24BzxIClpjw</t>
  </si>
  <si>
    <t>spotify:track:0SqqAgdovOE24BzxIClpjw</t>
  </si>
  <si>
    <t>https://api.spotify.com/v1/audio-analysis/0SqqAgdovOE24BzxIClpjw</t>
  </si>
  <si>
    <t>0SqqAgdovOE24BzxIClpjw</t>
  </si>
  <si>
    <t>Yo Perreo Sola</t>
  </si>
  <si>
    <t>Rauw Alejandro, Farruko</t>
  </si>
  <si>
    <t>https://api.spotify.com/v1/tracks/6mAN61JH0dzyZpWslS11jy</t>
  </si>
  <si>
    <t>spotify:track:6mAN61JH0dzyZpWslS11jy</t>
  </si>
  <si>
    <t>Fantasias</t>
  </si>
  <si>
    <t>https://api.spotify.com/v1/audio-analysis/6mAN61JH0dzyZpWslS11jy</t>
  </si>
  <si>
    <t>6mAN61JH0dzyZpWslS11jy</t>
  </si>
  <si>
    <t>1Flcx9eDuv7pTGM9nJBmGL</t>
  </si>
  <si>
    <t>Darell, Brytiago</t>
  </si>
  <si>
    <t>https://api.spotify.com/v1/tracks/7q3NthaBqFI6s0WnAlnIvq</t>
  </si>
  <si>
    <t>spotify:track:7q3NthaBqFI6s0WnAlnIvq</t>
  </si>
  <si>
    <t>Velitas</t>
  </si>
  <si>
    <t>https://api.spotify.com/v1/audio-analysis/7q3NthaBqFI6s0WnAlnIvq</t>
  </si>
  <si>
    <t>7q3NthaBqFI6s0WnAlnIvq</t>
  </si>
  <si>
    <t>1.19e-06</t>
  </si>
  <si>
    <t>12jwb6dkXYHWYg2YXvNCuA</t>
  </si>
  <si>
    <t>J Balvin, Bad Bunny</t>
  </si>
  <si>
    <t>https://api.spotify.com/v1/tracks/0fea68AdmYNygeTGI4RC18</t>
  </si>
  <si>
    <t>spotify:track:0fea68AdmYNygeTGI4RC18</t>
  </si>
  <si>
    <t>OASIS</t>
  </si>
  <si>
    <t>https://api.spotify.com/v1/audio-analysis/0fea68AdmYNygeTGI4RC18</t>
  </si>
  <si>
    <t>0fea68AdmYNygeTGI4RC18</t>
  </si>
  <si>
    <t>LA CANCI√ìN</t>
  </si>
  <si>
    <t>1.81e-05</t>
  </si>
  <si>
    <t>6ylFfzx32ICw4L1A7YWNLN</t>
  </si>
  <si>
    <t>https://api.spotify.com/v1/tracks/25ZAibhr3bdlMCLmubZDVt</t>
  </si>
  <si>
    <t>spotify:track:25ZAibhr3bdlMCLmubZDVt</t>
  </si>
  <si>
    <t>https://api.spotify.com/v1/audio-analysis/25ZAibhr3bdlMCLmubZDVt</t>
  </si>
  <si>
    <t>25ZAibhr3bdlMCLmubZDVt</t>
  </si>
  <si>
    <t>QUE PRETENDES</t>
  </si>
  <si>
    <t>Bad Bunny, Tainy</t>
  </si>
  <si>
    <t>https://api.spotify.com/v1/tracks/2TH65lNHgvLxCKXM3apjxI</t>
  </si>
  <si>
    <t>spotify:track:2TH65lNHgvLxCKXM3apjxI</t>
  </si>
  <si>
    <t>Callaita</t>
  </si>
  <si>
    <t>https://api.spotify.com/v1/audio-analysis/2TH65lNHgvLxCKXM3apjxI</t>
  </si>
  <si>
    <t>2TH65lNHgvLxCKXM3apjxI</t>
  </si>
  <si>
    <t>2.12e-06</t>
  </si>
  <si>
    <t>06S3Qjh4QWLtn6c7CVhYh7</t>
  </si>
  <si>
    <t>ROSAL√çA, J Balvin, El Guincho</t>
  </si>
  <si>
    <t>https://api.spotify.com/v1/tracks/2qG5sZ7Si6sdK74qLxedYM</t>
  </si>
  <si>
    <t>spotify:track:2qG5sZ7Si6sdK74qLxedYM</t>
  </si>
  <si>
    <t>Con Altura</t>
  </si>
  <si>
    <t>https://api.spotify.com/v1/audio-analysis/2qG5sZ7Si6sdK74qLxedYM</t>
  </si>
  <si>
    <t>2qG5sZ7Si6sdK74qLxedYM</t>
  </si>
  <si>
    <t>0.00325</t>
  </si>
  <si>
    <t>4bxHLppgdmaYJk0yfdcP0l</t>
  </si>
  <si>
    <t>DJ Luian, Mambo Kingz, Anuel AA, Nicky Jam, Darell, Brytiago</t>
  </si>
  <si>
    <t>https://api.spotify.com/v1/tracks/4lzxJ4jCuFDXXGkE1LmpKR</t>
  </si>
  <si>
    <t>spotify:track:4lzxJ4jCuFDXXGkE1LmpKR</t>
  </si>
  <si>
    <t>Verte Ir</t>
  </si>
  <si>
    <t>https://api.spotify.com/v1/audio-analysis/4lzxJ4jCuFDXXGkE1LmpKR</t>
  </si>
  <si>
    <t>4lzxJ4jCuFDXXGkE1LmpKR</t>
  </si>
  <si>
    <t>1.2e-06</t>
  </si>
  <si>
    <t>76XsfdI0kGODDdhHAJKZi3</t>
  </si>
  <si>
    <t>Becky G, Bad Bunny</t>
  </si>
  <si>
    <t>0.0445</t>
  </si>
  <si>
    <t>https://api.spotify.com/v1/tracks/2AY1UAimvTqjJC8vDJsOyy</t>
  </si>
  <si>
    <t>spotify:track:2AY1UAimvTqjJC8vDJsOyy</t>
  </si>
  <si>
    <t>MALA SANTA</t>
  </si>
  <si>
    <t>https://api.spotify.com/v1/audio-analysis/2AY1UAimvTqjJC8vDJsOyy</t>
  </si>
  <si>
    <t>2AY1UAimvTqjJC8vDJsOyy</t>
  </si>
  <si>
    <t>Mayores</t>
  </si>
  <si>
    <t>13MHW8hoLFjX7SaVEVmj3X</t>
  </si>
  <si>
    <t>https://api.spotify.com/v1/tracks/5jzEwSyyymBlf1fa1o39T2</t>
  </si>
  <si>
    <t>spotify:track:5jzEwSyyymBlf1fa1o39T2</t>
  </si>
  <si>
    <t>Primer Dia de Clases</t>
  </si>
  <si>
    <t>https://api.spotify.com/v1/audio-analysis/5jzEwSyyymBlf1fa1o39T2</t>
  </si>
  <si>
    <t>5jzEwSyyymBlf1fa1o39T2</t>
  </si>
  <si>
    <t>5r8T7S23cVDSd7a045h4N5</t>
  </si>
  <si>
    <t>J Balvin</t>
  </si>
  <si>
    <t>https://api.spotify.com/v1/tracks/6Ges5C2IE738iJh4HyQizQ</t>
  </si>
  <si>
    <t>spotify:track:6Ges5C2IE738iJh4HyQizQ</t>
  </si>
  <si>
    <t>La Familia B Sides</t>
  </si>
  <si>
    <t>https://api.spotify.com/v1/audio-analysis/6Ges5C2IE738iJh4HyQizQ</t>
  </si>
  <si>
    <t>6Ges5C2IE738iJh4HyQizQ</t>
  </si>
  <si>
    <t>Ay Vamos</t>
  </si>
  <si>
    <t>5.52e-05</t>
  </si>
  <si>
    <t>4loQMkHOAbqVdyb59KBbsp</t>
  </si>
  <si>
    <t>175.95</t>
  </si>
  <si>
    <t>Maluma</t>
  </si>
  <si>
    <t>https://api.spotify.com/v1/tracks/6DUdDIRgLqCGq1DwkNWQTN</t>
  </si>
  <si>
    <t>spotify:track:6DUdDIRgLqCGq1DwkNWQTN</t>
  </si>
  <si>
    <t>Pretty Boy, Dirty Boy</t>
  </si>
  <si>
    <t>https://api.spotify.com/v1/audio-analysis/6DUdDIRgLqCGq1DwkNWQTN</t>
  </si>
  <si>
    <t>6DUdDIRgLqCGq1DwkNWQTN</t>
  </si>
  <si>
    <t>Borro Cassette</t>
  </si>
  <si>
    <t>3PomvFR694SrCSZzDWMWV7</t>
  </si>
  <si>
    <t>J Balvin, Farruko</t>
  </si>
  <si>
    <t>https://api.spotify.com/v1/tracks/3uvypVUsiIr1B0BccIcsEh</t>
  </si>
  <si>
    <t>spotify:track:3uvypVUsiIr1B0BccIcsEh</t>
  </si>
  <si>
    <t>La Familia</t>
  </si>
  <si>
    <t>https://api.spotify.com/v1/audio-analysis/3uvypVUsiIr1B0BccIcsEh</t>
  </si>
  <si>
    <t>3uvypVUsiIr1B0BccIcsEh</t>
  </si>
  <si>
    <t>5Fqdd85mAoGDp0K9lmbPDp</t>
  </si>
  <si>
    <t>Bad Bunny, Prince Royce, J Balvin, Mambo Kingz, DJ Luian</t>
  </si>
  <si>
    <t>https://api.spotify.com/v1/tracks/5hcisvFMidkMJlElTO9Qmw</t>
  </si>
  <si>
    <t>spotify:track:5hcisvFMidkMJlElTO9Qmw</t>
  </si>
  <si>
    <t>Sensualidad</t>
  </si>
  <si>
    <t>https://api.spotify.com/v1/audio-analysis/5hcisvFMidkMJlElTO9Qmw</t>
  </si>
  <si>
    <t>5hcisvFMidkMJlElTO9Qmw</t>
  </si>
  <si>
    <t>287ZdmXv5M5YH5xxdGLhbY</t>
  </si>
  <si>
    <t>Yannc, Darkiel, Eladio Carrion, Brray, Myke Towers</t>
  </si>
  <si>
    <t>https://api.spotify.com/v1/tracks/0GmiGIxXDNrePrHBpijYDp</t>
  </si>
  <si>
    <t>spotify:track:0GmiGIxXDNrePrHBpijYDp</t>
  </si>
  <si>
    <t>Sigue Bailandome</t>
  </si>
  <si>
    <t>https://api.spotify.com/v1/audio-analysis/0GmiGIxXDNrePrHBpijYDp</t>
  </si>
  <si>
    <t>0GmiGIxXDNrePrHBpijYDp</t>
  </si>
  <si>
    <t>0.001</t>
  </si>
  <si>
    <t>7v95vtyP4yh88N5fx5rYdB</t>
  </si>
  <si>
    <t>J Balvin, Zion &amp; Lennox</t>
  </si>
  <si>
    <t>https://api.spotify.com/v1/tracks/5qFeMRz4TvetPmzjre9Dq7</t>
  </si>
  <si>
    <t>spotify:track:5qFeMRz4TvetPmzjre9Dq7</t>
  </si>
  <si>
    <t>Vibras</t>
  </si>
  <si>
    <t>https://api.spotify.com/v1/audio-analysis/5qFeMRz4TvetPmzjre9Dq7</t>
  </si>
  <si>
    <t>5qFeMRz4TvetPmzjre9Dq7</t>
  </si>
  <si>
    <t>No Es Justo</t>
  </si>
  <si>
    <t>5kprdYds6oZb4iSldfflOT</t>
  </si>
  <si>
    <t>0.0831</t>
  </si>
  <si>
    <t>https://api.spotify.com/v1/tracks/5J7teKIJGtqVypgYI6sqXj</t>
  </si>
  <si>
    <t>spotify:track:5J7teKIJGtqVypgYI6sqXj</t>
  </si>
  <si>
    <t>https://api.spotify.com/v1/audio-analysis/5J7teKIJGtqVypgYI6sqXj</t>
  </si>
  <si>
    <t>5J7teKIJGtqVypgYI6sqXj</t>
  </si>
  <si>
    <t>Una Vez</t>
  </si>
  <si>
    <t>2.58e-06</t>
  </si>
  <si>
    <t>Ozuna, J Balvin, Chencho Corleone</t>
  </si>
  <si>
    <t>https://api.spotify.com/v1/tracks/5y7DaS3jAc9eZzcSOoUIwU</t>
  </si>
  <si>
    <t>spotify:track:5y7DaS3jAc9eZzcSOoUIwU</t>
  </si>
  <si>
    <t>ENOC</t>
  </si>
  <si>
    <t>https://api.spotify.com/v1/audio-analysis/5y7DaS3jAc9eZzcSOoUIwU</t>
  </si>
  <si>
    <t>5y7DaS3jAc9eZzcSOoUIwU</t>
  </si>
  <si>
    <t>Una Locura</t>
  </si>
  <si>
    <t>0.00035</t>
  </si>
  <si>
    <t>69iuPQsXel3luOSDNF0q2Q</t>
  </si>
  <si>
    <t>Myke Towers, Juhn</t>
  </si>
  <si>
    <t>https://api.spotify.com/v1/tracks/1xK1Gg9SxG8fy2Ya373oqb</t>
  </si>
  <si>
    <t>spotify:track:1xK1Gg9SxG8fy2Ya373oqb</t>
  </si>
  <si>
    <t>Bandido</t>
  </si>
  <si>
    <t>https://api.spotify.com/v1/audio-analysis/1xK1Gg9SxG8fy2Ya373oqb</t>
  </si>
  <si>
    <t>1xK1Gg9SxG8fy2Ya373oqb</t>
  </si>
  <si>
    <t>5sIyJyOgwEIOgBhLxIGG3t</t>
  </si>
  <si>
    <t>79.31</t>
  </si>
  <si>
    <t>J Balvin, Bad Bunny, Marciano Cantero</t>
  </si>
  <si>
    <t>https://api.spotify.com/v1/tracks/7hynhxDoDpgMIV12JuVtNa</t>
  </si>
  <si>
    <t>spotify:track:7hynhxDoDpgMIV12JuVtNa</t>
  </si>
  <si>
    <t>https://api.spotify.com/v1/audio-analysis/7hynhxDoDpgMIV12JuVtNa</t>
  </si>
  <si>
    <t>7hynhxDoDpgMIV12JuVtNa</t>
  </si>
  <si>
    <t>UN PESO</t>
  </si>
  <si>
    <t>KAROL G, Mariah Angeliq</t>
  </si>
  <si>
    <t>https://api.spotify.com/v1/tracks/2FSGUA0gFgGeQdprjtGM2M</t>
  </si>
  <si>
    <t>spotify:track:2FSGUA0gFgGeQdprjtGM2M</t>
  </si>
  <si>
    <t>KG0516</t>
  </si>
  <si>
    <t>https://api.spotify.com/v1/audio-analysis/2FSGUA0gFgGeQdprjtGM2M</t>
  </si>
  <si>
    <t>2FSGUA0gFgGeQdprjtGM2M</t>
  </si>
  <si>
    <t>EL MAKINON</t>
  </si>
  <si>
    <t>5CS8E6JVACItYto4OOJoPW</t>
  </si>
  <si>
    <t>Farruko</t>
  </si>
  <si>
    <t>https://api.spotify.com/v1/tracks/5fwSHlTEWpluwOM0Sxnh5k</t>
  </si>
  <si>
    <t>spotify:track:5fwSHlTEWpluwOM0Sxnh5k</t>
  </si>
  <si>
    <t>Pepas</t>
  </si>
  <si>
    <t>https://api.spotify.com/v1/audio-analysis/5fwSHlTEWpluwOM0Sxnh5k</t>
  </si>
  <si>
    <t>5fwSHlTEWpluwOM0Sxnh5k</t>
  </si>
  <si>
    <t>6.98e-05</t>
  </si>
  <si>
    <t>2A5ksnhz7YWbRLvFMjX1j1</t>
  </si>
  <si>
    <t>0.00776</t>
  </si>
  <si>
    <t>Myke Towers</t>
  </si>
  <si>
    <t>0.0571</t>
  </si>
  <si>
    <t>https://api.spotify.com/v1/tracks/2KcNrONbZ0hvBPjvrDO2tx</t>
  </si>
  <si>
    <t>spotify:track:2KcNrONbZ0hvBPjvrDO2tx</t>
  </si>
  <si>
    <t>ALMAS GEMELAS</t>
  </si>
  <si>
    <t>https://api.spotify.com/v1/audio-analysis/2KcNrONbZ0hvBPjvrDO2tx</t>
  </si>
  <si>
    <t>2KcNrONbZ0hvBPjvrDO2tx</t>
  </si>
  <si>
    <t>0.000189</t>
  </si>
  <si>
    <t>3DcHy54Up1gEXKXbsv8xeT</t>
  </si>
  <si>
    <t>Bad Bunny, Yaviah</t>
  </si>
  <si>
    <t>0.0458</t>
  </si>
  <si>
    <t>https://api.spotify.com/v1/tracks/4j4w4CXm6BSr0s25wAWrrX</t>
  </si>
  <si>
    <t>spotify:track:4j4w4CXm6BSr0s25wAWrrX</t>
  </si>
  <si>
    <t>https://api.spotify.com/v1/audio-analysis/4j4w4CXm6BSr0s25wAWrrX</t>
  </si>
  <si>
    <t>4j4w4CXm6BSr0s25wAWrrX</t>
  </si>
  <si>
    <t>Bichiyal</t>
  </si>
  <si>
    <t>6.63e-06</t>
  </si>
  <si>
    <t>-6.33</t>
  </si>
  <si>
    <t>Tainy, Bad Bunny, Julieta Venegas</t>
  </si>
  <si>
    <t>0.0794</t>
  </si>
  <si>
    <t>https://api.spotify.com/v1/tracks/4gzsuuZypVbxs0Af1LSZyB</t>
  </si>
  <si>
    <t>spotify:track:4gzsuuZypVbxs0Af1LSZyB</t>
  </si>
  <si>
    <t>Lo Siento BB:/ (with Bad Bunny &amp; Julieta Venegas)</t>
  </si>
  <si>
    <t>https://api.spotify.com/v1/audio-analysis/4gzsuuZypVbxs0Af1LSZyB</t>
  </si>
  <si>
    <t>4gzsuuZypVbxs0Af1LSZyB</t>
  </si>
  <si>
    <t>1.78e-06</t>
  </si>
  <si>
    <t>4589OIFRZp41qbsp7TWFCx</t>
  </si>
  <si>
    <t>0.0889</t>
  </si>
  <si>
    <t>Becky G, KAROL G</t>
  </si>
  <si>
    <t>https://api.spotify.com/v1/tracks/1ri9ZUkBJVFUdgwzCnfcYs</t>
  </si>
  <si>
    <t>spotify:track:1ri9ZUkBJVFUdgwzCnfcYs</t>
  </si>
  <si>
    <t>MAMIII</t>
  </si>
  <si>
    <t>https://api.spotify.com/v1/audio-analysis/1ri9ZUkBJVFUdgwzCnfcYs</t>
  </si>
  <si>
    <t>1ri9ZUkBJVFUdgwzCnfcYs</t>
  </si>
  <si>
    <t>6GHUywBU0u92lg0Dhrt40R</t>
  </si>
  <si>
    <t>90.02</t>
  </si>
  <si>
    <t>-3.35</t>
  </si>
  <si>
    <t>Rauw Alejandro, Chencho Corleone</t>
  </si>
  <si>
    <t>https://api.spotify.com/v1/tracks/6ZOcbKub95XSDESsKKuH41</t>
  </si>
  <si>
    <t>spotify:track:6ZOcbKub95XSDESsKKuH41</t>
  </si>
  <si>
    <t>Desesperados</t>
  </si>
  <si>
    <t>https://api.spotify.com/v1/audio-analysis/6ZOcbKub95XSDESsKKuH41</t>
  </si>
  <si>
    <t>6ZOcbKub95XSDESsKKuH41</t>
  </si>
  <si>
    <t>3w1Tr9F91XMcsmBJQ8hS7H</t>
  </si>
  <si>
    <t>174.14</t>
  </si>
  <si>
    <t>Shakira, Rauw Alejandro</t>
  </si>
  <si>
    <t>https://api.spotify.com/v1/tracks/2rurDawMfoKP4uHyb2kJBt</t>
  </si>
  <si>
    <t>spotify:track:2rurDawMfoKP4uHyb2kJBt</t>
  </si>
  <si>
    <t>Te Felicito</t>
  </si>
  <si>
    <t>https://api.spotify.com/v1/audio-analysis/2rurDawMfoKP4uHyb2kJBt</t>
  </si>
  <si>
    <t>2rurDawMfoKP4uHyb2kJBt</t>
  </si>
  <si>
    <t>6gQKAYf3TJM9sppw3AtbHH</t>
  </si>
  <si>
    <t>https://api.spotify.com/v1/tracks/1dm6z1fWB0cErMszU25dy2</t>
  </si>
  <si>
    <t>spotify:track:1dm6z1fWB0cErMszU25dy2</t>
  </si>
  <si>
    <t>https://api.spotify.com/v1/audio-analysis/1dm6z1fWB0cErMszU25dy2</t>
  </si>
  <si>
    <t>1dm6z1fWB0cErMszU25dy2</t>
  </si>
  <si>
    <t>Despu√©s de la Playa</t>
  </si>
  <si>
    <t>https://api.spotify.com/v1/tracks/6Xom58OOXk2SoU711L2IXO</t>
  </si>
  <si>
    <t>spotify:track:6Xom58OOXk2SoU711L2IXO</t>
  </si>
  <si>
    <t>https://api.spotify.com/v1/audio-analysis/6Xom58OOXk2SoU711L2IXO</t>
  </si>
  <si>
    <t>6Xom58OOXk2SoU711L2IXO</t>
  </si>
  <si>
    <t>Moscow Mule</t>
  </si>
  <si>
    <t>1.18e-06</t>
  </si>
  <si>
    <t>https://api.spotify.com/v1/tracks/0wihfILRNOwE2156Shezc8</t>
  </si>
  <si>
    <t>spotify:track:0wihfILRNOwE2156Shezc8</t>
  </si>
  <si>
    <t>https://api.spotify.com/v1/audio-analysis/0wihfILRNOwE2156Shezc8</t>
  </si>
  <si>
    <t>0wihfILRNOwE2156Shezc8</t>
  </si>
  <si>
    <t>Agosto</t>
  </si>
  <si>
    <t>6.18e-06</t>
  </si>
  <si>
    <t>0.0929</t>
  </si>
  <si>
    <t>-5.98</t>
  </si>
  <si>
    <t>Dalex, Lenny Tav√°rez, Chencho Corleone, Juhn, D√≠melo Flow</t>
  </si>
  <si>
    <t>https://api.spotify.com/v1/tracks/17I27VXKtqXJHL6ReaG0eS</t>
  </si>
  <si>
    <t>spotify:track:17I27VXKtqXJHL6ReaG0eS</t>
  </si>
  <si>
    <t>Yo Te Quiero Pa Mi</t>
  </si>
  <si>
    <t>https://api.spotify.com/v1/audio-analysis/17I27VXKtqXJHL6ReaG0eS</t>
  </si>
  <si>
    <t>17I27VXKtqXJHL6ReaG0eS</t>
  </si>
  <si>
    <t>Hola - Remix</t>
  </si>
  <si>
    <t>2xscWVWifSGkfqPmqC122O</t>
  </si>
  <si>
    <t>KAROL G, Maldy</t>
  </si>
  <si>
    <t>https://api.spotify.com/v1/tracks/1ga4PztXOIw1yBbdUt2X8v</t>
  </si>
  <si>
    <t>spotify:track:1ga4PztXOIw1yBbdUt2X8v</t>
  </si>
  <si>
    <t>GAT√öBELA</t>
  </si>
  <si>
    <t>https://api.spotify.com/v1/audio-analysis/1ga4PztXOIw1yBbdUt2X8v</t>
  </si>
  <si>
    <t>1ga4PztXOIw1yBbdUt2X8v</t>
  </si>
  <si>
    <t>5FdSjtKiymlHrdbXDyXcxA</t>
  </si>
  <si>
    <t>Anuel AA</t>
  </si>
  <si>
    <t>https://api.spotify.com/v1/tracks/7k3qWn8D43a5ISa3x8lJux</t>
  </si>
  <si>
    <t>spotify:track:7k3qWn8D43a5ISa3x8lJux</t>
  </si>
  <si>
    <t>¬øQu√© Nos Pas√≥?</t>
  </si>
  <si>
    <t>https://api.spotify.com/v1/audio-analysis/7k3qWn8D43a5ISa3x8lJux</t>
  </si>
  <si>
    <t>7k3qWn8D43a5ISa3x8lJux</t>
  </si>
  <si>
    <t>5.8e-06</t>
  </si>
  <si>
    <t>4q4kJrDt0OcTP2of4YUuHR</t>
  </si>
  <si>
    <t>https://api.spotify.com/v1/tracks/1lV3QHHMAQt0Kc1ioZq2MP</t>
  </si>
  <si>
    <t>spotify:track:1lV3QHHMAQt0Kc1ioZq2MP</t>
  </si>
  <si>
    <t>VICE VERSA</t>
  </si>
  <si>
    <t>https://api.spotify.com/v1/audio-analysis/1lV3QHHMAQt0Kc1ioZq2MP</t>
  </si>
  <si>
    <t>1lV3QHHMAQt0Kc1ioZq2MP</t>
  </si>
  <si>
    <t>Sexo Virtual</t>
  </si>
  <si>
    <t>2Nt6MDJXfoxQ22tIQgWXIh</t>
  </si>
  <si>
    <t>Rvssian, Rauw Alejandro, Chris Brown</t>
  </si>
  <si>
    <t>https://api.spotify.com/v1/tracks/2BEcap3xJtmiPaHKyfQi4e</t>
  </si>
  <si>
    <t>spotify:track:2BEcap3xJtmiPaHKyfQi4e</t>
  </si>
  <si>
    <t>Nost√°lgico</t>
  </si>
  <si>
    <t>https://api.spotify.com/v1/audio-analysis/2BEcap3xJtmiPaHKyfQi4e</t>
  </si>
  <si>
    <t>2BEcap3xJtmiPaHKyfQi4e</t>
  </si>
  <si>
    <t>1.74e-06</t>
  </si>
  <si>
    <t>3752EkZZ1wjEzZ1MRd9rsV</t>
  </si>
  <si>
    <t>Yng Lvcas, Peso Pluma</t>
  </si>
  <si>
    <t>https://api.spotify.com/v1/tracks/2UW7JaomAMuX9pZrjVpHAU</t>
  </si>
  <si>
    <t>spotify:track:2UW7JaomAMuX9pZrjVpHAU</t>
  </si>
  <si>
    <t>La Bebe (Remix)</t>
  </si>
  <si>
    <t>https://api.spotify.com/v1/audio-analysis/2UW7JaomAMuX9pZrjVpHAU</t>
  </si>
  <si>
    <t>2UW7JaomAMuX9pZrjVpHAU</t>
  </si>
  <si>
    <t>La Bebe - Remix</t>
  </si>
  <si>
    <t>1.21e-06</t>
  </si>
  <si>
    <t>6aBVGuOUEuX18rHxyDWbti</t>
  </si>
  <si>
    <t>-2.58</t>
  </si>
  <si>
    <t>Ryan Castro, Peso Pluma, SOG</t>
  </si>
  <si>
    <t>https://api.spotify.com/v1/tracks/2hn2zOA2XFlv6DSmesylrL</t>
  </si>
  <si>
    <t>spotify:track:2hn2zOA2XFlv6DSmesylrL</t>
  </si>
  <si>
    <t>QUEMA</t>
  </si>
  <si>
    <t>https://api.spotify.com/v1/audio-analysis/2hn2zOA2XFlv6DSmesylrL</t>
  </si>
  <si>
    <t>2hn2zOA2XFlv6DSmesylrL</t>
  </si>
  <si>
    <t>0.000355</t>
  </si>
  <si>
    <t>0RdSengz6ayOfcVwH3HBry</t>
  </si>
  <si>
    <t>https://api.spotify.com/v1/tracks/7ABLbnD53cQK00mhcaOUVG</t>
  </si>
  <si>
    <t>spotify:track:7ABLbnD53cQK00mhcaOUVG</t>
  </si>
  <si>
    <t>LA VIDA ES UNA</t>
  </si>
  <si>
    <t>https://api.spotify.com/v1/audio-analysis/7ABLbnD53cQK00mhcaOUVG</t>
  </si>
  <si>
    <t>7ABLbnD53cQK00mhcaOUVG</t>
  </si>
  <si>
    <t>LALA</t>
  </si>
  <si>
    <t>0.00162</t>
  </si>
  <si>
    <t>3puAvurwvtvi1rodndIPW8</t>
  </si>
  <si>
    <t>0.0739</t>
  </si>
  <si>
    <t>Darell</t>
  </si>
  <si>
    <t>https://api.spotify.com/v1/tracks/3cDyocF0Ibdfs1SFQk5cLZ</t>
  </si>
  <si>
    <t>spotify:track:3cDyocF0Ibdfs1SFQk5cLZ</t>
  </si>
  <si>
    <t>EVERYBODY GO TO THE DISCOTEK</t>
  </si>
  <si>
    <t>https://api.spotify.com/v1/audio-analysis/3cDyocF0Ibdfs1SFQk5cLZ</t>
  </si>
  <si>
    <t>3cDyocF0Ibdfs1SFQk5cLZ</t>
  </si>
  <si>
    <t>Lollipop</t>
  </si>
  <si>
    <t>11UJfH39O0VqLiQGLW0D0e</t>
  </si>
  <si>
    <t>Ozuna, Anuel AA, Chris Jedi</t>
  </si>
  <si>
    <t>https://api.spotify.com/v1/tracks/3j5zNcb0aSk7dx3W3mAKzw</t>
  </si>
  <si>
    <t>spotify:track:3j5zNcb0aSk7dx3W3mAKzw</t>
  </si>
  <si>
    <t>Cosmo</t>
  </si>
  <si>
    <t>https://api.spotify.com/v1/audio-analysis/3j5zNcb0aSk7dx3W3mAKzw</t>
  </si>
  <si>
    <t>3j5zNcb0aSk7dx3W3mAKzw</t>
  </si>
  <si>
    <t>Pa Ti Estoy</t>
  </si>
  <si>
    <t>3nEa7WJXcruywRIZXu6qRE</t>
  </si>
  <si>
    <t>Brray, JHAYCO, Ryan Castro</t>
  </si>
  <si>
    <t>https://api.spotify.com/v1/tracks/6k5wiT5l9DK8iZmhvEvoqo</t>
  </si>
  <si>
    <t>spotify:track:6k5wiT5l9DK8iZmhvEvoqo</t>
  </si>
  <si>
    <t>Coraz√≥n Roto (Remix)</t>
  </si>
  <si>
    <t>https://api.spotify.com/v1/audio-analysis/6k5wiT5l9DK8iZmhvEvoqo</t>
  </si>
  <si>
    <t>6k5wiT5l9DK8iZmhvEvoqo</t>
  </si>
  <si>
    <t>Coraz√≥n Roto - Remix</t>
  </si>
  <si>
    <t>1.22e-06</t>
  </si>
  <si>
    <t>6tt4TtcglWQFVSI0AGUvEF</t>
  </si>
  <si>
    <t>Rauw Alejandro, Chencho Corleone, KEVVO, Bryant Myers, Lyanno, Dalex</t>
  </si>
  <si>
    <t>https://api.spotify.com/v1/tracks/74j34STf8L6uADnTN69ohv</t>
  </si>
  <si>
    <t>spotify:track:74j34STf8L6uADnTN69ohv</t>
  </si>
  <si>
    <t>El Efecto (Remix)</t>
  </si>
  <si>
    <t>https://api.spotify.com/v1/audio-analysis/74j34STf8L6uADnTN69ohv</t>
  </si>
  <si>
    <t>74j34STf8L6uADnTN69ohv</t>
  </si>
  <si>
    <t>El Efecto - Remix</t>
  </si>
  <si>
    <t>1.57e-05</t>
  </si>
  <si>
    <t>18wfVLHQKF0yXimErnxAfo</t>
  </si>
  <si>
    <t>Peso Pluma, Anitta</t>
  </si>
  <si>
    <t>https://api.spotify.com/v1/tracks/05WVKTdZhlIMX4qqMLuo0f</t>
  </si>
  <si>
    <t>spotify:track:05WVKTdZhlIMX4qqMLuo0f</t>
  </si>
  <si>
    <t>BELLAKEO</t>
  </si>
  <si>
    <t>https://api.spotify.com/v1/audio-analysis/05WVKTdZhlIMX4qqMLuo0f</t>
  </si>
  <si>
    <t>05WVKTdZhlIMX4qqMLuo0f</t>
  </si>
  <si>
    <t>3VLY9g3CAG1Y5r2eGVEaZ0</t>
  </si>
  <si>
    <t>Myke Towers, Farruko, Arc√°ngel, Sech, Zion</t>
  </si>
  <si>
    <t>https://api.spotify.com/v1/tracks/6K5BsR04ijf3FHNzjbaagD</t>
  </si>
  <si>
    <t>spotify:track:6K5BsR04ijf3FHNzjbaagD</t>
  </si>
  <si>
    <t>Si Se da Remix</t>
  </si>
  <si>
    <t>https://api.spotify.com/v1/audio-analysis/6K5BsR04ijf3FHNzjbaagD</t>
  </si>
  <si>
    <t>6K5BsR04ijf3FHNzjbaagD</t>
  </si>
  <si>
    <t>Si Se Da - Remix</t>
  </si>
  <si>
    <t>75Y4sJ1vwZfEivbsKPzAx6</t>
  </si>
  <si>
    <t>Cazzu, Lyanno, Rauw Alejandro, Dalex</t>
  </si>
  <si>
    <t>https://api.spotify.com/v1/tracks/7DOh0tBGnyMt6C5OO7o8Yq</t>
  </si>
  <si>
    <t>spotify:track:7DOh0tBGnyMt6C5OO7o8Yq</t>
  </si>
  <si>
    <t>Error 93</t>
  </si>
  <si>
    <t>https://api.spotify.com/v1/audio-analysis/7DOh0tBGnyMt6C5OO7o8Yq</t>
  </si>
  <si>
    <t>7DOh0tBGnyMt6C5OO7o8Yq</t>
  </si>
  <si>
    <t>Nada</t>
  </si>
  <si>
    <t>0.000623</t>
  </si>
  <si>
    <t>5zbO01D6uIqC2ejQSQEN2O</t>
  </si>
  <si>
    <t>Rvssian, Rauw Alejandro, Ayra Starr</t>
  </si>
  <si>
    <t>https://api.spotify.com/v1/tracks/5bi0gh89wRuH2OgjdAKFsb</t>
  </si>
  <si>
    <t>spotify:track:5bi0gh89wRuH2OgjdAKFsb</t>
  </si>
  <si>
    <t>Santa</t>
  </si>
  <si>
    <t>https://api.spotify.com/v1/audio-analysis/5bi0gh89wRuH2OgjdAKFsb</t>
  </si>
  <si>
    <t>5bi0gh89wRuH2OgjdAKFsb</t>
  </si>
  <si>
    <t>0SqUi6bPIlAaWfvZibBfia</t>
  </si>
  <si>
    <t>Ozuna, Bad Gyal</t>
  </si>
  <si>
    <t>https://api.spotify.com/v1/tracks/1S3SAFqLBWk3HaR5UyXp43</t>
  </si>
  <si>
    <t>spotify:track:1S3SAFqLBWk3HaR5UyXp43</t>
  </si>
  <si>
    <t>Guay</t>
  </si>
  <si>
    <t>https://api.spotify.com/v1/audio-analysis/1S3SAFqLBWk3HaR5UyXp43</t>
  </si>
  <si>
    <t>1S3SAFqLBWk3HaR5UyXp43</t>
  </si>
  <si>
    <t>1.79e-05</t>
  </si>
  <si>
    <t>7DZzZGds5TtGakkQlGbfSl</t>
  </si>
  <si>
    <t>KEVIN ROLDAN, Bryant Myers, Lyanno</t>
  </si>
  <si>
    <t>https://api.spotify.com/v1/tracks/4PEfJZpVjdclfzZ9XO8uDw</t>
  </si>
  <si>
    <t>spotify:track:4PEfJZpVjdclfzZ9XO8uDw</t>
  </si>
  <si>
    <t>KrING</t>
  </si>
  <si>
    <t>https://api.spotify.com/v1/audio-analysis/4PEfJZpVjdclfzZ9XO8uDw</t>
  </si>
  <si>
    <t>4PEfJZpVjdclfzZ9XO8uDw</t>
  </si>
  <si>
    <t>HASTA ABAJO</t>
  </si>
  <si>
    <t>0UEG3km1FB7nGZHwiSun8x</t>
  </si>
  <si>
    <t>173.97</t>
  </si>
  <si>
    <t>iZaak, JHAYCO, Anuel AA</t>
  </si>
  <si>
    <t>https://api.spotify.com/v1/tracks/43PiEypaceH339CSNiggyj</t>
  </si>
  <si>
    <t>spotify:track:43PiEypaceH339CSNiggyj</t>
  </si>
  <si>
    <t>BBY BOO (REMIX)</t>
  </si>
  <si>
    <t>https://api.spotify.com/v1/audio-analysis/43PiEypaceH339CSNiggyj</t>
  </si>
  <si>
    <t>43PiEypaceH339CSNiggyj</t>
  </si>
  <si>
    <t>BBY BOO - REMIX</t>
  </si>
  <si>
    <t>6.11e-06</t>
  </si>
  <si>
    <t>4Rx0nQkh5sR1O0Z8lBgig9</t>
  </si>
  <si>
    <t>100.02</t>
  </si>
  <si>
    <t>Cris Mj</t>
  </si>
  <si>
    <t>https://api.spotify.com/v1/tracks/5Uptvz6j1sjDKxidAcnH2L</t>
  </si>
  <si>
    <t>spotify:track:5Uptvz6j1sjDKxidAcnH2L</t>
  </si>
  <si>
    <t>SI NO ES CONTIGO</t>
  </si>
  <si>
    <t>https://api.spotify.com/v1/audio-analysis/5Uptvz6j1sjDKxidAcnH2L</t>
  </si>
  <si>
    <t>5Uptvz6j1sjDKxidAcnH2L</t>
  </si>
  <si>
    <t>4ecjQGViGCD4snnZ3QJOEL</t>
  </si>
  <si>
    <t>0.0899</t>
  </si>
  <si>
    <t>FloyyMenor, Cris Mj</t>
  </si>
  <si>
    <t>https://api.spotify.com/v1/tracks/6XjDF6nds4DE2BBbagZol6</t>
  </si>
  <si>
    <t>spotify:track:6XjDF6nds4DE2BBbagZol6</t>
  </si>
  <si>
    <t>Gata Only</t>
  </si>
  <si>
    <t>https://api.spotify.com/v1/audio-analysis/6XjDF6nds4DE2BBbagZol6</t>
  </si>
  <si>
    <t>6XjDF6nds4DE2BBbagZol6</t>
  </si>
  <si>
    <t>2.41e-05</t>
  </si>
  <si>
    <t>5tSQtQGkrCJx3hoQxmLgfM</t>
  </si>
  <si>
    <t>Alex Favela, Grupo Marca Registrada, Joaquin Medina</t>
  </si>
  <si>
    <t>https://api.spotify.com/v1/tracks/2TJKY0WSFufZOzbRNgl6zE</t>
  </si>
  <si>
    <t>spotify:track:2TJKY0WSFufZOzbRNgl6zE</t>
  </si>
  <si>
    <t>ELOVRGA</t>
  </si>
  <si>
    <t>https://api.spotify.com/v1/audio-analysis/2TJKY0WSFufZOzbRNgl6zE</t>
  </si>
  <si>
    <t>2TJKY0WSFufZOzbRNgl6zE</t>
  </si>
  <si>
    <t>2EmOYnsIj3bkiPYTuhsqZR</t>
  </si>
  <si>
    <t>Rich Music LTD, Sech, Dalex, Justin Quiles, Lenny Tav√°rez, Feid</t>
  </si>
  <si>
    <t>https://api.spotify.com/v1/tracks/34ZngZgo8xicbt1EE8Ob8Z</t>
  </si>
  <si>
    <t>spotify:track:34ZngZgo8xicbt1EE8Ob8Z</t>
  </si>
  <si>
    <t>The Academy</t>
  </si>
  <si>
    <t>https://api.spotify.com/v1/audio-analysis/34ZngZgo8xicbt1EE8Ob8Z</t>
  </si>
  <si>
    <t>34ZngZgo8xicbt1EE8Ob8Z</t>
  </si>
  <si>
    <t>Porno</t>
  </si>
  <si>
    <t>1faqBAWocW4ZOe0OFjudGw</t>
  </si>
  <si>
    <t>Luis R Conriquez, Joel De La P, Chimbala</t>
  </si>
  <si>
    <t>https://api.spotify.com/v1/tracks/22jhscHs2DoVqKG5vKJytQ</t>
  </si>
  <si>
    <t>spotify:track:22jhscHs2DoVqKG5vKJytQ</t>
  </si>
  <si>
    <t>Que Se Cuide</t>
  </si>
  <si>
    <t>https://api.spotify.com/v1/audio-analysis/22jhscHs2DoVqKG5vKJytQ</t>
  </si>
  <si>
    <t>22jhscHs2DoVqKG5vKJytQ</t>
  </si>
  <si>
    <t>6.85e-05</t>
  </si>
  <si>
    <t>2iV4iuAjlRH64jpIofjtkz</t>
  </si>
  <si>
    <t>Victor Mendivil, Oscar Maydon</t>
  </si>
  <si>
    <t>https://api.spotify.com/v1/tracks/1cZHUhGz7xJ8c4szDipipd</t>
  </si>
  <si>
    <t>spotify:track:1cZHUhGz7xJ8c4szDipipd</t>
  </si>
  <si>
    <t>Mejores Jordans</t>
  </si>
  <si>
    <t>https://api.spotify.com/v1/audio-analysis/1cZHUhGz7xJ8c4szDipipd</t>
  </si>
  <si>
    <t>1cZHUhGz7xJ8c4szDipipd</t>
  </si>
  <si>
    <t>2.54e-06</t>
  </si>
  <si>
    <t>6gK267rs4q9swdpzj79Roz</t>
  </si>
  <si>
    <t>FloyyMenor, Lewis Somes</t>
  </si>
  <si>
    <t>https://api.spotify.com/v1/tracks/0ZS96pPRLyGUViVi5PWCAR</t>
  </si>
  <si>
    <t>spotify:track:0ZS96pPRLyGUViVi5PWCAR</t>
  </si>
  <si>
    <t>https://api.spotify.com/v1/audio-analysis/0ZS96pPRLyGUViVi5PWCAR</t>
  </si>
  <si>
    <t>0ZS96pPRLyGUViVi5PWCAR</t>
  </si>
  <si>
    <t>APAGA EL CEL</t>
  </si>
  <si>
    <t>0.000397</t>
  </si>
  <si>
    <t>Feid, ATL Jacob</t>
  </si>
  <si>
    <t>https://api.spotify.com/v1/tracks/7bywjHOc0wSjGGbj04XbVi</t>
  </si>
  <si>
    <t>spotify:track:7bywjHOc0wSjGGbj04XbVi</t>
  </si>
  <si>
    <t>https://api.spotify.com/v1/audio-analysis/7bywjHOc0wSjGGbj04XbVi</t>
  </si>
  <si>
    <t>7bywjHOc0wSjGGbj04XbVi</t>
  </si>
  <si>
    <t>LUNA</t>
  </si>
  <si>
    <t>https://api.spotify.com/v1/tracks/27bcRgu0wnDteieWlLCxc8</t>
  </si>
  <si>
    <t>spotify:track:27bcRgu0wnDteieWlLCxc8</t>
  </si>
  <si>
    <t>https://api.spotify.com/v1/audio-analysis/27bcRgu0wnDteieWlLCxc8</t>
  </si>
  <si>
    <t>27bcRgu0wnDteieWlLCxc8</t>
  </si>
  <si>
    <t>TU TA RICA</t>
  </si>
  <si>
    <t>1.82e-05</t>
  </si>
  <si>
    <t>brazilian</t>
  </si>
  <si>
    <t>MC L da Vinte, MC Gury</t>
  </si>
  <si>
    <t>https://api.spotify.com/v1/tracks/3Hb9kUdm4yf839Fle4RIdT</t>
  </si>
  <si>
    <t>spotify:track:3Hb9kUdm4yf839Fle4RIdT</t>
  </si>
  <si>
    <t>Parado no Bail√£o</t>
  </si>
  <si>
    <t>Brazilian Funk</t>
  </si>
  <si>
    <t>https://api.spotify.com/v1/audio-analysis/3Hb9kUdm4yf839Fle4RIdT</t>
  </si>
  <si>
    <t>3Hb9kUdm4yf839Fle4RIdT</t>
  </si>
  <si>
    <t>4OZ9djo9HM9hIQtjY2NBLa</t>
  </si>
  <si>
    <t>funk</t>
  </si>
  <si>
    <t>6G1N7RXO7gOGfFKlRyjl8G</t>
  </si>
  <si>
    <t>Mc Delux, DJ Guih Da ZO</t>
  </si>
  <si>
    <t>https://api.spotify.com/v1/tracks/7snnTlaWaN39nfN1PhUaT8</t>
  </si>
  <si>
    <t>spotify:track:7snnTlaWaN39nfN1PhUaT8</t>
  </si>
  <si>
    <t>Se Voce Nao Quer Passa a Vez</t>
  </si>
  <si>
    <t>https://api.spotify.com/v1/audio-analysis/7snnTlaWaN39nfN1PhUaT8</t>
  </si>
  <si>
    <t>7snnTlaWaN39nfN1PhUaT8</t>
  </si>
  <si>
    <t>0.000259</t>
  </si>
  <si>
    <t>7mSEULBduMtsKcy7w7QgWk</t>
  </si>
  <si>
    <t>0.99</t>
  </si>
  <si>
    <t>-2.39</t>
  </si>
  <si>
    <t>6YNTHMANE, RXDXVIL</t>
  </si>
  <si>
    <t>https://api.spotify.com/v1/tracks/6yVjjQA31SLM1kc4j5jPwF</t>
  </si>
  <si>
    <t>spotify:track:6yVjjQA31SLM1kc4j5jPwF</t>
  </si>
  <si>
    <t>BRAZILIAN DAN√áA PHONK</t>
  </si>
  <si>
    <t>https://api.spotify.com/v1/audio-analysis/6yVjjQA31SLM1kc4j5jPwF</t>
  </si>
  <si>
    <t>6yVjjQA31SLM1kc4j5jPwF</t>
  </si>
  <si>
    <t>4QlnGetYxfXaVGhgdmF0vG</t>
  </si>
  <si>
    <t>MC Kevin o Chris, Dj Nk Da Serra, Mc Magrinho</t>
  </si>
  <si>
    <t>0.0752</t>
  </si>
  <si>
    <t>https://api.spotify.com/v1/tracks/64CovjRwInpOJW4PiGMprY</t>
  </si>
  <si>
    <t>spotify:track:64CovjRwInpOJW4PiGMprY</t>
  </si>
  <si>
    <t>Faz um Vuk Vuk (Teto Espelhado)</t>
  </si>
  <si>
    <t>https://api.spotify.com/v1/audio-analysis/64CovjRwInpOJW4PiGMprY</t>
  </si>
  <si>
    <t>64CovjRwInpOJW4PiGMprY</t>
  </si>
  <si>
    <t>59qldBzRiQutEYO1hqxw7H</t>
  </si>
  <si>
    <t>DJ Zig√£o, DJ Lafon Do Md, Mc Rodrigo do CN, Mc Rf</t>
  </si>
  <si>
    <t>https://api.spotify.com/v1/tracks/448158cOtdLyR59DJnzpON</t>
  </si>
  <si>
    <t>spotify:track:448158cOtdLyR59DJnzpON</t>
  </si>
  <si>
    <t>Te Maceto Depois Do Baile</t>
  </si>
  <si>
    <t>https://api.spotify.com/v1/audio-analysis/448158cOtdLyR59DJnzpON</t>
  </si>
  <si>
    <t>448158cOtdLyR59DJnzpON</t>
  </si>
  <si>
    <t>5I53yrG2qfaC9LtZKze0xw</t>
  </si>
  <si>
    <t>-6.37</t>
  </si>
  <si>
    <t>DJ TOPO, Seu Jorge, Mc Leozin, MC G15</t>
  </si>
  <si>
    <t>https://api.spotify.com/v1/tracks/6RjSXi9cPGroetXeNsWFGL</t>
  </si>
  <si>
    <t>spotify:track:6RjSXi9cPGroetXeNsWFGL</t>
  </si>
  <si>
    <t>MTG QUEM N√ÉO QUER SOU EU</t>
  </si>
  <si>
    <t>https://api.spotify.com/v1/audio-analysis/6RjSXi9cPGroetXeNsWFGL</t>
  </si>
  <si>
    <t>6RjSXi9cPGroetXeNsWFGL</t>
  </si>
  <si>
    <t>0.00482</t>
  </si>
  <si>
    <t>4sLNpzARYcLX5BIGLOvgNC</t>
  </si>
  <si>
    <t>130.05</t>
  </si>
  <si>
    <t>Mc Pogba, DJ Guih Da ZO</t>
  </si>
  <si>
    <t>https://api.spotify.com/v1/tracks/6hZGsChumRhWG24OEh698c</t>
  </si>
  <si>
    <t>spotify:track:6hZGsChumRhWG24OEh698c</t>
  </si>
  <si>
    <t>Ela Joga na Hora</t>
  </si>
  <si>
    <t>https://api.spotify.com/v1/audio-analysis/6hZGsChumRhWG24OEh698c</t>
  </si>
  <si>
    <t>6hZGsChumRhWG24OEh698c</t>
  </si>
  <si>
    <t>0.000592</t>
  </si>
  <si>
    <t>30Ytb0PG1tOv7JiKOTBK2v</t>
  </si>
  <si>
    <t>THE BOX, Mc Brinquedo, MC Cebezinho, MC Tuto, Mc Laranjinha, DJ Oreia</t>
  </si>
  <si>
    <t>https://api.spotify.com/v1/tracks/7IFsTX5H1sWcEl8joV0IdD</t>
  </si>
  <si>
    <t>spotify:track:7IFsTX5H1sWcEl8joV0IdD</t>
  </si>
  <si>
    <t>THE BOX MEDLEY FUNK 2</t>
  </si>
  <si>
    <t>https://api.spotify.com/v1/audio-analysis/7IFsTX5H1sWcEl8joV0IdD</t>
  </si>
  <si>
    <t>7IFsTX5H1sWcEl8joV0IdD</t>
  </si>
  <si>
    <t>0dW6ozKchun19vdN4BSIUy</t>
  </si>
  <si>
    <t>0.955</t>
  </si>
  <si>
    <t>Dj Samir, Rodricci, Launch13</t>
  </si>
  <si>
    <t>https://api.spotify.com/v1/tracks/5pvVt1ak0vsGRE0Hl4kudu</t>
  </si>
  <si>
    <t>spotify:track:5pvVt1ak0vsGRE0Hl4kudu</t>
  </si>
  <si>
    <t>Louca Encubada</t>
  </si>
  <si>
    <t>https://api.spotify.com/v1/audio-analysis/5pvVt1ak0vsGRE0Hl4kudu</t>
  </si>
  <si>
    <t>5pvVt1ak0vsGRE0Hl4kudu</t>
  </si>
  <si>
    <t>4Qmw0mV9qMba2FQVUh0BYz</t>
  </si>
  <si>
    <t>0.000737</t>
  </si>
  <si>
    <t>-0.93</t>
  </si>
  <si>
    <t>DJ JO√ÉO PEREIRA, MC Koringa</t>
  </si>
  <si>
    <t>https://api.spotify.com/v1/tracks/6zdL0aLZs6g61SPGrlMvrM</t>
  </si>
  <si>
    <t>spotify:track:6zdL0aLZs6g61SPGrlMvrM</t>
  </si>
  <si>
    <t>DAN√áA PRA ME PROVOCAR</t>
  </si>
  <si>
    <t>https://api.spotify.com/v1/audio-analysis/6zdL0aLZs6g61SPGrlMvrM</t>
  </si>
  <si>
    <t>6zdL0aLZs6g61SPGrlMvrM</t>
  </si>
  <si>
    <t>6.55e-05</t>
  </si>
  <si>
    <t>5LjiaU620s0bLVN0zf57O5</t>
  </si>
  <si>
    <t>DENNIS, MC Kevin o Chris</t>
  </si>
  <si>
    <t>https://api.spotify.com/v1/tracks/0fABszUFNbNq9IW503Gj8v</t>
  </si>
  <si>
    <t>spotify:track:0fABszUFNbNq9IW503Gj8v</t>
  </si>
  <si>
    <t>T√° OK</t>
  </si>
  <si>
    <t>https://api.spotify.com/v1/audio-analysis/0fABszUFNbNq9IW503Gj8v</t>
  </si>
  <si>
    <t>0fABszUFNbNq9IW503Gj8v</t>
  </si>
  <si>
    <t>0.00526</t>
  </si>
  <si>
    <t>41iAYv4hU3BL86F0sOTvqp</t>
  </si>
  <si>
    <t>Ichiss</t>
  </si>
  <si>
    <t>https://api.spotify.com/v1/tracks/1Xvs6IKi0O1PWYzzIwxR2Q</t>
  </si>
  <si>
    <t>spotify:track:1Xvs6IKi0O1PWYzzIwxR2Q</t>
  </si>
  <si>
    <t>WHINE IN BRAZIL FUNK</t>
  </si>
  <si>
    <t>https://api.spotify.com/v1/audio-analysis/1Xvs6IKi0O1PWYzzIwxR2Q</t>
  </si>
  <si>
    <t>1Xvs6IKi0O1PWYzzIwxR2Q</t>
  </si>
  <si>
    <t>0.000813</t>
  </si>
  <si>
    <t>6tuTOSJX2SjH8JBsh5uM30</t>
  </si>
  <si>
    <t>0.0798</t>
  </si>
  <si>
    <t>Tropa do Bruxo, SMU, Dj Vitin do Pc, MC JF, MC NAHARA</t>
  </si>
  <si>
    <t>https://api.spotify.com/v1/tracks/24R0oyjvhV4HIFFvoK3XkP</t>
  </si>
  <si>
    <t>spotify:track:24R0oyjvhV4HIFFvoK3XkP</t>
  </si>
  <si>
    <t>Baile do Bruxo (DELUXE)</t>
  </si>
  <si>
    <t>https://api.spotify.com/v1/audio-analysis/24R0oyjvhV4HIFFvoK3XkP</t>
  </si>
  <si>
    <t>24R0oyjvhV4HIFFvoK3XkP</t>
  </si>
  <si>
    <t>TUMB√ÅTUM</t>
  </si>
  <si>
    <t>1.83e-06</t>
  </si>
  <si>
    <t>0S3pM5Z9LfLBU6IdYFJxiA</t>
  </si>
  <si>
    <t>turkish</t>
  </si>
  <si>
    <t>Semicenk</t>
  </si>
  <si>
    <t>https://api.spotify.com/v1/tracks/38d47UiHhyu4wdbPYz0ZUB</t>
  </si>
  <si>
    <t>spotify:track:38d47UiHhyu4wdbPYz0ZUB</t>
  </si>
  <si>
    <t>Ge√ßiyor Zaman</t>
  </si>
  <si>
    <t>Turkish Pop</t>
  </si>
  <si>
    <t>https://api.spotify.com/v1/audio-analysis/38d47UiHhyu4wdbPYz0ZUB</t>
  </si>
  <si>
    <t>38d47UiHhyu4wdbPYz0ZUB</t>
  </si>
  <si>
    <t>Onlar Anlamaz Halden</t>
  </si>
  <si>
    <t>0.0148</t>
  </si>
  <si>
    <t>0flBR9Gz8N0UXPplEbrP1p</t>
  </si>
  <si>
    <t>5d29bl04zUgpD8rxNJO4os</t>
  </si>
  <si>
    <t>https://api.spotify.com/v1/tracks/3ma4Ef3Bnl3UBOV4ShiMLX</t>
  </si>
  <si>
    <t>spotify:track:3ma4Ef3Bnl3UBOV4ShiMLX</t>
  </si>
  <si>
    <t>https://api.spotify.com/v1/audio-analysis/3ma4Ef3Bnl3UBOV4ShiMLX</t>
  </si>
  <si>
    <t>3ma4Ef3Bnl3UBOV4ShiMLX</t>
  </si>
  <si>
    <t>https://api.spotify.com/v1/tracks/2crO2eSwgjOoAanagD2sFc</t>
  </si>
  <si>
    <t>spotify:track:2crO2eSwgjOoAanagD2sFc</t>
  </si>
  <si>
    <t>https://api.spotify.com/v1/audio-analysis/2crO2eSwgjOoAanagD2sFc</t>
  </si>
  <si>
    <t>2crO2eSwgjOoAanagD2sFc</t>
  </si>
  <si>
    <t>Kader Saƒü Olsun</t>
  </si>
  <si>
    <t>-4.84</t>
  </si>
  <si>
    <t>Semicenk, Doƒüu Swag</t>
  </si>
  <si>
    <t>https://api.spotify.com/v1/tracks/2CZzw0He9fzyi2FkBkn4Bk</t>
  </si>
  <si>
    <t>spotify:track:2CZzw0He9fzyi2FkBkn4Bk</t>
  </si>
  <si>
    <t>K√ºle D√∂nm√º≈üs√ºn</t>
  </si>
  <si>
    <t>https://api.spotify.com/v1/audio-analysis/2CZzw0He9fzyi2FkBkn4Bk</t>
  </si>
  <si>
    <t>2CZzw0He9fzyi2FkBkn4Bk</t>
  </si>
  <si>
    <t>1.04e-06</t>
  </si>
  <si>
    <t>69XrCiTVTxzFDxvk6RorEG</t>
  </si>
  <si>
    <t>Simge</t>
  </si>
  <si>
    <t>https://api.spotify.com/v1/tracks/28Aau4tlztDlgKJQXrWhZR</t>
  </si>
  <si>
    <t>spotify:track:28Aau4tlztDlgKJQXrWhZR</t>
  </si>
  <si>
    <t>√ñn√ºm√ºz Yaz</t>
  </si>
  <si>
    <t>https://api.spotify.com/v1/audio-analysis/28Aau4tlztDlgKJQXrWhZR</t>
  </si>
  <si>
    <t>28Aau4tlztDlgKJQXrWhZR</t>
  </si>
  <si>
    <t>1RQR6pJby9qvranN8SuM1v</t>
  </si>
  <si>
    <t>-6.84</t>
  </si>
  <si>
    <t>Ebru Ya≈üar, Siyam, Zeyd</t>
  </si>
  <si>
    <t>https://api.spotify.com/v1/tracks/30kd9r9pbMn6bs6CKyFOCu</t>
  </si>
  <si>
    <t>spotify:track:30kd9r9pbMn6bs6CKyFOCu</t>
  </si>
  <si>
    <t>Yine √áalƒ±yor</t>
  </si>
  <si>
    <t>https://api.spotify.com/v1/audio-analysis/30kd9r9pbMn6bs6CKyFOCu</t>
  </si>
  <si>
    <t>30kd9r9pbMn6bs6CKyFOCu</t>
  </si>
  <si>
    <t>Kafamƒ±n ƒ∞√ßi</t>
  </si>
  <si>
    <t>2d3z7xdD9R3sAKueFrV2jp</t>
  </si>
  <si>
    <t>Zeynep Bastƒ±k</t>
  </si>
  <si>
    <t>https://api.spotify.com/v1/tracks/1whKKdtCiFjN7MW7DrIRUH</t>
  </si>
  <si>
    <t>spotify:track:1whKKdtCiFjN7MW7DrIRUH</t>
  </si>
  <si>
    <t>Lan</t>
  </si>
  <si>
    <t>https://api.spotify.com/v1/audio-analysis/1whKKdtCiFjN7MW7DrIRUH</t>
  </si>
  <si>
    <t>1whKKdtCiFjN7MW7DrIRUH</t>
  </si>
  <si>
    <t>1.35e-05</t>
  </si>
  <si>
    <t>1LvnmkkATPS4wBrEPMec26</t>
  </si>
  <si>
    <t>Mac Miller</t>
  </si>
  <si>
    <t>https://api.spotify.com/v1/tracks/5bJ1DrEM4hNCafcDd1oxHx</t>
  </si>
  <si>
    <t>spotify:track:5bJ1DrEM4hNCafcDd1oxHx</t>
  </si>
  <si>
    <t>Swimming</t>
  </si>
  <si>
    <t>Chill Hop</t>
  </si>
  <si>
    <t>https://api.spotify.com/v1/audio-analysis/5bJ1DrEM4hNCafcDd1oxHx</t>
  </si>
  <si>
    <t>5bJ1DrEM4hNCafcDd1oxHx</t>
  </si>
  <si>
    <t>Self Care</t>
  </si>
  <si>
    <t>5wtE5aLX5r7jOosmPhJhhk</t>
  </si>
  <si>
    <t>37i9dQZF1EIf4OaZ1XTJYw</t>
  </si>
  <si>
    <t>Aaron May</t>
  </si>
  <si>
    <t>https://api.spotify.com/v1/tracks/3RKLJPyyMZfwebsePAzqjL</t>
  </si>
  <si>
    <t>spotify:track:3RKLJPyyMZfwebsePAzqjL</t>
  </si>
  <si>
    <t>CHASE</t>
  </si>
  <si>
    <t>https://api.spotify.com/v1/audio-analysis/3RKLJPyyMZfwebsePAzqjL</t>
  </si>
  <si>
    <t>3RKLJPyyMZfwebsePAzqjL</t>
  </si>
  <si>
    <t>I'm Good Luv, Enjoy.</t>
  </si>
  <si>
    <t>2755rVbg8SJCsmTe0FQTLa</t>
  </si>
  <si>
    <t>MF DOOM, Pebbles The Invisible Girl</t>
  </si>
  <si>
    <t>https://api.spotify.com/v1/tracks/7EQvdUJqZ2i7SWvSB2VqGA</t>
  </si>
  <si>
    <t>spotify:track:7EQvdUJqZ2i7SWvSB2VqGA</t>
  </si>
  <si>
    <t>Operation: Doomsday (Complete)</t>
  </si>
  <si>
    <t>https://api.spotify.com/v1/audio-analysis/7EQvdUJqZ2i7SWvSB2VqGA</t>
  </si>
  <si>
    <t>7EQvdUJqZ2i7SWvSB2VqGA</t>
  </si>
  <si>
    <t>Doomsday</t>
  </si>
  <si>
    <t>5bjUbZPVTEQcb6W3LquX1E</t>
  </si>
  <si>
    <t>-3.19</t>
  </si>
  <si>
    <t>Tyler, The Creator, Teezo Touchdown</t>
  </si>
  <si>
    <t>https://api.spotify.com/v1/tracks/0VaeksJaXy5R1nvcTMh3Xk</t>
  </si>
  <si>
    <t>spotify:track:0VaeksJaXy5R1nvcTMh3Xk</t>
  </si>
  <si>
    <t>https://api.spotify.com/v1/audio-analysis/0VaeksJaXy5R1nvcTMh3Xk</t>
  </si>
  <si>
    <t>0VaeksJaXy5R1nvcTMh3Xk</t>
  </si>
  <si>
    <t>Darling, I (feat. Teezo Touchdown)</t>
  </si>
  <si>
    <t>A$AP Rocky, Joe Fox, Kanye West</t>
  </si>
  <si>
    <t>https://api.spotify.com/v1/tracks/2gAGWaK4wvt2xrFUlR4mK8</t>
  </si>
  <si>
    <t>spotify:track:2gAGWaK4wvt2xrFUlR4mK8</t>
  </si>
  <si>
    <t>AT.LONG.LAST.A$AP</t>
  </si>
  <si>
    <t>https://api.spotify.com/v1/audio-analysis/2gAGWaK4wvt2xrFUlR4mK8</t>
  </si>
  <si>
    <t>2gAGWaK4wvt2xrFUlR4mK8</t>
  </si>
  <si>
    <t>Jukebox Joints (feat. Joe Fox &amp; Kanye West)</t>
  </si>
  <si>
    <t>3arNdjotCvtiiLFfjKngMc</t>
  </si>
  <si>
    <t>76.54</t>
  </si>
  <si>
    <t>https://api.spotify.com/v1/tracks/1Y1jtaZOJYgXBl7lKdLc9o</t>
  </si>
  <si>
    <t>spotify:track:1Y1jtaZOJYgXBl7lKdLc9o</t>
  </si>
  <si>
    <t>A Cold Sunday</t>
  </si>
  <si>
    <t>https://api.spotify.com/v1/audio-analysis/1Y1jtaZOJYgXBl7lKdLc9o</t>
  </si>
  <si>
    <t>1Y1jtaZOJYgXBl7lKdLc9o</t>
  </si>
  <si>
    <t>4peDphjWdwzhrTEnQbfZ4G</t>
  </si>
  <si>
    <t>XXXTENTACION, Joey Bada$$</t>
  </si>
  <si>
    <t>https://api.spotify.com/v1/tracks/7J2gyNghNTzl4EsLhXp01Q</t>
  </si>
  <si>
    <t>spotify:track:7J2gyNghNTzl4EsLhXp01Q</t>
  </si>
  <si>
    <t>https://api.spotify.com/v1/audio-analysis/7J2gyNghNTzl4EsLhXp01Q</t>
  </si>
  <si>
    <t>7J2gyNghNTzl4EsLhXp01Q</t>
  </si>
  <si>
    <t>infinity (888) - feat. Joey Bada$$</t>
  </si>
  <si>
    <t>https://api.spotify.com/v1/tracks/4kjI1gwQZRKNDkw1nI475M</t>
  </si>
  <si>
    <t>spotify:track:4kjI1gwQZRKNDkw1nI475M</t>
  </si>
  <si>
    <t>https://api.spotify.com/v1/audio-analysis/4kjI1gwQZRKNDkw1nI475M</t>
  </si>
  <si>
    <t>4kjI1gwQZRKNDkw1nI475M</t>
  </si>
  <si>
    <t>MY EYES</t>
  </si>
  <si>
    <t>2.59e-06</t>
  </si>
  <si>
    <t>Kanye West, Rick Ross</t>
  </si>
  <si>
    <t>https://api.spotify.com/v1/tracks/1UGD3lW3tDmgZfAVDh6w7r</t>
  </si>
  <si>
    <t>spotify:track:1UGD3lW3tDmgZfAVDh6w7r</t>
  </si>
  <si>
    <t>My Beautiful Dark Twisted Fantasy</t>
  </si>
  <si>
    <t>https://api.spotify.com/v1/audio-analysis/1UGD3lW3tDmgZfAVDh6w7r</t>
  </si>
  <si>
    <t>1UGD3lW3tDmgZfAVDh6w7r</t>
  </si>
  <si>
    <t>Devil In A New Dress</t>
  </si>
  <si>
    <t>20r762YmB5HeofjMCiPMLv</t>
  </si>
  <si>
    <t>0.0175</t>
  </si>
  <si>
    <t>82.81</t>
  </si>
  <si>
    <t>J. Cole</t>
  </si>
  <si>
    <t>https://api.spotify.com/v1/tracks/2e3Ea0o24lReQFR4FA7yXH</t>
  </si>
  <si>
    <t>spotify:track:2e3Ea0o24lReQFR4FA7yXH</t>
  </si>
  <si>
    <t>2014 Forest Hills Drive</t>
  </si>
  <si>
    <t>https://api.spotify.com/v1/audio-analysis/2e3Ea0o24lReQFR4FA7yXH</t>
  </si>
  <si>
    <t>2e3Ea0o24lReQFR4FA7yXH</t>
  </si>
  <si>
    <t>Love Yourz</t>
  </si>
  <si>
    <t>0UMMIkurRUmkruZ3KGBLtG</t>
  </si>
  <si>
    <t>https://api.spotify.com/v1/tracks/5yuShbu70mtHXY0yLzCQLQ</t>
  </si>
  <si>
    <t>spotify:track:5yuShbu70mtHXY0yLzCQLQ</t>
  </si>
  <si>
    <t>Stoney (Deluxe)</t>
  </si>
  <si>
    <t>https://api.spotify.com/v1/audio-analysis/5yuShbu70mtHXY0yLzCQLQ</t>
  </si>
  <si>
    <t>5yuShbu70mtHXY0yLzCQLQ</t>
  </si>
  <si>
    <t>Go Flex</t>
  </si>
  <si>
    <t>5s0rmjP8XOPhP6HhqOhuyC</t>
  </si>
  <si>
    <t>Saint√©</t>
  </si>
  <si>
    <t>https://api.spotify.com/v1/tracks/7dbyaRWWFvB9UG2vcwTd3J</t>
  </si>
  <si>
    <t>spotify:track:7dbyaRWWFvB9UG2vcwTd3J</t>
  </si>
  <si>
    <t>Local Mvp</t>
  </si>
  <si>
    <t>https://api.spotify.com/v1/audio-analysis/7dbyaRWWFvB9UG2vcwTd3J</t>
  </si>
  <si>
    <t>7dbyaRWWFvB9UG2vcwTd3J</t>
  </si>
  <si>
    <t>Champagne Shots</t>
  </si>
  <si>
    <t>02gUzFCFgKdsj8p1KcnASN</t>
  </si>
  <si>
    <t>0.852</t>
  </si>
  <si>
    <t>https://api.spotify.com/v1/tracks/1QPreu0BNOrUfEb8HTd2qG</t>
  </si>
  <si>
    <t>spotify:track:1QPreu0BNOrUfEb8HTd2qG</t>
  </si>
  <si>
    <t>https://api.spotify.com/v1/audio-analysis/1QPreu0BNOrUfEb8HTd2qG</t>
  </si>
  <si>
    <t>1QPreu0BNOrUfEb8HTd2qG</t>
  </si>
  <si>
    <t>Rich Spirit</t>
  </si>
  <si>
    <t>A$AP Rocky, Imogen Heap, Clams Casino</t>
  </si>
  <si>
    <t>https://api.spotify.com/v1/tracks/3ZaEs1O8BG581qYPHpQ8d6</t>
  </si>
  <si>
    <t>spotify:track:3ZaEs1O8BG581qYPHpQ8d6</t>
  </si>
  <si>
    <t>I Smoked Away My Brain (I'm God x Demons Mashup) (feat. Imogen Heap &amp; Clams Casino)</t>
  </si>
  <si>
    <t>https://api.spotify.com/v1/audio-analysis/3ZaEs1O8BG581qYPHpQ8d6</t>
  </si>
  <si>
    <t>3ZaEs1O8BG581qYPHpQ8d6</t>
  </si>
  <si>
    <t>4.08e-05</t>
  </si>
  <si>
    <t>3eb4GbFzAMjgoRAuuSkoLo</t>
  </si>
  <si>
    <t>Lil Peep, XXXTENTACION</t>
  </si>
  <si>
    <t>https://api.spotify.com/v1/tracks/4jvjzW7Hm0yK4LvvE0Paz9</t>
  </si>
  <si>
    <t>spotify:track:4jvjzW7Hm0yK4LvvE0Paz9</t>
  </si>
  <si>
    <t>Come Over When You're Sober, Pt. 2</t>
  </si>
  <si>
    <t>https://api.spotify.com/v1/audio-analysis/4jvjzW7Hm0yK4LvvE0Paz9</t>
  </si>
  <si>
    <t>4jvjzW7Hm0yK4LvvE0Paz9</t>
  </si>
  <si>
    <t>Falling Down - Bonus Track</t>
  </si>
  <si>
    <t>0.00294</t>
  </si>
  <si>
    <t>52JymrguPgkmmwLaWIusst</t>
  </si>
  <si>
    <t>Joey Bada$$</t>
  </si>
  <si>
    <t>https://api.spotify.com/v1/tracks/7dFGkZbmm6cVlI28bfMaWE</t>
  </si>
  <si>
    <t>spotify:track:7dFGkZbmm6cVlI28bfMaWE</t>
  </si>
  <si>
    <t>https://api.spotify.com/v1/audio-analysis/7dFGkZbmm6cVlI28bfMaWE</t>
  </si>
  <si>
    <t>7dFGkZbmm6cVlI28bfMaWE</t>
  </si>
  <si>
    <t>Righteous Minds</t>
  </si>
  <si>
    <t>5ra51AaWF3iVebyhlZ1aqq</t>
  </si>
  <si>
    <t>https://api.spotify.com/v1/tracks/3GVkPk8mqxz0itaAriG1L7</t>
  </si>
  <si>
    <t>spotify:track:3GVkPk8mqxz0itaAriG1L7</t>
  </si>
  <si>
    <t>https://api.spotify.com/v1/audio-analysis/3GVkPk8mqxz0itaAriG1L7</t>
  </si>
  <si>
    <t>3GVkPk8mqxz0itaAriG1L7</t>
  </si>
  <si>
    <t>Everybody Dies In Their Nightmares</t>
  </si>
  <si>
    <t>5VdyJkLe3yvOs0l4xXbWp0</t>
  </si>
  <si>
    <t>Ice Cube</t>
  </si>
  <si>
    <t>https://api.spotify.com/v1/tracks/2qOm7ukLyHUXWyR4ZWLwxA</t>
  </si>
  <si>
    <t>spotify:track:2qOm7ukLyHUXWyR4ZWLwxA</t>
  </si>
  <si>
    <t>The Predator</t>
  </si>
  <si>
    <t>https://api.spotify.com/v1/audio-analysis/2qOm7ukLyHUXWyR4ZWLwxA</t>
  </si>
  <si>
    <t>2qOm7ukLyHUXWyR4ZWLwxA</t>
  </si>
  <si>
    <t>It Was A Good Day</t>
  </si>
  <si>
    <t>71HM1CMYWeZzws8pyiEn46</t>
  </si>
  <si>
    <t>Tyler, The Creator, YoungBoy Never Broke Again, Ty Dolla $ign</t>
  </si>
  <si>
    <t>https://api.spotify.com/v1/tracks/5B0kgjHULYJhAQkK5XsMoC</t>
  </si>
  <si>
    <t>spotify:track:5B0kgjHULYJhAQkK5XsMoC</t>
  </si>
  <si>
    <t>CALL ME IF YOU GET LOST</t>
  </si>
  <si>
    <t>https://api.spotify.com/v1/audio-analysis/5B0kgjHULYJhAQkK5XsMoC</t>
  </si>
  <si>
    <t>5B0kgjHULYJhAQkK5XsMoC</t>
  </si>
  <si>
    <t>WUSYANAME (feat. Youngboy Never Broke Again &amp; Ty Dolla $ign)</t>
  </si>
  <si>
    <t>45ba6QAtNrdv6Ke4MFOKk9</t>
  </si>
  <si>
    <t>Mac Miller, Miguel</t>
  </si>
  <si>
    <t>https://api.spotify.com/v1/tracks/6GnhWMhgJb7uyiiPEiEkDA</t>
  </si>
  <si>
    <t>spotify:track:6GnhWMhgJb7uyiiPEiEkDA</t>
  </si>
  <si>
    <t>GO:OD AM</t>
  </si>
  <si>
    <t>https://api.spotify.com/v1/audio-analysis/6GnhWMhgJb7uyiiPEiEkDA</t>
  </si>
  <si>
    <t>6GnhWMhgJb7uyiiPEiEkDA</t>
  </si>
  <si>
    <t>Weekend (feat. Miguel)</t>
  </si>
  <si>
    <t>2Tyx5dLhHYkx6zeAdVaTzN</t>
  </si>
  <si>
    <t>https://api.spotify.com/v1/tracks/2t8yVaLvJ0RenpXUIAC52d</t>
  </si>
  <si>
    <t>spotify:track:2t8yVaLvJ0RenpXUIAC52d</t>
  </si>
  <si>
    <t>i am &gt; i was</t>
  </si>
  <si>
    <t>https://api.spotify.com/v1/audio-analysis/2t8yVaLvJ0RenpXUIAC52d</t>
  </si>
  <si>
    <t>2t8yVaLvJ0RenpXUIAC52d</t>
  </si>
  <si>
    <t>a lot</t>
  </si>
  <si>
    <t>007DWn799UWvfY1wwZeENR</t>
  </si>
  <si>
    <t>Kanye West, Dwele</t>
  </si>
  <si>
    <t>https://api.spotify.com/v1/tracks/5TRPicyLGbAF2LGBFbHGvO</t>
  </si>
  <si>
    <t>spotify:track:5TRPicyLGbAF2LGBFbHGvO</t>
  </si>
  <si>
    <t>Graduation</t>
  </si>
  <si>
    <t>https://api.spotify.com/v1/audio-analysis/5TRPicyLGbAF2LGBFbHGvO</t>
  </si>
  <si>
    <t>5TRPicyLGbAF2LGBFbHGvO</t>
  </si>
  <si>
    <t>Flashing Lights</t>
  </si>
  <si>
    <t>4SZko61aMnmgvNhfhgTuD3</t>
  </si>
  <si>
    <t>Childish Gambino</t>
  </si>
  <si>
    <t>https://api.spotify.com/v1/tracks/3vQ4T78TTMOjQXGfXVKQJo</t>
  </si>
  <si>
    <t>spotify:track:3vQ4T78TTMOjQXGfXVKQJo</t>
  </si>
  <si>
    <t>"Awaken, My Love!"</t>
  </si>
  <si>
    <t>https://api.spotify.com/v1/audio-analysis/3vQ4T78TTMOjQXGfXVKQJo</t>
  </si>
  <si>
    <t>3vQ4T78TTMOjQXGfXVKQJo</t>
  </si>
  <si>
    <t>Redbone</t>
  </si>
  <si>
    <t>0.00577</t>
  </si>
  <si>
    <t>4JCybsNZUXWrK2Jpyn12Ni</t>
  </si>
  <si>
    <t>111.98</t>
  </si>
  <si>
    <t>https://api.spotify.com/v1/tracks/5mCPDVBb16L4XQwDdbRUpz</t>
  </si>
  <si>
    <t>spotify:track:5mCPDVBb16L4XQwDdbRUpz</t>
  </si>
  <si>
    <t>More Life</t>
  </si>
  <si>
    <t>https://api.spotify.com/v1/audio-analysis/5mCPDVBb16L4XQwDdbRUpz</t>
  </si>
  <si>
    <t>5mCPDVBb16L4XQwDdbRUpz</t>
  </si>
  <si>
    <t>Passionfruit</t>
  </si>
  <si>
    <t>1lXY618HWkwYKJWBRYR4MK</t>
  </si>
  <si>
    <t>The Alchemist, Boldy James</t>
  </si>
  <si>
    <t>https://api.spotify.com/v1/tracks/5467KZaTToEB680WvOd9w5</t>
  </si>
  <si>
    <t>spotify:track:5467KZaTToEB680WvOd9w5</t>
  </si>
  <si>
    <t>Yacht Rock 2</t>
  </si>
  <si>
    <t>https://api.spotify.com/v1/audio-analysis/5467KZaTToEB680WvOd9w5</t>
  </si>
  <si>
    <t>5467KZaTToEB680WvOd9w5</t>
  </si>
  <si>
    <t>Ocean Prime (feat. Boldy James)</t>
  </si>
  <si>
    <t>1IQmCioMTatFSX6biSISx5</t>
  </si>
  <si>
    <t>https://api.spotify.com/v1/tracks/2uuJs2nltcYFh9pkKP7bW4</t>
  </si>
  <si>
    <t>spotify:track:2uuJs2nltcYFh9pkKP7bW4</t>
  </si>
  <si>
    <t>https://api.spotify.com/v1/audio-analysis/2uuJs2nltcYFh9pkKP7bW4</t>
  </si>
  <si>
    <t>2uuJs2nltcYFh9pkKP7bW4</t>
  </si>
  <si>
    <t>Show Me</t>
  </si>
  <si>
    <t>4.36e-06</t>
  </si>
  <si>
    <t>261LWEVYViMXijB95mAty3</t>
  </si>
  <si>
    <t>https://api.spotify.com/v1/tracks/5TXDeTFVRVY7Cvt0Dw4vWW</t>
  </si>
  <si>
    <t>spotify:track:5TXDeTFVRVY7Cvt0Dw4vWW</t>
  </si>
  <si>
    <t>https://api.spotify.com/v1/audio-analysis/5TXDeTFVRVY7Cvt0Dw4vWW</t>
  </si>
  <si>
    <t>5TXDeTFVRVY7Cvt0Dw4vWW</t>
  </si>
  <si>
    <t>Revenge</t>
  </si>
  <si>
    <t>0.00203</t>
  </si>
  <si>
    <t>Don Toliver, Travis Scott</t>
  </si>
  <si>
    <t>https://api.spotify.com/v1/tracks/6w9GrSUaQQIaMBYtabge7p</t>
  </si>
  <si>
    <t>spotify:track:6w9GrSUaQQIaMBYtabge7p</t>
  </si>
  <si>
    <t>Love Sick (Deluxe)</t>
  </si>
  <si>
    <t>https://api.spotify.com/v1/audio-analysis/6w9GrSUaQQIaMBYtabge7p</t>
  </si>
  <si>
    <t>6w9GrSUaQQIaMBYtabge7p</t>
  </si>
  <si>
    <t>Embarrassed (feat. Travis Scott)</t>
  </si>
  <si>
    <t>2Q2TRdT994vTzGE3Grmmht</t>
  </si>
  <si>
    <t>Kanye West, Chris Martin</t>
  </si>
  <si>
    <t>https://api.spotify.com/v1/tracks/4iz9lGMjU1lXS51oPmUmTe</t>
  </si>
  <si>
    <t>spotify:track:4iz9lGMjU1lXS51oPmUmTe</t>
  </si>
  <si>
    <t>https://api.spotify.com/v1/audio-analysis/4iz9lGMjU1lXS51oPmUmTe</t>
  </si>
  <si>
    <t>4iz9lGMjU1lXS51oPmUmTe</t>
  </si>
  <si>
    <t>Homecoming</t>
  </si>
  <si>
    <t>-5.18</t>
  </si>
  <si>
    <t>PARTYNEXTDOOR</t>
  </si>
  <si>
    <t>https://api.spotify.com/v1/tracks/5fEB6ZmVkg63GZg9qO86jh</t>
  </si>
  <si>
    <t>spotify:track:5fEB6ZmVkg63GZg9qO86jh</t>
  </si>
  <si>
    <t>https://api.spotify.com/v1/audio-analysis/5fEB6ZmVkg63GZg9qO86jh</t>
  </si>
  <si>
    <t>5fEB6ZmVkg63GZg9qO86jh</t>
  </si>
  <si>
    <t>Break from Toronto</t>
  </si>
  <si>
    <t>1q4B7r3dzzwkarZ1B9bk9e</t>
  </si>
  <si>
    <t>0.0199</t>
  </si>
  <si>
    <t>https://api.spotify.com/v1/tracks/2Ih217RCGAmyQR68Nn7Cqo</t>
  </si>
  <si>
    <t>spotify:track:2Ih217RCGAmyQR68Nn7Cqo</t>
  </si>
  <si>
    <t>Lethal Injection</t>
  </si>
  <si>
    <t>https://api.spotify.com/v1/audio-analysis/2Ih217RCGAmyQR68Nn7Cqo</t>
  </si>
  <si>
    <t>2Ih217RCGAmyQR68Nn7Cqo</t>
  </si>
  <si>
    <t>You Know How We Do It</t>
  </si>
  <si>
    <t>0.0537</t>
  </si>
  <si>
    <t>7JlCbNWZszAdVKZdtHFQ5p</t>
  </si>
  <si>
    <t>0.0977</t>
  </si>
  <si>
    <t>-9.74</t>
  </si>
  <si>
    <t>XXXTENTACION, Trippie Redd</t>
  </si>
  <si>
    <t>https://api.spotify.com/v1/tracks/7AQim7LbvFVZJE3O8TYgf2</t>
  </si>
  <si>
    <t>spotify:track:7AQim7LbvFVZJE3O8TYgf2</t>
  </si>
  <si>
    <t>https://api.spotify.com/v1/audio-analysis/7AQim7LbvFVZJE3O8TYgf2</t>
  </si>
  <si>
    <t>7AQim7LbvFVZJE3O8TYgf2</t>
  </si>
  <si>
    <t>Fuck Love</t>
  </si>
  <si>
    <t>https://api.spotify.com/v1/tracks/0y9uTzK9cNKSAEHnpeRG8C</t>
  </si>
  <si>
    <t>spotify:track:0y9uTzK9cNKSAEHnpeRG8C</t>
  </si>
  <si>
    <t>DAMN.</t>
  </si>
  <si>
    <t>https://api.spotify.com/v1/audio-analysis/0y9uTzK9cNKSAEHnpeRG8C</t>
  </si>
  <si>
    <t>0y9uTzK9cNKSAEHnpeRG8C</t>
  </si>
  <si>
    <t>DUCKWORTH.</t>
  </si>
  <si>
    <t>4eLPsYPBmXABThSJ821sqY</t>
  </si>
  <si>
    <t>Kanye West</t>
  </si>
  <si>
    <t>https://api.spotify.com/v1/tracks/6MXXY2eiWkpDCezVCc0cMH</t>
  </si>
  <si>
    <t>spotify:track:6MXXY2eiWkpDCezVCc0cMH</t>
  </si>
  <si>
    <t>https://api.spotify.com/v1/audio-analysis/6MXXY2eiWkpDCezVCc0cMH</t>
  </si>
  <si>
    <t>6MXXY2eiWkpDCezVCc0cMH</t>
  </si>
  <si>
    <t>Good Morning</t>
  </si>
  <si>
    <t>138.97</t>
  </si>
  <si>
    <t>https://api.spotify.com/v1/tracks/0utlOiJy2weVl9WTkcEWHy</t>
  </si>
  <si>
    <t>spotify:track:0utlOiJy2weVl9WTkcEWHy</t>
  </si>
  <si>
    <t>4 Your Eyez Only</t>
  </si>
  <si>
    <t>https://api.spotify.com/v1/audio-analysis/0utlOiJy2weVl9WTkcEWHy</t>
  </si>
  <si>
    <t>0utlOiJy2weVl9WTkcEWHy</t>
  </si>
  <si>
    <t>Neighbors</t>
  </si>
  <si>
    <t>0.000383</t>
  </si>
  <si>
    <t>3CCnGldVQ90c26aFATC1PW</t>
  </si>
  <si>
    <t>97.04</t>
  </si>
  <si>
    <t>-10.33</t>
  </si>
  <si>
    <t>0.0846</t>
  </si>
  <si>
    <t>https://api.spotify.com/v1/tracks/6n3HGiq4v35D6eFOSwqYuo</t>
  </si>
  <si>
    <t>spotify:track:6n3HGiq4v35D6eFOSwqYuo</t>
  </si>
  <si>
    <t>https://api.spotify.com/v1/audio-analysis/6n3HGiq4v35D6eFOSwqYuo</t>
  </si>
  <si>
    <t>6n3HGiq4v35D6eFOSwqYuo</t>
  </si>
  <si>
    <t>Teenage Fever</t>
  </si>
  <si>
    <t>ambient</t>
  </si>
  <si>
    <t>Meditative Vibes</t>
  </si>
  <si>
    <t>meditative</t>
  </si>
  <si>
    <t>3kEpLybbAlVUVimW5Evijb</t>
  </si>
  <si>
    <t>Fido</t>
  </si>
  <si>
    <t>https://api.spotify.com/v1/tracks/1136eJrkWsDvReASbjLTaU</t>
  </si>
  <si>
    <t>spotify:track:1136eJrkWsDvReASbjLTaU</t>
  </si>
  <si>
    <t>Awolowo</t>
  </si>
  <si>
    <t>https://api.spotify.com/v1/audio-analysis/1136eJrkWsDvReASbjLTaU</t>
  </si>
  <si>
    <t>1136eJrkWsDvReASbjLTaU</t>
  </si>
  <si>
    <t>0.00369</t>
  </si>
  <si>
    <t>5BRKHZh6Y0voiEQ4YsGdCr</t>
  </si>
  <si>
    <t>Omah Lay</t>
  </si>
  <si>
    <t>https://api.spotify.com/v1/tracks/0zVk3uuV9UhxAt48F3OL12</t>
  </si>
  <si>
    <t>spotify:track:0zVk3uuV9UhxAt48F3OL12</t>
  </si>
  <si>
    <t>Holy Ghost</t>
  </si>
  <si>
    <t>https://api.spotify.com/v1/audio-analysis/0zVk3uuV9UhxAt48F3OL12</t>
  </si>
  <si>
    <t>0zVk3uuV9UhxAt48F3OL12</t>
  </si>
  <si>
    <t>5y1s96lknw32i5O1OObkhg</t>
  </si>
  <si>
    <t>Victony, Rema, Tempoe, Don Toliver</t>
  </si>
  <si>
    <t>https://api.spotify.com/v1/tracks/25Kyv5SeEenT0EETpP2hYn</t>
  </si>
  <si>
    <t>spotify:track:25Kyv5SeEenT0EETpP2hYn</t>
  </si>
  <si>
    <t>Soweto (with Don Toliver, Rema and Tempoe)</t>
  </si>
  <si>
    <t>https://api.spotify.com/v1/audio-analysis/25Kyv5SeEenT0EETpP2hYn</t>
  </si>
  <si>
    <t>25Kyv5SeEenT0EETpP2hYn</t>
  </si>
  <si>
    <t>Soweto (with Don Toliver, Rema &amp; Tempoe)</t>
  </si>
  <si>
    <t>6VZ6icUuxAtSKVxPWlQvug</t>
  </si>
  <si>
    <t>99.97</t>
  </si>
  <si>
    <t>Ayra Starr</t>
  </si>
  <si>
    <t>https://api.spotify.com/v1/tracks/1rrqJ9QkOBYJlsZgqqwxgB</t>
  </si>
  <si>
    <t>spotify:track:1rrqJ9QkOBYJlsZgqqwxgB</t>
  </si>
  <si>
    <t>Rush</t>
  </si>
  <si>
    <t>https://api.spotify.com/v1/audio-analysis/1rrqJ9QkOBYJlsZgqqwxgB</t>
  </si>
  <si>
    <t>1rrqJ9QkOBYJlsZgqqwxgB</t>
  </si>
  <si>
    <t>0.00057</t>
  </si>
  <si>
    <t>6CvEsGBD3JdbDKpmJaXn2E</t>
  </si>
  <si>
    <t>125.15</t>
  </si>
  <si>
    <t>Tems</t>
  </si>
  <si>
    <t>https://api.spotify.com/v1/tracks/2mzM4Y0Rnx2BDZqRnhQ5Q6</t>
  </si>
  <si>
    <t>spotify:track:2mzM4Y0Rnx2BDZqRnhQ5Q6</t>
  </si>
  <si>
    <t>For Broken Ears</t>
  </si>
  <si>
    <t>https://api.spotify.com/v1/audio-analysis/2mzM4Y0Rnx2BDZqRnhQ5Q6</t>
  </si>
  <si>
    <t>2mzM4Y0Rnx2BDZqRnhQ5Q6</t>
  </si>
  <si>
    <t>Free Mind</t>
  </si>
  <si>
    <t>0.000145</t>
  </si>
  <si>
    <t>2sU8ByeYc5BOBFNDr58CGV</t>
  </si>
  <si>
    <t>Wizkid, Tems</t>
  </si>
  <si>
    <t>https://api.spotify.com/v1/tracks/5FG7Tl93LdH117jEKYl3Cm</t>
  </si>
  <si>
    <t>spotify:track:5FG7Tl93LdH117jEKYl3Cm</t>
  </si>
  <si>
    <t>Made In Lagos</t>
  </si>
  <si>
    <t>https://api.spotify.com/v1/audio-analysis/5FG7Tl93LdH117jEKYl3Cm</t>
  </si>
  <si>
    <t>5FG7Tl93LdH117jEKYl3Cm</t>
  </si>
  <si>
    <t>Essence (feat. Tems)</t>
  </si>
  <si>
    <t>8.58e-06</t>
  </si>
  <si>
    <t>6HpMdN52TfJAwVbmkrFeBN</t>
  </si>
  <si>
    <t>Rotimi, Wale</t>
  </si>
  <si>
    <t>https://api.spotify.com/v1/tracks/6XM53PbvlzhuNtJZtpl7RP</t>
  </si>
  <si>
    <t>spotify:track:6XM53PbvlzhuNtJZtpl7RP</t>
  </si>
  <si>
    <t>The Beauty of Becoming</t>
  </si>
  <si>
    <t>https://api.spotify.com/v1/audio-analysis/6XM53PbvlzhuNtJZtpl7RP</t>
  </si>
  <si>
    <t>6XM53PbvlzhuNtJZtpl7RP</t>
  </si>
  <si>
    <t>In My Bed</t>
  </si>
  <si>
    <t>5.91e-05</t>
  </si>
  <si>
    <t>1AUSfQC9x3SsqNQhFq05l7</t>
  </si>
  <si>
    <t>Dave, Burna Boy</t>
  </si>
  <si>
    <t>https://api.spotify.com/v1/tracks/3z4CGd63tpUn9a6oQSG0CI</t>
  </si>
  <si>
    <t>spotify:track:3z4CGd63tpUn9a6oQSG0CI</t>
  </si>
  <si>
    <t>PSYCHODRAMA</t>
  </si>
  <si>
    <t>https://api.spotify.com/v1/audio-analysis/3z4CGd63tpUn9a6oQSG0CI</t>
  </si>
  <si>
    <t>3z4CGd63tpUn9a6oQSG0CI</t>
  </si>
  <si>
    <t>Location (feat. Burna Boy)</t>
  </si>
  <si>
    <t>4GrFuXwRmEBJec22p58fsD</t>
  </si>
  <si>
    <t>https://api.spotify.com/v1/tracks/2QdSb68BzZGMgCbsrFmSLc</t>
  </si>
  <si>
    <t>spotify:track:2QdSb68BzZGMgCbsrFmSLc</t>
  </si>
  <si>
    <t>https://api.spotify.com/v1/audio-analysis/2QdSb68BzZGMgCbsrFmSLc</t>
  </si>
  <si>
    <t>2QdSb68BzZGMgCbsrFmSLc</t>
  </si>
  <si>
    <t>Higher</t>
  </si>
  <si>
    <t>92.9</t>
  </si>
  <si>
    <t>Oxlade</t>
  </si>
  <si>
    <t>https://api.spotify.com/v1/tracks/2WigMwGJysIh9fRnSJvpjn</t>
  </si>
  <si>
    <t>spotify:track:2WigMwGJysIh9fRnSJvpjn</t>
  </si>
  <si>
    <t>KU LO SA - A COLORS SHOW</t>
  </si>
  <si>
    <t>https://api.spotify.com/v1/audio-analysis/2WigMwGJysIh9fRnSJvpjn</t>
  </si>
  <si>
    <t>2WigMwGJysIh9fRnSJvpjn</t>
  </si>
  <si>
    <t>36bNKiiUjxUCaAO7QtUVfi</t>
  </si>
  <si>
    <t>https://api.spotify.com/v1/tracks/2dFqK2ZkYB9Xc47gr3xXWl</t>
  </si>
  <si>
    <t>spotify:track:2dFqK2ZkYB9Xc47gr3xXWl</t>
  </si>
  <si>
    <t>If Orange Was A Place</t>
  </si>
  <si>
    <t>https://api.spotify.com/v1/audio-analysis/2dFqK2ZkYB9Xc47gr3xXWl</t>
  </si>
  <si>
    <t>2dFqK2ZkYB9Xc47gr3xXWl</t>
  </si>
  <si>
    <t>0x2ntwkM3GoLVAPjAOPrWv</t>
  </si>
  <si>
    <t>Somnum Magnam</t>
  </si>
  <si>
    <t>https://api.spotify.com/v1/tracks/6KzdWw8Hi1bz1lVw2AXDzb</t>
  </si>
  <si>
    <t>spotify:track:6KzdWw8Hi1bz1lVw2AXDzb</t>
  </si>
  <si>
    <t>Touches</t>
  </si>
  <si>
    <t>Ambient Chill</t>
  </si>
  <si>
    <t>https://api.spotify.com/v1/audio-analysis/6KzdWw8Hi1bz1lVw2AXDzb</t>
  </si>
  <si>
    <t>6KzdWw8Hi1bz1lVw2AXDzb</t>
  </si>
  <si>
    <t>0gr42nFesHmvHP2rihBldP</t>
  </si>
  <si>
    <t>0.977</t>
  </si>
  <si>
    <t>37i9dQZF1DX3Ogo9pFvBkY</t>
  </si>
  <si>
    <t>Bon Iver, St. Vincent</t>
  </si>
  <si>
    <t>https://api.spotify.com/v1/tracks/4k7x3QKrc3h3U0Viqk0uop</t>
  </si>
  <si>
    <t>spotify:track:4k7x3QKrc3h3U0Viqk0uop</t>
  </si>
  <si>
    <t>The Twilight Saga: New Moon (Original Motion Picture Soundtrack)</t>
  </si>
  <si>
    <t>Dark Academia</t>
  </si>
  <si>
    <t>https://api.spotify.com/v1/audio-analysis/4k7x3QKrc3h3U0Viqk0uop</t>
  </si>
  <si>
    <t>4k7x3QKrc3h3U0Viqk0uop</t>
  </si>
  <si>
    <t>Rosyln</t>
  </si>
  <si>
    <t>2PDlvc7K51qC4Bkali3q0R</t>
  </si>
  <si>
    <t>academic</t>
  </si>
  <si>
    <t>6JH5nqQdmdNPuwEoCImWnj</t>
  </si>
  <si>
    <t>Tom Rosenthal</t>
  </si>
  <si>
    <t>https://api.spotify.com/v1/tracks/4IhTXiZLKATmwhMZIb1GQN</t>
  </si>
  <si>
    <t>spotify:track:4IhTXiZLKATmwhMZIb1GQN</t>
  </si>
  <si>
    <t>Z-Sides</t>
  </si>
  <si>
    <t>https://api.spotify.com/v1/audio-analysis/4IhTXiZLKATmwhMZIb1GQN</t>
  </si>
  <si>
    <t>4IhTXiZLKATmwhMZIb1GQN</t>
  </si>
  <si>
    <t>Lights Are On</t>
  </si>
  <si>
    <t>6wOJyevNYXevqTZCn6Xk5T</t>
  </si>
  <si>
    <t>0.981</t>
  </si>
  <si>
    <t>https://api.spotify.com/v1/tracks/3dYD57lRAUcMHufyqn9GcI</t>
  </si>
  <si>
    <t>spotify:track:3dYD57lRAUcMHufyqn9GcI</t>
  </si>
  <si>
    <t>https://api.spotify.com/v1/audio-analysis/3dYD57lRAUcMHufyqn9GcI</t>
  </si>
  <si>
    <t>3dYD57lRAUcMHufyqn9GcI</t>
  </si>
  <si>
    <t>Take Me To Church</t>
  </si>
  <si>
    <t>0Uv83rRhY5QvHKkQoULRKk</t>
  </si>
  <si>
    <t>https://api.spotify.com/v1/tracks/4R2kfaDFhslZEMJqAFNpdd</t>
  </si>
  <si>
    <t>spotify:track:4R2kfaDFhslZEMJqAFNpdd</t>
  </si>
  <si>
    <t>folklore</t>
  </si>
  <si>
    <t>https://api.spotify.com/v1/audio-analysis/4R2kfaDFhslZEMJqAFNpdd</t>
  </si>
  <si>
    <t>4R2kfaDFhslZEMJqAFNpdd</t>
  </si>
  <si>
    <t>cardigan</t>
  </si>
  <si>
    <t>0.000345</t>
  </si>
  <si>
    <t>2fenSS68JI1h4Fo296JfGr</t>
  </si>
  <si>
    <t>-8.92</t>
  </si>
  <si>
    <t>Lana Del Rey</t>
  </si>
  <si>
    <t>https://api.spotify.com/v1/tracks/2nMeu6UenVvwUktBCpLMK9</t>
  </si>
  <si>
    <t>spotify:track:2nMeu6UenVvwUktBCpLMK9</t>
  </si>
  <si>
    <t>Young And Beautiful</t>
  </si>
  <si>
    <t>https://api.spotify.com/v1/audio-analysis/2nMeu6UenVvwUktBCpLMK9</t>
  </si>
  <si>
    <t>2nMeu6UenVvwUktBCpLMK9</t>
  </si>
  <si>
    <t>3.69e-05</t>
  </si>
  <si>
    <t>1D92WOHWUI2AGQCCdplcXL</t>
  </si>
  <si>
    <t>113.95</t>
  </si>
  <si>
    <t>Mitski</t>
  </si>
  <si>
    <t>https://api.spotify.com/v1/tracks/3vkCueOmm7xQDoJ17W1Pm3</t>
  </si>
  <si>
    <t>spotify:track:3vkCueOmm7xQDoJ17W1Pm3</t>
  </si>
  <si>
    <t>The Land Is Inhospitable and So Are We</t>
  </si>
  <si>
    <t>https://api.spotify.com/v1/audio-analysis/3vkCueOmm7xQDoJ17W1Pm3</t>
  </si>
  <si>
    <t>3vkCueOmm7xQDoJ17W1Pm3</t>
  </si>
  <si>
    <t>My Love Mine All Mine</t>
  </si>
  <si>
    <t>2Cn1d2KgbkAqbZCJ1RzdkA</t>
  </si>
  <si>
    <t>blackbear</t>
  </si>
  <si>
    <t>0.0621</t>
  </si>
  <si>
    <t>https://api.spotify.com/v1/tracks/3SErMoIKdRELto2OspGs5L</t>
  </si>
  <si>
    <t>spotify:track:3SErMoIKdRELto2OspGs5L</t>
  </si>
  <si>
    <t>dead</t>
  </si>
  <si>
    <t>https://api.spotify.com/v1/audio-analysis/3SErMoIKdRELto2OspGs5L</t>
  </si>
  <si>
    <t>3SErMoIKdRELto2OspGs5L</t>
  </si>
  <si>
    <t>idfc</t>
  </si>
  <si>
    <t>5cEJ9XTxsUKterwl1nAm2I</t>
  </si>
  <si>
    <t>0.0764</t>
  </si>
  <si>
    <t>Matt Maltese</t>
  </si>
  <si>
    <t>https://api.spotify.com/v1/tracks/3NM41PVVUr0ceootKAtkAj</t>
  </si>
  <si>
    <t>spotify:track:3NM41PVVUr0ceootKAtkAj</t>
  </si>
  <si>
    <t>Bad Contestant</t>
  </si>
  <si>
    <t>https://api.spotify.com/v1/audio-analysis/3NM41PVVUr0ceootKAtkAj</t>
  </si>
  <si>
    <t>3NM41PVVUr0ceootKAtkAj</t>
  </si>
  <si>
    <t>As the World Caves In</t>
  </si>
  <si>
    <t>0.00444</t>
  </si>
  <si>
    <t>7I6d6PkjEJE50fnxhCwQ8M</t>
  </si>
  <si>
    <t>0.051</t>
  </si>
  <si>
    <t>https://api.spotify.com/v1/tracks/5SHpuW2qjkQtFRpE6P9Nks</t>
  </si>
  <si>
    <t>spotify:track:5SHpuW2qjkQtFRpE6P9Nks</t>
  </si>
  <si>
    <t>Guitar Songs</t>
  </si>
  <si>
    <t>https://api.spotify.com/v1/audio-analysis/5SHpuW2qjkQtFRpE6P9Nks</t>
  </si>
  <si>
    <t>5SHpuW2qjkQtFRpE6P9Nks</t>
  </si>
  <si>
    <t>The 30th</t>
  </si>
  <si>
    <t>1YPWxMpQEC8kcOuefgXbhj</t>
  </si>
  <si>
    <t>140.01</t>
  </si>
  <si>
    <t>-14.33</t>
  </si>
  <si>
    <t>https://api.spotify.com/v1/tracks/57V4uc2b2diZ4RPHXWecb9</t>
  </si>
  <si>
    <t>spotify:track:57V4uc2b2diZ4RPHXWecb9</t>
  </si>
  <si>
    <t>https://api.spotify.com/v1/audio-analysis/57V4uc2b2diZ4RPHXWecb9</t>
  </si>
  <si>
    <t>57V4uc2b2diZ4RPHXWecb9</t>
  </si>
  <si>
    <t>Like Real People Do</t>
  </si>
  <si>
    <t>-10.99</t>
  </si>
  <si>
    <t>https://api.spotify.com/v1/tracks/3lG6OtGDsYAOALxEmubQQm</t>
  </si>
  <si>
    <t>spotify:track:3lG6OtGDsYAOALxEmubQQm</t>
  </si>
  <si>
    <t>Norman Fucking Rockwell!</t>
  </si>
  <si>
    <t>https://api.spotify.com/v1/audio-analysis/3lG6OtGDsYAOALxEmubQQm</t>
  </si>
  <si>
    <t>3lG6OtGDsYAOALxEmubQQm</t>
  </si>
  <si>
    <t>Happiness is a butterfly</t>
  </si>
  <si>
    <t>1.4e-06</t>
  </si>
  <si>
    <t>5XpEKORZ4y6OrCZSKsi46A</t>
  </si>
  <si>
    <t>https://api.spotify.com/v1/tracks/0tMSssfxAL2oV8Vri0mFHE</t>
  </si>
  <si>
    <t>spotify:track:0tMSssfxAL2oV8Vri0mFHE</t>
  </si>
  <si>
    <t>WHEN WE ALL FALL ASLEEP, WHERE DO WE GO?</t>
  </si>
  <si>
    <t>https://api.spotify.com/v1/audio-analysis/0tMSssfxAL2oV8Vri0mFHE</t>
  </si>
  <si>
    <t>0tMSssfxAL2oV8Vri0mFHE</t>
  </si>
  <si>
    <t>listen before i go</t>
  </si>
  <si>
    <t>0.00384</t>
  </si>
  <si>
    <t>0S0KGZnfBGSIssfF54WSJh</t>
  </si>
  <si>
    <t>https://api.spotify.com/v1/tracks/2JN3ugW1cEahbYw0I5mw5U</t>
  </si>
  <si>
    <t>spotify:track:2JN3ugW1cEahbYw0I5mw5U</t>
  </si>
  <si>
    <t>Superache</t>
  </si>
  <si>
    <t>https://api.spotify.com/v1/audio-analysis/2JN3ugW1cEahbYw0I5mw5U</t>
  </si>
  <si>
    <t>2JN3ugW1cEahbYw0I5mw5U</t>
  </si>
  <si>
    <t>Astronomy</t>
  </si>
  <si>
    <t>2.65e-05</t>
  </si>
  <si>
    <t>5hIOd0FvjlgG4uLjXHkFWI</t>
  </si>
  <si>
    <t>94.08</t>
  </si>
  <si>
    <t>Harry Styles</t>
  </si>
  <si>
    <t>https://api.spotify.com/v1/tracks/1IF5UcqRO42D12vYwceOY6</t>
  </si>
  <si>
    <t>spotify:track:1IF5UcqRO42D12vYwceOY6</t>
  </si>
  <si>
    <t>https://api.spotify.com/v1/audio-analysis/1IF5UcqRO42D12vYwceOY6</t>
  </si>
  <si>
    <t>1IF5UcqRO42D12vYwceOY6</t>
  </si>
  <si>
    <t>From the Dining Table</t>
  </si>
  <si>
    <t>1FZKIm3JVDCxTchXDo5jOV</t>
  </si>
  <si>
    <t>https://api.spotify.com/v1/tracks/4HOryCnbme0zBnF8LWij3f</t>
  </si>
  <si>
    <t>spotify:track:4HOryCnbme0zBnF8LWij3f</t>
  </si>
  <si>
    <t>Happier Than Ever</t>
  </si>
  <si>
    <t>https://api.spotify.com/v1/audio-analysis/4HOryCnbme0zBnF8LWij3f</t>
  </si>
  <si>
    <t>4HOryCnbme0zBnF8LWij3f</t>
  </si>
  <si>
    <t>Getting Older</t>
  </si>
  <si>
    <t>0JGOiO34nwfUdDrD612dOp</t>
  </si>
  <si>
    <t>137.35</t>
  </si>
  <si>
    <t>Liana Flores</t>
  </si>
  <si>
    <t>https://api.spotify.com/v1/tracks/51Grh1RyUDcMBbpuyUIUHI</t>
  </si>
  <si>
    <t>spotify:track:51Grh1RyUDcMBbpuyUIUHI</t>
  </si>
  <si>
    <t>recently</t>
  </si>
  <si>
    <t>https://api.spotify.com/v1/audio-analysis/51Grh1RyUDcMBbpuyUIUHI</t>
  </si>
  <si>
    <t>51Grh1RyUDcMBbpuyUIUHI</t>
  </si>
  <si>
    <t>rises the moon</t>
  </si>
  <si>
    <t>295qW3R6DSM1WfePwUpgux</t>
  </si>
  <si>
    <t>Lizzy McAlpine</t>
  </si>
  <si>
    <t>https://api.spotify.com/v1/tracks/2L9N0zZnd37dwF0clgxMGI</t>
  </si>
  <si>
    <t>spotify:track:2L9N0zZnd37dwF0clgxMGI</t>
  </si>
  <si>
    <t>five seconds flat</t>
  </si>
  <si>
    <t>https://api.spotify.com/v1/audio-analysis/2L9N0zZnd37dwF0clgxMGI</t>
  </si>
  <si>
    <t>2L9N0zZnd37dwF0clgxMGI</t>
  </si>
  <si>
    <t>ceilings</t>
  </si>
  <si>
    <t>0.00194</t>
  </si>
  <si>
    <t>68L5xVV9wydotfDXEik7eD</t>
  </si>
  <si>
    <t>https://api.spotify.com/v1/tracks/7D0RhFcb3CrfPuTJ0obrod</t>
  </si>
  <si>
    <t>spotify:track:7D0RhFcb3CrfPuTJ0obrod</t>
  </si>
  <si>
    <t>https://api.spotify.com/v1/audio-analysis/7D0RhFcb3CrfPuTJ0obrod</t>
  </si>
  <si>
    <t>7D0RhFcb3CrfPuTJ0obrod</t>
  </si>
  <si>
    <t>Sparks</t>
  </si>
  <si>
    <t>https://api.spotify.com/v1/tracks/7CiDwKE62N6ey3LyG6s7xc</t>
  </si>
  <si>
    <t>spotify:track:7CiDwKE62N6ey3LyG6s7xc</t>
  </si>
  <si>
    <t>In My Room</t>
  </si>
  <si>
    <t>https://api.spotify.com/v1/audio-analysis/7CiDwKE62N6ey3LyG6s7xc</t>
  </si>
  <si>
    <t>7CiDwKE62N6ey3LyG6s7xc</t>
  </si>
  <si>
    <t>0.000639</t>
  </si>
  <si>
    <t>3WmjP2w94BdrRraDmCHosq</t>
  </si>
  <si>
    <t>Phoebe Bridgers</t>
  </si>
  <si>
    <t>https://api.spotify.com/v1/tracks/04mAOoQNsXmDJlyupJwmkO</t>
  </si>
  <si>
    <t>spotify:track:04mAOoQNsXmDJlyupJwmkO</t>
  </si>
  <si>
    <t>Lost Ark Studio Compilation, Vol. 8</t>
  </si>
  <si>
    <t>https://api.spotify.com/v1/audio-analysis/04mAOoQNsXmDJlyupJwmkO</t>
  </si>
  <si>
    <t>04mAOoQNsXmDJlyupJwmkO</t>
  </si>
  <si>
    <t>Waiting Room</t>
  </si>
  <si>
    <t>0.000358</t>
  </si>
  <si>
    <t>1SiSNGAf4CVJgF63NJyTw9</t>
  </si>
  <si>
    <t>0.0643</t>
  </si>
  <si>
    <t>https://api.spotify.com/v1/tracks/7bPWdJgx8vek7S5i5yAtvG</t>
  </si>
  <si>
    <t>spotify:track:7bPWdJgx8vek7S5i5yAtvG</t>
  </si>
  <si>
    <t>Chemtrails Over The Country Club</t>
  </si>
  <si>
    <t>https://api.spotify.com/v1/audio-analysis/7bPWdJgx8vek7S5i5yAtvG</t>
  </si>
  <si>
    <t>7bPWdJgx8vek7S5i5yAtvG</t>
  </si>
  <si>
    <t>0.000249</t>
  </si>
  <si>
    <t>6QeosPQpJckkW0Obir5RT8</t>
  </si>
  <si>
    <t>-11.79</t>
  </si>
  <si>
    <t>https://api.spotify.com/v1/tracks/4qUtC2BwFC154Ha8YQRrkk</t>
  </si>
  <si>
    <t>spotify:track:4qUtC2BwFC154Ha8YQRrkk</t>
  </si>
  <si>
    <t>https://api.spotify.com/v1/audio-analysis/4qUtC2BwFC154Ha8YQRrkk</t>
  </si>
  <si>
    <t>4qUtC2BwFC154Ha8YQRrkk</t>
  </si>
  <si>
    <t>How to disappear</t>
  </si>
  <si>
    <t>0.000631</t>
  </si>
  <si>
    <t>101.96</t>
  </si>
  <si>
    <t>Taylor Swift, Phoebe Bridgers</t>
  </si>
  <si>
    <t>https://api.spotify.com/v1/tracks/01K4zKU104LyJ8gMb7227B</t>
  </si>
  <si>
    <t>spotify:track:01K4zKU104LyJ8gMb7227B</t>
  </si>
  <si>
    <t>Red (Taylor's Version)</t>
  </si>
  <si>
    <t>https://api.spotify.com/v1/audio-analysis/01K4zKU104LyJ8gMb7227B</t>
  </si>
  <si>
    <t>01K4zKU104LyJ8gMb7227B</t>
  </si>
  <si>
    <t>Nothing New (feat. Phoebe Bridgers) (Taylor‚Äôs Version) (From The Vault)</t>
  </si>
  <si>
    <t>6kZ42qRrzov54LcAk4onW9</t>
  </si>
  <si>
    <t>0.0963</t>
  </si>
  <si>
    <t>Novo Amor</t>
  </si>
  <si>
    <t>https://api.spotify.com/v1/tracks/7CoMBpPTwQi2wPT0U0Nr9b</t>
  </si>
  <si>
    <t>spotify:track:7CoMBpPTwQi2wPT0U0Nr9b</t>
  </si>
  <si>
    <t>Birthplace</t>
  </si>
  <si>
    <t>https://api.spotify.com/v1/audio-analysis/7CoMBpPTwQi2wPT0U0Nr9b</t>
  </si>
  <si>
    <t>7CoMBpPTwQi2wPT0U0Nr9b</t>
  </si>
  <si>
    <t>State Lines</t>
  </si>
  <si>
    <t>0tWckYjFI6ioZptLr42J3p</t>
  </si>
  <si>
    <t>SYML</t>
  </si>
  <si>
    <t>https://api.spotify.com/v1/tracks/0ElpbbncWT9aS7mgoqEHbQ</t>
  </si>
  <si>
    <t>spotify:track:0ElpbbncWT9aS7mgoqEHbQ</t>
  </si>
  <si>
    <t>Where's My Love</t>
  </si>
  <si>
    <t>https://api.spotify.com/v1/audio-analysis/0ElpbbncWT9aS7mgoqEHbQ</t>
  </si>
  <si>
    <t>0ElpbbncWT9aS7mgoqEHbQ</t>
  </si>
  <si>
    <t>Where's My Love - Acoustic</t>
  </si>
  <si>
    <t>6U6yE35iYGweoUiFFjuBdC</t>
  </si>
  <si>
    <t>Cigarettes After Sex</t>
  </si>
  <si>
    <t>https://api.spotify.com/v1/tracks/0yc6Gst2xkRu0eMLeRMGCX</t>
  </si>
  <si>
    <t>spotify:track:0yc6Gst2xkRu0eMLeRMGCX</t>
  </si>
  <si>
    <t>https://api.spotify.com/v1/audio-analysis/0yc6Gst2xkRu0eMLeRMGCX</t>
  </si>
  <si>
    <t>0yc6Gst2xkRu0eMLeRMGCX</t>
  </si>
  <si>
    <t>Apocalypse</t>
  </si>
  <si>
    <t>2mxFsS5yylSTHNivV53HoA</t>
  </si>
  <si>
    <t>https://api.spotify.com/v1/tracks/7qH9Z4dJEN0l9bidizW7fq</t>
  </si>
  <si>
    <t>spotify:track:7qH9Z4dJEN0l9bidizW7fq</t>
  </si>
  <si>
    <t>Bathing Beach</t>
  </si>
  <si>
    <t>https://api.spotify.com/v1/audio-analysis/7qH9Z4dJEN0l9bidizW7fq</t>
  </si>
  <si>
    <t>7qH9Z4dJEN0l9bidizW7fq</t>
  </si>
  <si>
    <t>Anchor</t>
  </si>
  <si>
    <t>4vGuMdwnxc6X8izbVS6MTN</t>
  </si>
  <si>
    <t>0.0949</t>
  </si>
  <si>
    <t>https://api.spotify.com/v1/tracks/1NZs6n6hl8UuMaX0UC0YTz</t>
  </si>
  <si>
    <t>spotify:track:1NZs6n6hl8UuMaX0UC0YTz</t>
  </si>
  <si>
    <t>Ultraviolence (Deluxe)</t>
  </si>
  <si>
    <t>https://api.spotify.com/v1/audio-analysis/1NZs6n6hl8UuMaX0UC0YTz</t>
  </si>
  <si>
    <t>1NZs6n6hl8UuMaX0UC0YTz</t>
  </si>
  <si>
    <t>Brooklyn Baby</t>
  </si>
  <si>
    <t>1ORxRsK3MrSLvh7VQTF01F</t>
  </si>
  <si>
    <t>https://api.spotify.com/v1/tracks/37zuIvk4KBkAxxLJsxJaHq</t>
  </si>
  <si>
    <t>spotify:track:37zuIvk4KBkAxxLJsxJaHq</t>
  </si>
  <si>
    <t>Wasteland, Baby!</t>
  </si>
  <si>
    <t>https://api.spotify.com/v1/audio-analysis/37zuIvk4KBkAxxLJsxJaHq</t>
  </si>
  <si>
    <t>37zuIvk4KBkAxxLJsxJaHq</t>
  </si>
  <si>
    <t>Would That I</t>
  </si>
  <si>
    <t>2c7gFThUYyo2t6ogAgIYNw</t>
  </si>
  <si>
    <t>Olivia Rodrigo</t>
  </si>
  <si>
    <t>https://api.spotify.com/v1/tracks/6QT6j7rKt7Vk3IuV2AUO9W</t>
  </si>
  <si>
    <t>spotify:track:6QT6j7rKt7Vk3IuV2AUO9W</t>
  </si>
  <si>
    <t>GUTS</t>
  </si>
  <si>
    <t>https://api.spotify.com/v1/audio-analysis/6QT6j7rKt7Vk3IuV2AUO9W</t>
  </si>
  <si>
    <t>6QT6j7rKt7Vk3IuV2AUO9W</t>
  </si>
  <si>
    <t>lacy</t>
  </si>
  <si>
    <t>1xJHno7SmdVtZAtXbdbDZp</t>
  </si>
  <si>
    <t>0.0359</t>
  </si>
  <si>
    <t>https://api.spotify.com/v1/tracks/17cia5k4BpGVlyEfqrFH50</t>
  </si>
  <si>
    <t>spotify:track:17cia5k4BpGVlyEfqrFH50</t>
  </si>
  <si>
    <t>The Hunger Games: The Ballad of Songbirds &amp; Snakes (Music From &amp; Inspired By)</t>
  </si>
  <si>
    <t>https://api.spotify.com/v1/audio-analysis/17cia5k4BpGVlyEfqrFH50</t>
  </si>
  <si>
    <t>17cia5k4BpGVlyEfqrFH50</t>
  </si>
  <si>
    <t>Can‚Äôt Catch Me Now - from The Hunger Games: The Ballad of Songbirds &amp; Snakes</t>
  </si>
  <si>
    <t>4.55e-06</t>
  </si>
  <si>
    <t>2yHTMVFGHODKJOjVL1hLgk</t>
  </si>
  <si>
    <t>144.99</t>
  </si>
  <si>
    <t>https://api.spotify.com/v1/tracks/35IcAVSMsU9qzHfpPbvC8A</t>
  </si>
  <si>
    <t>spotify:track:35IcAVSMsU9qzHfpPbvC8A</t>
  </si>
  <si>
    <t>https://api.spotify.com/v1/audio-analysis/35IcAVSMsU9qzHfpPbvC8A</t>
  </si>
  <si>
    <t>35IcAVSMsU9qzHfpPbvC8A</t>
  </si>
  <si>
    <t>Feels Like</t>
  </si>
  <si>
    <t>0.000216</t>
  </si>
  <si>
    <t>7l2g05NyprwonSFIs2y8at</t>
  </si>
  <si>
    <t>https://api.spotify.com/v1/tracks/0uvagCBJC0ClsR11W10T0Y</t>
  </si>
  <si>
    <t>spotify:track:0uvagCBJC0ClsR11W10T0Y</t>
  </si>
  <si>
    <t>Black Friday</t>
  </si>
  <si>
    <t>https://api.spotify.com/v1/audio-analysis/0uvagCBJC0ClsR11W10T0Y</t>
  </si>
  <si>
    <t>0uvagCBJC0ClsR11W10T0Y</t>
  </si>
  <si>
    <t>0OTRd577BEHU8WNfrJ24aB</t>
  </si>
  <si>
    <t>https://api.spotify.com/v1/tracks/4ak9GGe6afmi2HbxEjvhIC</t>
  </si>
  <si>
    <t>spotify:track:4ak9GGe6afmi2HbxEjvhIC</t>
  </si>
  <si>
    <t>https://api.spotify.com/v1/audio-analysis/4ak9GGe6afmi2HbxEjvhIC</t>
  </si>
  <si>
    <t>4ak9GGe6afmi2HbxEjvhIC</t>
  </si>
  <si>
    <t>Male Fantasy</t>
  </si>
  <si>
    <t>https://api.spotify.com/v1/tracks/1C042FLYy7rP3MfnkOcnha</t>
  </si>
  <si>
    <t>spotify:track:1C042FLYy7rP3MfnkOcnha</t>
  </si>
  <si>
    <t>https://api.spotify.com/v1/audio-analysis/1C042FLYy7rP3MfnkOcnha</t>
  </si>
  <si>
    <t>1C042FLYy7rP3MfnkOcnha</t>
  </si>
  <si>
    <t>Cherry Wine - Live</t>
  </si>
  <si>
    <t>0.00236</t>
  </si>
  <si>
    <t>Leith Ross</t>
  </si>
  <si>
    <t>0.0793</t>
  </si>
  <si>
    <t>https://api.spotify.com/v1/tracks/4Do3s3aivnqbUAvUEDEsAG</t>
  </si>
  <si>
    <t>spotify:track:4Do3s3aivnqbUAvUEDEsAG</t>
  </si>
  <si>
    <t>To Learn</t>
  </si>
  <si>
    <t>https://api.spotify.com/v1/audio-analysis/4Do3s3aivnqbUAvUEDEsAG</t>
  </si>
  <si>
    <t>4Do3s3aivnqbUAvUEDEsAG</t>
  </si>
  <si>
    <t>We'll Never Have Sex</t>
  </si>
  <si>
    <t>5k6lsjpZK4l4J9oMQmBR1l</t>
  </si>
  <si>
    <t>Lana Del Rey, Bleachers</t>
  </si>
  <si>
    <t>https://api.spotify.com/v1/tracks/1o82DwNisONAd2mu1RcGE6</t>
  </si>
  <si>
    <t>spotify:track:1o82DwNisONAd2mu1RcGE6</t>
  </si>
  <si>
    <t>Did you know that there's a tunnel under Ocean Blvd</t>
  </si>
  <si>
    <t>https://api.spotify.com/v1/audio-analysis/1o82DwNisONAd2mu1RcGE6</t>
  </si>
  <si>
    <t>1o82DwNisONAd2mu1RcGE6</t>
  </si>
  <si>
    <t>Margaret (feat. Bleachers)</t>
  </si>
  <si>
    <t>5HOHne1wzItQlIYmLXLYfZ</t>
  </si>
  <si>
    <t>David Kushner</t>
  </si>
  <si>
    <t>https://api.spotify.com/v1/tracks/5iu3rl4feYeRgR1DW0ydNU</t>
  </si>
  <si>
    <t>spotify:track:5iu3rl4feYeRgR1DW0ydNU</t>
  </si>
  <si>
    <t>Footprints I Found</t>
  </si>
  <si>
    <t>https://api.spotify.com/v1/audio-analysis/5iu3rl4feYeRgR1DW0ydNU</t>
  </si>
  <si>
    <t>5iu3rl4feYeRgR1DW0ydNU</t>
  </si>
  <si>
    <t>Miserable Man</t>
  </si>
  <si>
    <t>8.87e-05</t>
  </si>
  <si>
    <t>5bXx1ncSvWPtNAuecQgsHf</t>
  </si>
  <si>
    <t>72.38</t>
  </si>
  <si>
    <t>https://api.spotify.com/v1/tracks/5XsAal7ZcWg1I5T4NcRjkv</t>
  </si>
  <si>
    <t>spotify:track:5XsAal7ZcWg1I5T4NcRjkv</t>
  </si>
  <si>
    <t>https://api.spotify.com/v1/audio-analysis/5XsAal7ZcWg1I5T4NcRjkv</t>
  </si>
  <si>
    <t>5XsAal7ZcWg1I5T4NcRjkv</t>
  </si>
  <si>
    <t>Halley's Comet</t>
  </si>
  <si>
    <t>0.0121</t>
  </si>
  <si>
    <t>Melodic Rap</t>
  </si>
  <si>
    <t>melodic</t>
  </si>
  <si>
    <t>37i9dQZF1EIgLJJI0PCAq9</t>
  </si>
  <si>
    <t>https://api.spotify.com/v1/tracks/4guBZjUyrGoHsTahO3IHdj</t>
  </si>
  <si>
    <t>spotify:track:4guBZjUyrGoHsTahO3IHdj</t>
  </si>
  <si>
    <t>https://api.spotify.com/v1/audio-analysis/4guBZjUyrGoHsTahO3IHdj</t>
  </si>
  <si>
    <t>4guBZjUyrGoHsTahO3IHdj</t>
  </si>
  <si>
    <t>Did It Again</t>
  </si>
  <si>
    <t>Diplo, Trippie Redd</t>
  </si>
  <si>
    <t>https://api.spotify.com/v1/tracks/0c0YHn3DIQLl1opsQDd9kO</t>
  </si>
  <si>
    <t>spotify:track:0c0YHn3DIQLl1opsQDd9kO</t>
  </si>
  <si>
    <t>LIFE'S A TRIP</t>
  </si>
  <si>
    <t>https://api.spotify.com/v1/audio-analysis/0c0YHn3DIQLl1opsQDd9kO</t>
  </si>
  <si>
    <t>0c0YHn3DIQLl1opsQDd9kO</t>
  </si>
  <si>
    <t>Wish (feat. Trippie Redd) - Trippie Mix</t>
  </si>
  <si>
    <t>13rZDYWdAeJumf6UYYBdcL</t>
  </si>
  <si>
    <t>Lil Skies</t>
  </si>
  <si>
    <t>https://api.spotify.com/v1/tracks/7oJrVhiTPZGBXWPwhxjy9S</t>
  </si>
  <si>
    <t>spotify:track:7oJrVhiTPZGBXWPwhxjy9S</t>
  </si>
  <si>
    <t>Life of a Dark Rose</t>
  </si>
  <si>
    <t>https://api.spotify.com/v1/audio-analysis/7oJrVhiTPZGBXWPwhxjy9S</t>
  </si>
  <si>
    <t>7oJrVhiTPZGBXWPwhxjy9S</t>
  </si>
  <si>
    <t>Lust</t>
  </si>
  <si>
    <t>0CuYNS755Ow710G2E7aLDE</t>
  </si>
  <si>
    <t>124.13</t>
  </si>
  <si>
    <t>https://api.spotify.com/v1/tracks/1gUUuh7FQ3mr7nEq0SRvGX</t>
  </si>
  <si>
    <t>spotify:track:1gUUuh7FQ3mr7nEq0SRvGX</t>
  </si>
  <si>
    <t>https://api.spotify.com/v1/audio-analysis/1gUUuh7FQ3mr7nEq0SRvGX</t>
  </si>
  <si>
    <t>1gUUuh7FQ3mr7nEq0SRvGX</t>
  </si>
  <si>
    <t>Conceited</t>
  </si>
  <si>
    <t>Lil Tecca, Juice WRLD</t>
  </si>
  <si>
    <t>https://api.spotify.com/v1/tracks/2WsuSYJNXGKXVYkHPnq2yp</t>
  </si>
  <si>
    <t>spotify:track:2WsuSYJNXGKXVYkHPnq2yp</t>
  </si>
  <si>
    <t>https://api.spotify.com/v1/audio-analysis/2WsuSYJNXGKXVYkHPnq2yp</t>
  </si>
  <si>
    <t>2WsuSYJNXGKXVYkHPnq2yp</t>
  </si>
  <si>
    <t>Ransom (with Juice WRLD) - Remix</t>
  </si>
  <si>
    <t>Post Malone, Ozzy Osbourne, Travis Scott</t>
  </si>
  <si>
    <t>0.0503</t>
  </si>
  <si>
    <t>https://api.spotify.com/v1/tracks/7CZyCXKG6d5ALeq41sLzbw</t>
  </si>
  <si>
    <t>spotify:track:7CZyCXKG6d5ALeq41sLzbw</t>
  </si>
  <si>
    <t>https://api.spotify.com/v1/audio-analysis/7CZyCXKG6d5ALeq41sLzbw</t>
  </si>
  <si>
    <t>7CZyCXKG6d5ALeq41sLzbw</t>
  </si>
  <si>
    <t>Take What You Want (feat. Ozzy Osbourne &amp; Travis Scott)</t>
  </si>
  <si>
    <t>Lil Peep, Lil Tracy</t>
  </si>
  <si>
    <t>https://api.spotify.com/v1/tracks/57NsyEzmk0NT3NcOwuQT55</t>
  </si>
  <si>
    <t>spotify:track:57NsyEzmk0NT3NcOwuQT55</t>
  </si>
  <si>
    <t>CASTLES II</t>
  </si>
  <si>
    <t>https://api.spotify.com/v1/audio-analysis/57NsyEzmk0NT3NcOwuQT55</t>
  </si>
  <si>
    <t>57NsyEzmk0NT3NcOwuQT55</t>
  </si>
  <si>
    <t>witchblades</t>
  </si>
  <si>
    <t>3XoCzKMQ3rOk06y6u0GWCZ</t>
  </si>
  <si>
    <t>Mustard, Roddy Ricch</t>
  </si>
  <si>
    <t>https://api.spotify.com/v1/tracks/3QzAOrNlsabgbMwlZt7TAY</t>
  </si>
  <si>
    <t>spotify:track:3QzAOrNlsabgbMwlZt7TAY</t>
  </si>
  <si>
    <t>Perfect Ten</t>
  </si>
  <si>
    <t>https://api.spotify.com/v1/audio-analysis/3QzAOrNlsabgbMwlZt7TAY</t>
  </si>
  <si>
    <t>3QzAOrNlsabgbMwlZt7TAY</t>
  </si>
  <si>
    <t>Ballin' (with Roddy Ricch)</t>
  </si>
  <si>
    <t>2WrNHOba5u6P9S9xEboaUy</t>
  </si>
  <si>
    <t>YNW Melly</t>
  </si>
  <si>
    <t>https://api.spotify.com/v1/tracks/1iSqfoUFnQwV0QW1EfUit8</t>
  </si>
  <si>
    <t>spotify:track:1iSqfoUFnQwV0QW1EfUit8</t>
  </si>
  <si>
    <t>Melly vs. Melvin</t>
  </si>
  <si>
    <t>https://api.spotify.com/v1/audio-analysis/1iSqfoUFnQwV0QW1EfUit8</t>
  </si>
  <si>
    <t>1iSqfoUFnQwV0QW1EfUit8</t>
  </si>
  <si>
    <t>Suicidal</t>
  </si>
  <si>
    <t>5xq6RMHNIBA73qld03dR6V</t>
  </si>
  <si>
    <t>-4.55</t>
  </si>
  <si>
    <t>0.0767</t>
  </si>
  <si>
    <t>https://api.spotify.com/v1/tracks/0flSGzqHO12p9fU9kqaHGE</t>
  </si>
  <si>
    <t>spotify:track:0flSGzqHO12p9fU9kqaHGE</t>
  </si>
  <si>
    <t>https://api.spotify.com/v1/audio-analysis/0flSGzqHO12p9fU9kqaHGE</t>
  </si>
  <si>
    <t>0flSGzqHO12p9fU9kqaHGE</t>
  </si>
  <si>
    <t>Flaws And Sins</t>
  </si>
  <si>
    <t>0.00966</t>
  </si>
  <si>
    <t>https://api.spotify.com/v1/tracks/00n83h3zn2IrySO4Q4aTrG</t>
  </si>
  <si>
    <t>spotify:track:00n83h3zn2IrySO4Q4aTrG</t>
  </si>
  <si>
    <t>TEC (Bonus)</t>
  </si>
  <si>
    <t>https://api.spotify.com/v1/audio-analysis/00n83h3zn2IrySO4Q4aTrG</t>
  </si>
  <si>
    <t>00n83h3zn2IrySO4Q4aTrG</t>
  </si>
  <si>
    <t>Down With Me</t>
  </si>
  <si>
    <t>0pVQ3KO4jjqdeWJUrrkkWp</t>
  </si>
  <si>
    <t>https://api.spotify.com/v1/tracks/7xQAfvXzm3AkraOtGPWIZg</t>
  </si>
  <si>
    <t>spotify:track:7xQAfvXzm3AkraOtGPWIZg</t>
  </si>
  <si>
    <t>https://api.spotify.com/v1/audio-analysis/7xQAfvXzm3AkraOtGPWIZg</t>
  </si>
  <si>
    <t>7xQAfvXzm3AkraOtGPWIZg</t>
  </si>
  <si>
    <t>Wow.</t>
  </si>
  <si>
    <t>Travis Scott, Justin Bieber, Young Thug</t>
  </si>
  <si>
    <t>https://api.spotify.com/v1/tracks/6Yqmv7XJLCrQEauMbPGZSw</t>
  </si>
  <si>
    <t>spotify:track:6Yqmv7XJLCrQEauMbPGZSw</t>
  </si>
  <si>
    <t>Rodeo</t>
  </si>
  <si>
    <t>https://api.spotify.com/v1/audio-analysis/6Yqmv7XJLCrQEauMbPGZSw</t>
  </si>
  <si>
    <t>6Yqmv7XJLCrQEauMbPGZSw</t>
  </si>
  <si>
    <t>Maria I'm Drunk (feat. Justin Bieber &amp; Young Thug)</t>
  </si>
  <si>
    <t>4PWBTB6NYSKQwfo79I3prg</t>
  </si>
  <si>
    <t>A Boogie Wit da Hoodie</t>
  </si>
  <si>
    <t>https://api.spotify.com/v1/tracks/2FTeQQ5Rg9tBpgpTF5mnhE</t>
  </si>
  <si>
    <t>spotify:track:2FTeQQ5Rg9tBpgpTF5mnhE</t>
  </si>
  <si>
    <t>Artist</t>
  </si>
  <si>
    <t>https://api.spotify.com/v1/audio-analysis/2FTeQQ5Rg9tBpgpTF5mnhE</t>
  </si>
  <si>
    <t>2FTeQQ5Rg9tBpgpTF5mnhE</t>
  </si>
  <si>
    <t>Still Think About You</t>
  </si>
  <si>
    <t>2OQEAqShAl6SodrGhmYZ4Z</t>
  </si>
  <si>
    <t>Juice WRLD, Marshmello</t>
  </si>
  <si>
    <t>https://api.spotify.com/v1/tracks/2Y0wPrPQBrGhoLn14xRYCG</t>
  </si>
  <si>
    <t>spotify:track:2Y0wPrPQBrGhoLn14xRYCG</t>
  </si>
  <si>
    <t>https://api.spotify.com/v1/audio-analysis/2Y0wPrPQBrGhoLn14xRYCG</t>
  </si>
  <si>
    <t>2Y0wPrPQBrGhoLn14xRYCG</t>
  </si>
  <si>
    <t>Come &amp; Go (with Marshmello)</t>
  </si>
  <si>
    <t>https://api.spotify.com/v1/tracks/6rjuKpPydT2SxN15TZpV7r</t>
  </si>
  <si>
    <t>spotify:track:6rjuKpPydT2SxN15TZpV7r</t>
  </si>
  <si>
    <t>TEC</t>
  </si>
  <si>
    <t>https://api.spotify.com/v1/audio-analysis/6rjuKpPydT2SxN15TZpV7r</t>
  </si>
  <si>
    <t>6rjuKpPydT2SxN15TZpV7r</t>
  </si>
  <si>
    <t>500lbs</t>
  </si>
  <si>
    <t>4EURMuWFiLLRmQYoH5cgiE</t>
  </si>
  <si>
    <t>94.03</t>
  </si>
  <si>
    <t>Baby Keem</t>
  </si>
  <si>
    <t>https://api.spotify.com/v1/tracks/1Is8hGpkGMiePASAxBluxM</t>
  </si>
  <si>
    <t>spotify:track:1Is8hGpkGMiePASAxBluxM</t>
  </si>
  <si>
    <t>https://api.spotify.com/v1/audio-analysis/1Is8hGpkGMiePASAxBluxM</t>
  </si>
  <si>
    <t>1Is8hGpkGMiePASAxBluxM</t>
  </si>
  <si>
    <t>https://api.spotify.com/v1/tracks/5w40ZYhbBMAlHYNDaVJIUu</t>
  </si>
  <si>
    <t>spotify:track:5w40ZYhbBMAlHYNDaVJIUu</t>
  </si>
  <si>
    <t>Chemical</t>
  </si>
  <si>
    <t>https://api.spotify.com/v1/audio-analysis/5w40ZYhbBMAlHYNDaVJIUu</t>
  </si>
  <si>
    <t>5w40ZYhbBMAlHYNDaVJIUu</t>
  </si>
  <si>
    <t>7qcSUc5Af63mhfTF60KTEA</t>
  </si>
  <si>
    <t>0.00154</t>
  </si>
  <si>
    <t>korean</t>
  </si>
  <si>
    <t>Stevie Wonder</t>
  </si>
  <si>
    <t>https://api.spotify.com/v1/tracks/6RNDeRnWsRMjPdNVgupZCs</t>
  </si>
  <si>
    <t>spotify:track:6RNDeRnWsRMjPdNVgupZCs</t>
  </si>
  <si>
    <t>At The Close Of A Century</t>
  </si>
  <si>
    <t>K-Drama OSTs</t>
  </si>
  <si>
    <t>https://api.spotify.com/v1/audio-analysis/6RNDeRnWsRMjPdNVgupZCs</t>
  </si>
  <si>
    <t>6RNDeRnWsRMjPdNVgupZCs</t>
  </si>
  <si>
    <t>I Just Called To Say I Love You</t>
  </si>
  <si>
    <t>1.57e-06</t>
  </si>
  <si>
    <t>04giHQ9zptJUHUvtIyxL9Z</t>
  </si>
  <si>
    <t>drama</t>
  </si>
  <si>
    <t>37i9dQZF1DWUXxc8Mc6MmJ</t>
  </si>
  <si>
    <t>CHANYEOL, Punch</t>
  </si>
  <si>
    <t>https://api.spotify.com/v1/tracks/1HYzRuWjmS9LXCkdVHi25K</t>
  </si>
  <si>
    <t>spotify:track:1HYzRuWjmS9LXCkdVHi25K</t>
  </si>
  <si>
    <t>Guardian (Original Television Soundtrack), Pt. 1</t>
  </si>
  <si>
    <t>https://api.spotify.com/v1/audio-analysis/1HYzRuWjmS9LXCkdVHi25K</t>
  </si>
  <si>
    <t>1HYzRuWjmS9LXCkdVHi25K</t>
  </si>
  <si>
    <t>Stay With Me</t>
  </si>
  <si>
    <t>6Pr1DaOWfT6hEewhZMRyqg</t>
  </si>
  <si>
    <t>ECLIPSE</t>
  </si>
  <si>
    <t>https://api.spotify.com/v1/tracks/1OhIn0L6iofnk5bjalWfHq</t>
  </si>
  <si>
    <t>spotify:track:1OhIn0L6iofnk5bjalWfHq</t>
  </si>
  <si>
    <t>Lovely Runner, Pt. 1 (Original Soundtrack)</t>
  </si>
  <si>
    <t>https://api.spotify.com/v1/audio-analysis/1OhIn0L6iofnk5bjalWfHq</t>
  </si>
  <si>
    <t>1OhIn0L6iofnk5bjalWfHq</t>
  </si>
  <si>
    <t>Sudden Shower</t>
  </si>
  <si>
    <t>0yaxMWGvOI7jSirSsKQj37</t>
  </si>
  <si>
    <t>https://api.spotify.com/v1/tracks/186NCtNk1tUYS7c2DxgJ7O</t>
  </si>
  <si>
    <t>spotify:track:186NCtNk1tUYS7c2DxgJ7O</t>
  </si>
  <si>
    <t>Our Beloved Summer (Original Television Soundtrack), Pt. 5</t>
  </si>
  <si>
    <t>https://api.spotify.com/v1/audio-analysis/186NCtNk1tUYS7c2DxgJ7O</t>
  </si>
  <si>
    <t>186NCtNk1tUYS7c2DxgJ7O</t>
  </si>
  <si>
    <t>Christmas Tree</t>
  </si>
  <si>
    <t>2.33e-05</t>
  </si>
  <si>
    <t>4210mSQ3r10AsJMZEYAH5l</t>
  </si>
  <si>
    <t>YEONJUN</t>
  </si>
  <si>
    <t>https://api.spotify.com/v1/tracks/7dk7jxKBun1JQ2pPPBxDYl</t>
  </si>
  <si>
    <t>spotify:track:7dk7jxKBun1JQ2pPPBxDYl</t>
  </si>
  <si>
    <t>Cinderella at 2AM OST Part 4</t>
  </si>
  <si>
    <t>https://api.spotify.com/v1/audio-analysis/7dk7jxKBun1JQ2pPPBxDYl</t>
  </si>
  <si>
    <t>7dk7jxKBun1JQ2pPPBxDYl</t>
  </si>
  <si>
    <t>Boyfriend</t>
  </si>
  <si>
    <t>6gmq8wZ2p5mFkg8DRyvZcE</t>
  </si>
  <si>
    <t>Crush</t>
  </si>
  <si>
    <t>https://api.spotify.com/v1/tracks/0UaaFmF3xUwMjnuAHBq7qL</t>
  </si>
  <si>
    <t>spotify:track:0UaaFmF3xUwMjnuAHBq7qL</t>
  </si>
  <si>
    <t>Queen of Tears (Original Television Soundtrack), Pt.4</t>
  </si>
  <si>
    <t>https://api.spotify.com/v1/audio-analysis/0UaaFmF3xUwMjnuAHBq7qL</t>
  </si>
  <si>
    <t>0UaaFmF3xUwMjnuAHBq7qL</t>
  </si>
  <si>
    <t>Love You With All My Heart</t>
  </si>
  <si>
    <t>0B0JmGO8lQYuqxn02gcFvx</t>
  </si>
  <si>
    <t>Jung Kook</t>
  </si>
  <si>
    <t>https://api.spotify.com/v1/tracks/7CAdT0HdiQNlt1C7xk2hep</t>
  </si>
  <si>
    <t>spotify:track:7CAdT0HdiQNlt1C7xk2hep</t>
  </si>
  <si>
    <t>Stay Alive (Prod. SUGA of BTS)</t>
  </si>
  <si>
    <t>https://api.spotify.com/v1/audio-analysis/7CAdT0HdiQNlt1C7xk2hep</t>
  </si>
  <si>
    <t>7CAdT0HdiQNlt1C7xk2hep</t>
  </si>
  <si>
    <t>6nvSZLAsbg56fGSCVm8fL9</t>
  </si>
  <si>
    <t>world</t>
  </si>
  <si>
    <t>https://api.spotify.com/v1/tracks/28GCbKgjlVD9eDmasGbe0T</t>
  </si>
  <si>
    <t>spotify:track:28GCbKgjlVD9eDmasGbe0T</t>
  </si>
  <si>
    <t>Tuvan Throat Singing</t>
  </si>
  <si>
    <t>https://api.spotify.com/v1/audio-analysis/28GCbKgjlVD9eDmasGbe0T</t>
  </si>
  <si>
    <t>28GCbKgjlVD9eDmasGbe0T</t>
  </si>
  <si>
    <t>Me Fui de Vacaciones</t>
  </si>
  <si>
    <t>0.00083</t>
  </si>
  <si>
    <t>throat singing</t>
  </si>
  <si>
    <t>37i9dQZF1DWZKxXtx1tSxF</t>
  </si>
  <si>
    <t>J√≥sean Log</t>
  </si>
  <si>
    <t>https://api.spotify.com/v1/tracks/6aommJFM8i3iT4inKuDSXh</t>
  </si>
  <si>
    <t>spotify:track:6aommJFM8i3iT4inKuDSXh</t>
  </si>
  <si>
    <t>H√°blate de M√≠</t>
  </si>
  <si>
    <t>https://api.spotify.com/v1/audio-analysis/6aommJFM8i3iT4inKuDSXh</t>
  </si>
  <si>
    <t>6aommJFM8i3iT4inKuDSXh</t>
  </si>
  <si>
    <t>Chachach√°</t>
  </si>
  <si>
    <t>4.67e-06</t>
  </si>
  <si>
    <t>5DtrZ74RgqpVVqLWncmqyZ</t>
  </si>
  <si>
    <t>93.99</t>
  </si>
  <si>
    <t>Los √Ångeles Azules, Natalia Lafourcade</t>
  </si>
  <si>
    <t>https://api.spotify.com/v1/tracks/0HlMshB5JmZjPNbOuOgFHN</t>
  </si>
  <si>
    <t>spotify:track:0HlMshB5JmZjPNbOuOgFHN</t>
  </si>
  <si>
    <t>Esto S√≠ Es Cumbia</t>
  </si>
  <si>
    <t>https://api.spotify.com/v1/audio-analysis/0HlMshB5JmZjPNbOuOgFHN</t>
  </si>
  <si>
    <t>0HlMshB5JmZjPNbOuOgFHN</t>
  </si>
  <si>
    <t>Nunca Es Suficiente</t>
  </si>
  <si>
    <t>1ezTrrYQHb4QAsjw7uHZwG</t>
  </si>
  <si>
    <t>Calle 13</t>
  </si>
  <si>
    <t>https://api.spotify.com/v1/tracks/3kNVYo6BJE9AENxzokM9YC</t>
  </si>
  <si>
    <t>spotify:track:3kNVYo6BJE9AENxzokM9YC</t>
  </si>
  <si>
    <t>Entren Los Que Quieran</t>
  </si>
  <si>
    <t>https://api.spotify.com/v1/audio-analysis/3kNVYo6BJE9AENxzokM9YC</t>
  </si>
  <si>
    <t>3kNVYo6BJE9AENxzokM9YC</t>
  </si>
  <si>
    <t>Muerte En Hawaii</t>
  </si>
  <si>
    <t>3yqcj5G3zkeXuWIx6cjQgx</t>
  </si>
  <si>
    <t>-11.65</t>
  </si>
  <si>
    <t>Yaelokre</t>
  </si>
  <si>
    <t>https://api.spotify.com/v1/tracks/35I2E525yJpUQ5ZJgfxizT</t>
  </si>
  <si>
    <t>spotify:track:35I2E525yJpUQ5ZJgfxizT</t>
  </si>
  <si>
    <t>Harpy Hare</t>
  </si>
  <si>
    <t>Nordic Folk</t>
  </si>
  <si>
    <t>https://api.spotify.com/v1/audio-analysis/35I2E525yJpUQ5ZJgfxizT</t>
  </si>
  <si>
    <t>35I2E525yJpUQ5ZJgfxizT</t>
  </si>
  <si>
    <t>73CN9zX4PxZ5kejWqPTCOz</t>
  </si>
  <si>
    <t>nordic</t>
  </si>
  <si>
    <t>37i9dQZF1DX4jUyNIMkj6N</t>
  </si>
  <si>
    <t>84.07</t>
  </si>
  <si>
    <t>Dhanda Nyoliwala</t>
  </si>
  <si>
    <t>https://api.spotify.com/v1/tracks/1dFrZr9eMUsFqeag04ClqD</t>
  </si>
  <si>
    <t>spotify:track:1dFrZr9eMUsFqeag04ClqD</t>
  </si>
  <si>
    <t>Russian Bandana</t>
  </si>
  <si>
    <t>Desi Hip-Hop</t>
  </si>
  <si>
    <t>https://api.spotify.com/v1/audio-analysis/1dFrZr9eMUsFqeag04ClqD</t>
  </si>
  <si>
    <t>1dFrZr9eMUsFqeag04ClqD</t>
  </si>
  <si>
    <t>6CLIf42g7M6k0nE3vlcqud</t>
  </si>
  <si>
    <t>desi</t>
  </si>
  <si>
    <t>37i9dQZF1DX2RahGIyQXcJ</t>
  </si>
  <si>
    <t>Karan Aujla</t>
  </si>
  <si>
    <t>https://api.spotify.com/v1/tracks/3lQPwCmD918SyoiIkw1zqx</t>
  </si>
  <si>
    <t>spotify:track:3lQPwCmD918SyoiIkw1zqx</t>
  </si>
  <si>
    <t>Sifar Safar</t>
  </si>
  <si>
    <t>https://api.spotify.com/v1/audio-analysis/3lQPwCmD918SyoiIkw1zqx</t>
  </si>
  <si>
    <t>3lQPwCmD918SyoiIkw1zqx</t>
  </si>
  <si>
    <t>3QNOBqIMylNpZXZ8OtFoC2</t>
  </si>
  <si>
    <t>0.00625</t>
  </si>
  <si>
    <t>https://api.spotify.com/v1/tracks/5nIrIdLPPXeRMl8WXnnDv1</t>
  </si>
  <si>
    <t>spotify:track:5nIrIdLPPXeRMl8WXnnDv1</t>
  </si>
  <si>
    <t>DNW Vol. 1</t>
  </si>
  <si>
    <t>https://api.spotify.com/v1/audio-analysis/5nIrIdLPPXeRMl8WXnnDv1</t>
  </si>
  <si>
    <t>5nIrIdLPPXeRMl8WXnnDv1</t>
  </si>
  <si>
    <t>Knife Brows</t>
  </si>
  <si>
    <t>2HKS1DAJvHmsYs2ORrMQE1</t>
  </si>
  <si>
    <t>Shubh, Ikky</t>
  </si>
  <si>
    <t>https://api.spotify.com/v1/tracks/42TMa2hgBNjte4uV7jNCnQ</t>
  </si>
  <si>
    <t>spotify:track:42TMa2hgBNjte4uV7jNCnQ</t>
  </si>
  <si>
    <t>Baller</t>
  </si>
  <si>
    <t>https://api.spotify.com/v1/audio-analysis/42TMa2hgBNjte4uV7jNCnQ</t>
  </si>
  <si>
    <t>42TMa2hgBNjte4uV7jNCnQ</t>
  </si>
  <si>
    <t>44aCFqUbG06fL58kqpMp8p</t>
  </si>
  <si>
    <t>0.00487</t>
  </si>
  <si>
    <t>Karan Aujla, Mxrci</t>
  </si>
  <si>
    <t>https://api.spotify.com/v1/tracks/3FqtduiaqnFYvBgKuc6QWQ</t>
  </si>
  <si>
    <t>spotify:track:3FqtduiaqnFYvBgKuc6QWQ</t>
  </si>
  <si>
    <t>Winning Speech</t>
  </si>
  <si>
    <t>https://api.spotify.com/v1/audio-analysis/3FqtduiaqnFYvBgKuc6QWQ</t>
  </si>
  <si>
    <t>3FqtduiaqnFYvBgKuc6QWQ</t>
  </si>
  <si>
    <t>0pLUWCJtTpJCcYpzSTK7oC</t>
  </si>
  <si>
    <t>94.0</t>
  </si>
  <si>
    <t>Shubh</t>
  </si>
  <si>
    <t>0.0914</t>
  </si>
  <si>
    <t>https://api.spotify.com/v1/tracks/6oz1L5jcqZWYuId7nxvIan</t>
  </si>
  <si>
    <t>spotify:track:6oz1L5jcqZWYuId7nxvIan</t>
  </si>
  <si>
    <t>Still Rollin</t>
  </si>
  <si>
    <t>https://api.spotify.com/v1/audio-analysis/6oz1L5jcqZWYuId7nxvIan</t>
  </si>
  <si>
    <t>6oz1L5jcqZWYuId7nxvIan</t>
  </si>
  <si>
    <t>0.0018</t>
  </si>
  <si>
    <t>5AivaZj0CiQJoDWqVH2pbh</t>
  </si>
  <si>
    <t>Prabh Singh, Jay Trak, Rooh Sandhu</t>
  </si>
  <si>
    <t>https://api.spotify.com/v1/tracks/6c4Po8zyQjB4cR5XgLhcGb</t>
  </si>
  <si>
    <t>spotify:track:6c4Po8zyQjB4cR5XgLhcGb</t>
  </si>
  <si>
    <t>https://api.spotify.com/v1/audio-analysis/6c4Po8zyQjB4cR5XgLhcGb</t>
  </si>
  <si>
    <t>6c4Po8zyQjB4cR5XgLhcGb</t>
  </si>
  <si>
    <t>3.59e-06</t>
  </si>
  <si>
    <t>5ITQeRYoVu4qRdo9TUTuuR</t>
  </si>
  <si>
    <t>https://api.spotify.com/v1/tracks/53QrRlALFJfZgdcGLKwy5s</t>
  </si>
  <si>
    <t>spotify:track:53QrRlALFJfZgdcGLKwy5s</t>
  </si>
  <si>
    <t>https://api.spotify.com/v1/audio-analysis/53QrRlALFJfZgdcGLKwy5s</t>
  </si>
  <si>
    <t>53QrRlALFJfZgdcGLKwy5s</t>
  </si>
  <si>
    <t>https://api.spotify.com/v1/tracks/4eBvRhTJ2AcxCsbfTUjoRp</t>
  </si>
  <si>
    <t>spotify:track:4eBvRhTJ2AcxCsbfTUjoRp</t>
  </si>
  <si>
    <t>https://api.spotify.com/v1/audio-analysis/4eBvRhTJ2AcxCsbfTUjoRp</t>
  </si>
  <si>
    <t>4eBvRhTJ2AcxCsbfTUjoRp</t>
  </si>
  <si>
    <t>Cheques</t>
  </si>
  <si>
    <t>1.23e-05</t>
  </si>
  <si>
    <t>https://api.spotify.com/v1/tracks/5BQePe9rcCJozHK3oPayYk</t>
  </si>
  <si>
    <t>spotify:track:5BQePe9rcCJozHK3oPayYk</t>
  </si>
  <si>
    <t>MVP</t>
  </si>
  <si>
    <t>https://api.spotify.com/v1/audio-analysis/5BQePe9rcCJozHK3oPayYk</t>
  </si>
  <si>
    <t>5BQePe9rcCJozHK3oPayYk</t>
  </si>
  <si>
    <t>5oCCfkVCpkSUhBUXe0pyJF</t>
  </si>
  <si>
    <t>Sukha, Chani Nattan, Prodgk, Gurlez Akhtar</t>
  </si>
  <si>
    <t>https://api.spotify.com/v1/tracks/6wkHR8cU4INbp145hngbQO</t>
  </si>
  <si>
    <t>spotify:track:6wkHR8cU4INbp145hngbQO</t>
  </si>
  <si>
    <t>UNDISPUTED</t>
  </si>
  <si>
    <t>https://api.spotify.com/v1/audio-analysis/6wkHR8cU4INbp145hngbQO</t>
  </si>
  <si>
    <t>6wkHR8cU4INbp145hngbQO</t>
  </si>
  <si>
    <t>8 ASLE</t>
  </si>
  <si>
    <t>5jwxgwhfEuWqBfKYPHaC34</t>
  </si>
  <si>
    <t>-8.35</t>
  </si>
  <si>
    <t>https://api.spotify.com/v1/tracks/1BpvuKIG7jK5EiTp2tv5z8</t>
  </si>
  <si>
    <t>spotify:track:1BpvuKIG7jK5EiTp2tv5z8</t>
  </si>
  <si>
    <t>Leo</t>
  </si>
  <si>
    <t>https://api.spotify.com/v1/audio-analysis/1BpvuKIG7jK5EiTp2tv5z8</t>
  </si>
  <si>
    <t>1BpvuKIG7jK5EiTp2tv5z8</t>
  </si>
  <si>
    <t>King Shit</t>
  </si>
  <si>
    <t>1h0Yw7Wm49GGiGpN2gd3o2</t>
  </si>
  <si>
    <t>https://api.spotify.com/v1/tracks/5ZLkihi6DVsHwDL3B8ym1t</t>
  </si>
  <si>
    <t>spotify:track:5ZLkihi6DVsHwDL3B8ym1t</t>
  </si>
  <si>
    <t>One Love</t>
  </si>
  <si>
    <t>https://api.spotify.com/v1/audio-analysis/5ZLkihi6DVsHwDL3B8ym1t</t>
  </si>
  <si>
    <t>5ZLkihi6DVsHwDL3B8ym1t</t>
  </si>
  <si>
    <t>0.00645</t>
  </si>
  <si>
    <t>3tNH9Fp4dm3qa3Kr4cv5uJ</t>
  </si>
  <si>
    <t>-5.42</t>
  </si>
  <si>
    <t>https://api.spotify.com/v1/tracks/4SJMuaIYcBS8ke96lDYOsw</t>
  </si>
  <si>
    <t>spotify:track:4SJMuaIYcBS8ke96lDYOsw</t>
  </si>
  <si>
    <t>On Top</t>
  </si>
  <si>
    <t>https://api.spotify.com/v1/audio-analysis/4SJMuaIYcBS8ke96lDYOsw</t>
  </si>
  <si>
    <t>4SJMuaIYcBS8ke96lDYOsw</t>
  </si>
  <si>
    <t>6ephunHyThVj3tQkGgZKpJ</t>
  </si>
  <si>
    <t>0.0188</t>
  </si>
  <si>
    <t>AP Dhillon</t>
  </si>
  <si>
    <t>https://api.spotify.com/v1/tracks/4WLDaQ8AgSwUgFoPzJkAYK</t>
  </si>
  <si>
    <t>spotify:track:4WLDaQ8AgSwUgFoPzJkAYK</t>
  </si>
  <si>
    <t>Old Money</t>
  </si>
  <si>
    <t>https://api.spotify.com/v1/audio-analysis/4WLDaQ8AgSwUgFoPzJkAYK</t>
  </si>
  <si>
    <t>4WLDaQ8AgSwUgFoPzJkAYK</t>
  </si>
  <si>
    <t>2f8hk48Uin6SFQyMKw7AIp</t>
  </si>
  <si>
    <t>AUR</t>
  </si>
  <si>
    <t>https://api.spotify.com/v1/tracks/3zSSCPpLZ5Oc8nelhhGjKz</t>
  </si>
  <si>
    <t>spotify:track:3zSSCPpLZ5Oc8nelhhGjKz</t>
  </si>
  <si>
    <t>Tu hai kahan</t>
  </si>
  <si>
    <t>https://api.spotify.com/v1/audio-analysis/3zSSCPpLZ5Oc8nelhhGjKz</t>
  </si>
  <si>
    <t>3zSSCPpLZ5Oc8nelhhGjKz</t>
  </si>
  <si>
    <t>73vfz6Szer7i3GFIesix6l</t>
  </si>
  <si>
    <t>https://api.spotify.com/v1/tracks/7KQdgW7QzNd9oPoCzjCU76</t>
  </si>
  <si>
    <t>spotify:track:7KQdgW7QzNd9oPoCzjCU76</t>
  </si>
  <si>
    <t>Bandana</t>
  </si>
  <si>
    <t>https://api.spotify.com/v1/audio-analysis/7KQdgW7QzNd9oPoCzjCU76</t>
  </si>
  <si>
    <t>7KQdgW7QzNd9oPoCzjCU76</t>
  </si>
  <si>
    <t>1jiFBECVkHOJwDe9TcKKiB</t>
  </si>
  <si>
    <t>Reggae Fusion</t>
  </si>
  <si>
    <t>fusion</t>
  </si>
  <si>
    <t>37i9dQZF1EIeAKlEStQOxi</t>
  </si>
  <si>
    <t>https://api.spotify.com/v1/tracks/6NIJqFHB5cHAn064JCP7Li</t>
  </si>
  <si>
    <t>spotify:track:6NIJqFHB5cHAn064JCP7Li</t>
  </si>
  <si>
    <t>Afro House</t>
  </si>
  <si>
    <t>https://api.spotify.com/v1/audio-analysis/6NIJqFHB5cHAn064JCP7Li</t>
  </si>
  <si>
    <t>6NIJqFHB5cHAn064JCP7Li</t>
  </si>
  <si>
    <t>532L1zk5VJqGtRQLRFiVod</t>
  </si>
  <si>
    <t>afro house</t>
  </si>
  <si>
    <t>487jKTFqWhs6b0AEUz0WpX</t>
  </si>
  <si>
    <t>MoBlack, Salif Keita, Benja (NL), Franc Fala, Ces√°ria Evora</t>
  </si>
  <si>
    <t>https://api.spotify.com/v1/tracks/480j122Gpi252OIfy4SNzm</t>
  </si>
  <si>
    <t>spotify:track:480j122Gpi252OIfy4SNzm</t>
  </si>
  <si>
    <t>Yamore</t>
  </si>
  <si>
    <t>https://api.spotify.com/v1/audio-analysis/480j122Gpi252OIfy4SNzm</t>
  </si>
  <si>
    <t>480j122Gpi252OIfy4SNzm</t>
  </si>
  <si>
    <t>5wKcgs8bejansNdK6IJC0C</t>
  </si>
  <si>
    <t>0.00263</t>
  </si>
  <si>
    <t>Alex Wann, Route 94, Jess Glynne</t>
  </si>
  <si>
    <t>https://api.spotify.com/v1/tracks/2nljjiWhzVIugb5vgEMQQk</t>
  </si>
  <si>
    <t>spotify:track:2nljjiWhzVIugb5vgEMQQk</t>
  </si>
  <si>
    <t>My Love (2024)</t>
  </si>
  <si>
    <t>https://api.spotify.com/v1/audio-analysis/2nljjiWhzVIugb5vgEMQQk</t>
  </si>
  <si>
    <t>2nljjiWhzVIugb5vgEMQQk</t>
  </si>
  <si>
    <t>73PdhRzMikkkImZ4qHOzZ3</t>
  </si>
  <si>
    <t>HUGEL, Diplo, Malou, Yuna</t>
  </si>
  <si>
    <t>https://api.spotify.com/v1/tracks/0WS1qLcXKsCGt5e3dqq30S</t>
  </si>
  <si>
    <t>spotify:track:0WS1qLcXKsCGt5e3dqq30S</t>
  </si>
  <si>
    <t>Forever (feat. Malou &amp; Yuna)</t>
  </si>
  <si>
    <t>https://api.spotify.com/v1/audio-analysis/0WS1qLcXKsCGt5e3dqq30S</t>
  </si>
  <si>
    <t>0WS1qLcXKsCGt5e3dqq30S</t>
  </si>
  <si>
    <t>4nXpTQXjFGtB5n3vC76IBR</t>
  </si>
  <si>
    <t>Wakyin, Carlos Vives</t>
  </si>
  <si>
    <t>https://api.spotify.com/v1/tracks/0r3nMF80NSIuPIxeod4aoG</t>
  </si>
  <si>
    <t>spotify:track:0r3nMF80NSIuPIxeod4aoG</t>
  </si>
  <si>
    <t>Beso (Fruta Fresca)</t>
  </si>
  <si>
    <t>https://api.spotify.com/v1/audio-analysis/0r3nMF80NSIuPIxeod4aoG</t>
  </si>
  <si>
    <t>0r3nMF80NSIuPIxeod4aoG</t>
  </si>
  <si>
    <t>0.00447</t>
  </si>
  <si>
    <t>6YoX9Sp63sr8NvOEjHk8uV</t>
  </si>
  <si>
    <t>James Mac, Vall, Rosalie</t>
  </si>
  <si>
    <t>https://api.spotify.com/v1/tracks/1aRd5tMVhiRyMJLmSOg2IF</t>
  </si>
  <si>
    <t>spotify:track:1aRd5tMVhiRyMJLmSOg2IF</t>
  </si>
  <si>
    <t>https://api.spotify.com/v1/audio-analysis/1aRd5tMVhiRyMJLmSOg2IF</t>
  </si>
  <si>
    <t>1aRd5tMVhiRyMJLmSOg2IF</t>
  </si>
  <si>
    <t>3vmR5tggRYJhVhuB0j1uVc</t>
  </si>
  <si>
    <t>Gordo, Drake</t>
  </si>
  <si>
    <t>0.0487</t>
  </si>
  <si>
    <t>https://api.spotify.com/v1/tracks/02YMpD1xbZZzpZbuZNvmD7</t>
  </si>
  <si>
    <t>spotify:track:02YMpD1xbZZzpZbuZNvmD7</t>
  </si>
  <si>
    <t>DIAMANTE</t>
  </si>
  <si>
    <t>https://api.spotify.com/v1/audio-analysis/02YMpD1xbZZzpZbuZNvmD7</t>
  </si>
  <si>
    <t>02YMpD1xbZZzpZbuZNvmD7</t>
  </si>
  <si>
    <t>Sideways</t>
  </si>
  <si>
    <t>6KoGMkF6Fp3W9C339E5eVx</t>
  </si>
  <si>
    <t>RAFFA GUIDO</t>
  </si>
  <si>
    <t>https://api.spotify.com/v1/tracks/1P9ZF3ZxRWNTDgJkZOgkI9</t>
  </si>
  <si>
    <t>spotify:track:1P9ZF3ZxRWNTDgJkZOgkI9</t>
  </si>
  <si>
    <t>Famax</t>
  </si>
  <si>
    <t>https://api.spotify.com/v1/audio-analysis/1P9ZF3ZxRWNTDgJkZOgkI9</t>
  </si>
  <si>
    <t>1P9ZF3ZxRWNTDgJkZOgkI9</t>
  </si>
  <si>
    <t>Famax - Edit</t>
  </si>
  <si>
    <t>0rVRPH9VaGAMVDVK3cLwkQ</t>
  </si>
  <si>
    <t>0.00575</t>
  </si>
  <si>
    <t>Fabrizio Paterlini</t>
  </si>
  <si>
    <t>https://api.spotify.com/v1/tracks/73fZnvwSUlWwt9LLRkknzs</t>
  </si>
  <si>
    <t>spotify:track:73fZnvwSUlWwt9LLRkknzs</t>
  </si>
  <si>
    <t>Transitions III</t>
  </si>
  <si>
    <t>Neo-Classical</t>
  </si>
  <si>
    <t>https://api.spotify.com/v1/audio-analysis/73fZnvwSUlWwt9LLRkknzs</t>
  </si>
  <si>
    <t>73fZnvwSUlWwt9LLRkknzs</t>
  </si>
  <si>
    <t>Waltz</t>
  </si>
  <si>
    <t>61qZNYEcs1dWh2a1CljBRZ</t>
  </si>
  <si>
    <t>neo-classical</t>
  </si>
  <si>
    <t>37i9dQZF1EIfnkSMcirbYT</t>
  </si>
  <si>
    <t>Ludovico Einaudi</t>
  </si>
  <si>
    <t>https://api.spotify.com/v1/tracks/3weNRklVDqb4Rr5MhKBR3D</t>
  </si>
  <si>
    <t>spotify:track:3weNRklVDqb4Rr5MhKBR3D</t>
  </si>
  <si>
    <t>Una Mattina</t>
  </si>
  <si>
    <t>https://api.spotify.com/v1/audio-analysis/3weNRklVDqb4Rr5MhKBR3D</t>
  </si>
  <si>
    <t>3weNRklVDqb4Rr5MhKBR3D</t>
  </si>
  <si>
    <t>Nuvole Bianche</t>
  </si>
  <si>
    <t>0Ryad9M1b1MxSjgXdHCh1c</t>
  </si>
  <si>
    <t>172.13</t>
  </si>
  <si>
    <t>Gibran Alcocer</t>
  </si>
  <si>
    <t>https://api.spotify.com/v1/tracks/3kJACFlgn1rg0I0l4XmzLI</t>
  </si>
  <si>
    <t>spotify:track:3kJACFlgn1rg0I0l4XmzLI</t>
  </si>
  <si>
    <t>Idea 1</t>
  </si>
  <si>
    <t>https://api.spotify.com/v1/audio-analysis/3kJACFlgn1rg0I0l4XmzLI</t>
  </si>
  <si>
    <t>3kJACFlgn1rg0I0l4XmzLI</t>
  </si>
  <si>
    <t>189goDikUHhtkmt0Yjbn5O</t>
  </si>
  <si>
    <t>Ben Crosland</t>
  </si>
  <si>
    <t>https://api.spotify.com/v1/tracks/1yqM5O07lL7R6UAdK5jvrR</t>
  </si>
  <si>
    <t>spotify:track:1yqM5O07lL7R6UAdK5jvrR</t>
  </si>
  <si>
    <t>The Turn</t>
  </si>
  <si>
    <t>https://api.spotify.com/v1/audio-analysis/1yqM5O07lL7R6UAdK5jvrR</t>
  </si>
  <si>
    <t>1yqM5O07lL7R6UAdK5jvrR</t>
  </si>
  <si>
    <t>Oceans Apart</t>
  </si>
  <si>
    <t>1HBOLQ0QoDkGDGnjhfdzPy</t>
  </si>
  <si>
    <t>0.987</t>
  </si>
  <si>
    <t>-24.95</t>
  </si>
  <si>
    <t>https://api.spotify.com/v1/tracks/3TdROUy5JZz1OcBKMZjeux</t>
  </si>
  <si>
    <t>spotify:track:3TdROUy5JZz1OcBKMZjeux</t>
  </si>
  <si>
    <t>Idea 9</t>
  </si>
  <si>
    <t>https://api.spotify.com/v1/audio-analysis/3TdROUy5JZz1OcBKMZjeux</t>
  </si>
  <si>
    <t>3TdROUy5JZz1OcBKMZjeux</t>
  </si>
  <si>
    <t>2BpRxtAl6IrHI2OQtd60PK</t>
  </si>
  <si>
    <t>0.984</t>
  </si>
  <si>
    <t>Hans Zimmer</t>
  </si>
  <si>
    <t>https://api.spotify.com/v1/tracks/6ZFbXIJkuI1dVNWvzJzown</t>
  </si>
  <si>
    <t>spotify:track:6ZFbXIJkuI1dVNWvzJzown</t>
  </si>
  <si>
    <t>Inception (Music from the Motion Picture)</t>
  </si>
  <si>
    <t>https://api.spotify.com/v1/audio-analysis/6ZFbXIJkuI1dVNWvzJzown</t>
  </si>
  <si>
    <t>6ZFbXIJkuI1dVNWvzJzown</t>
  </si>
  <si>
    <t>Time</t>
  </si>
  <si>
    <t>2qvA7HmSg1iM6XMiFF76dp</t>
  </si>
  <si>
    <t>Kavinsky</t>
  </si>
  <si>
    <t>https://api.spotify.com/v1/tracks/0U0ldCRmgCqhVvD6ksG63j</t>
  </si>
  <si>
    <t>spotify:track:0U0ldCRmgCqhVvD6ksG63j</t>
  </si>
  <si>
    <t>Nightcall</t>
  </si>
  <si>
    <t>Vaporwave Essentials</t>
  </si>
  <si>
    <t>https://api.spotify.com/v1/audio-analysis/0U0ldCRmgCqhVvD6ksG63j</t>
  </si>
  <si>
    <t>0U0ldCRmgCqhVvD6ksG63j</t>
  </si>
  <si>
    <t>07nBld9enf1PyRysZAVSqJ</t>
  </si>
  <si>
    <t>0.00842</t>
  </si>
  <si>
    <t>vaporwave</t>
  </si>
  <si>
    <t>37i9dQZF1EIdOtkojz5FWw</t>
  </si>
  <si>
    <t>.diedlonely, √©nouement</t>
  </si>
  <si>
    <t>https://api.spotify.com/v1/tracks/2PpYJcgJN6PzozUv7rU669</t>
  </si>
  <si>
    <t>spotify:track:2PpYJcgJN6PzozUv7rU669</t>
  </si>
  <si>
    <t>stellar</t>
  </si>
  <si>
    <t>https://api.spotify.com/v1/audio-analysis/2PpYJcgJN6PzozUv7rU669</t>
  </si>
  <si>
    <t>2PpYJcgJN6PzozUv7rU669</t>
  </si>
  <si>
    <t>4gF0aKdd26DsLMbDcLdJdc</t>
  </si>
  <si>
    <t>leadwave</t>
  </si>
  <si>
    <t>https://api.spotify.com/v1/tracks/4VkRQSpG16JxrXaVlNyWdX</t>
  </si>
  <si>
    <t>spotify:track:4VkRQSpG16JxrXaVlNyWdX</t>
  </si>
  <si>
    <t>memories</t>
  </si>
  <si>
    <t>https://api.spotify.com/v1/audio-analysis/4VkRQSpG16JxrXaVlNyWdX</t>
  </si>
  <si>
    <t>4VkRQSpG16JxrXaVlNyWdX</t>
  </si>
  <si>
    <t>1W7locJBenHBGz0Z8OzBcq</t>
  </si>
  <si>
    <t>0.0996</t>
  </si>
  <si>
    <t>Pastel Ghost</t>
  </si>
  <si>
    <t>https://api.spotify.com/v1/tracks/4t9vB7wIKWE5jIhjcztmmd</t>
  </si>
  <si>
    <t>spotify:track:4t9vB7wIKWE5jIhjcztmmd</t>
  </si>
  <si>
    <t>Ethereality</t>
  </si>
  <si>
    <t>https://api.spotify.com/v1/audio-analysis/4t9vB7wIKWE5jIhjcztmmd</t>
  </si>
  <si>
    <t>4t9vB7wIKWE5jIhjcztmmd</t>
  </si>
  <si>
    <t>3sy3jRg8KrsGYNAuHPQnqk</t>
  </si>
  <si>
    <t>0.00043</t>
  </si>
  <si>
    <t>-6.78</t>
  </si>
  <si>
    <t>Clams Casino, Imogen Heap</t>
  </si>
  <si>
    <t>https://api.spotify.com/v1/tracks/0FVuyC9RP5MACjp4lgU3qZ</t>
  </si>
  <si>
    <t>spotify:track:0FVuyC9RP5MACjp4lgU3qZ</t>
  </si>
  <si>
    <t>Instrumental Relics</t>
  </si>
  <si>
    <t>https://api.spotify.com/v1/audio-analysis/0FVuyC9RP5MACjp4lgU3qZ</t>
  </si>
  <si>
    <t>0FVuyC9RP5MACjp4lgU3qZ</t>
  </si>
  <si>
    <t>I'm God</t>
  </si>
  <si>
    <t>66eXLlqksAwNndmHaHWtCq</t>
  </si>
  <si>
    <t>Home</t>
  </si>
  <si>
    <t>https://api.spotify.com/v1/tracks/4E1Zf6j2VSoRPiVBnUCjat</t>
  </si>
  <si>
    <t>spotify:track:4E1Zf6j2VSoRPiVBnUCjat</t>
  </si>
  <si>
    <t>Odyssey</t>
  </si>
  <si>
    <t>https://api.spotify.com/v1/audio-analysis/4E1Zf6j2VSoRPiVBnUCjat</t>
  </si>
  <si>
    <t>4E1Zf6j2VSoRPiVBnUCjat</t>
  </si>
  <si>
    <t>Resonance</t>
  </si>
  <si>
    <t>1GI4xblPLj1oISUaQhj26P</t>
  </si>
  <si>
    <t>Macabre Plaza</t>
  </si>
  <si>
    <t>https://api.spotify.com/v1/tracks/5omLpU1N0uN51OSXL62VAM</t>
  </si>
  <si>
    <t>spotify:track:5omLpU1N0uN51OSXL62VAM</t>
  </si>
  <si>
    <t>Out With the Old in With the Taboo</t>
  </si>
  <si>
    <t>https://api.spotify.com/v1/audio-analysis/5omLpU1N0uN51OSXL62VAM</t>
  </si>
  <si>
    <t>5omLpU1N0uN51OSXL62VAM</t>
  </si>
  <si>
    <t>A Bird's Last Look</t>
  </si>
  <si>
    <t>2U1t2npZ1uy5A5fVabO69I</t>
  </si>
  <si>
    <t>https://api.spotify.com/v1/tracks/2LD2gT7gwAurzdQDQtILds</t>
  </si>
  <si>
    <t>spotify:track:2LD2gT7gwAurzdQDQtILds</t>
  </si>
  <si>
    <t>https://api.spotify.com/v1/audio-analysis/2LD2gT7gwAurzdQDQtILds</t>
  </si>
  <si>
    <t>2LD2gT7gwAurzdQDQtILds</t>
  </si>
  <si>
    <t>Veridis Quo</t>
  </si>
  <si>
    <t>0.0938</t>
  </si>
  <si>
    <t>https://api.spotify.com/v1/tracks/7fqjWHXf330QwnfaAWB2Dr</t>
  </si>
  <si>
    <t>spotify:track:7fqjWHXf330QwnfaAWB2Dr</t>
  </si>
  <si>
    <t>Abyss</t>
  </si>
  <si>
    <t>https://api.spotify.com/v1/audio-analysis/7fqjWHXf330QwnfaAWB2Dr</t>
  </si>
  <si>
    <t>7fqjWHXf330QwnfaAWB2Dr</t>
  </si>
  <si>
    <t>Dark Beach</t>
  </si>
  <si>
    <t>2FQieUp8BxPN7OR8fE76TE</t>
  </si>
  <si>
    <t>UK Drill</t>
  </si>
  <si>
    <t>drill</t>
  </si>
  <si>
    <t>652TD735fW0JesE9VgHhzS</t>
  </si>
  <si>
    <t>146.05</t>
  </si>
  <si>
    <t>https://api.spotify.com/v1/tracks/3zkyus0njMCL6phZmNNEeN</t>
  </si>
  <si>
    <t>spotify:track:3zkyus0njMCL6phZmNNEeN</t>
  </si>
  <si>
    <t>LET GO</t>
  </si>
  <si>
    <t>https://api.spotify.com/v1/audio-analysis/3zkyus0njMCL6phZmNNEeN</t>
  </si>
  <si>
    <t>3zkyus0njMCL6phZmNNEeN</t>
  </si>
  <si>
    <t>1QYPAEk2Ksj3WPv3mvoDnL</t>
  </si>
  <si>
    <t>-8.62</t>
  </si>
  <si>
    <t>Nemzzz</t>
  </si>
  <si>
    <t>https://api.spotify.com/v1/tracks/0rwOtnvfoBHa443aTwjSlu</t>
  </si>
  <si>
    <t>spotify:track:0rwOtnvfoBHa443aTwjSlu</t>
  </si>
  <si>
    <t>2MS</t>
  </si>
  <si>
    <t>https://api.spotify.com/v1/audio-analysis/0rwOtnvfoBHa443aTwjSlu</t>
  </si>
  <si>
    <t>0rwOtnvfoBHa443aTwjSlu</t>
  </si>
  <si>
    <t>2MsdWh9Jmo4SXXgVqqO5qG</t>
  </si>
  <si>
    <t>https://api.spotify.com/v1/tracks/2VjOTvl50tscmc0RDjPdr2</t>
  </si>
  <si>
    <t>spotify:track:2VjOTvl50tscmc0RDjPdr2</t>
  </si>
  <si>
    <t>Split Decision</t>
  </si>
  <si>
    <t>https://api.spotify.com/v1/audio-analysis/2VjOTvl50tscmc0RDjPdr2</t>
  </si>
  <si>
    <t>2VjOTvl50tscmc0RDjPdr2</t>
  </si>
  <si>
    <t>UK Rap</t>
  </si>
  <si>
    <t>3.07e-06</t>
  </si>
  <si>
    <t>0On7uutIu9rZRvP9aJbMog</t>
  </si>
  <si>
    <t>Caf√© Tacvba</t>
  </si>
  <si>
    <t>https://api.spotify.com/v1/tracks/6kdCN6gTWLcLxmLXoUcwuI</t>
  </si>
  <si>
    <t>spotify:track:6kdCN6gTWLcLxmLXoUcwuI</t>
  </si>
  <si>
    <t>Cuatro Caminos</t>
  </si>
  <si>
    <t>Spanish Rock Classics</t>
  </si>
  <si>
    <t>https://api.spotify.com/v1/audio-analysis/6kdCN6gTWLcLxmLXoUcwuI</t>
  </si>
  <si>
    <t>6kdCN6gTWLcLxmLXoUcwuI</t>
  </si>
  <si>
    <t>Eres</t>
  </si>
  <si>
    <t>0.0136</t>
  </si>
  <si>
    <t>3ifA4OUPiT92YB4vYtAdVh</t>
  </si>
  <si>
    <t>spanish</t>
  </si>
  <si>
    <t>4pJvzaBmfEjNSEva1k2fkD</t>
  </si>
  <si>
    <t>0.0556</t>
  </si>
  <si>
    <t>0.973</t>
  </si>
  <si>
    <t>Juanes</t>
  </si>
  <si>
    <t>https://api.spotify.com/v1/tracks/2EM9zpAc7PVeoAydmbfVIL</t>
  </si>
  <si>
    <t>spotify:track:2EM9zpAc7PVeoAydmbfVIL</t>
  </si>
  <si>
    <t>Mi Sangre</t>
  </si>
  <si>
    <t>https://api.spotify.com/v1/audio-analysis/2EM9zpAc7PVeoAydmbfVIL</t>
  </si>
  <si>
    <t>2EM9zpAc7PVeoAydmbfVIL</t>
  </si>
  <si>
    <t>La Camisa Negra</t>
  </si>
  <si>
    <t>2HbvQeJXke68tjwOcsj8ne</t>
  </si>
  <si>
    <t>0.0965</t>
  </si>
  <si>
    <t>https://api.spotify.com/v1/tracks/129lYDVKnWtlJc2PZJviuA</t>
  </si>
  <si>
    <t>spotify:track:129lYDVKnWtlJc2PZJviuA</t>
  </si>
  <si>
    <t>Un D√≠a Normal</t>
  </si>
  <si>
    <t>https://api.spotify.com/v1/audio-analysis/129lYDVKnWtlJc2PZJviuA</t>
  </si>
  <si>
    <t>129lYDVKnWtlJc2PZJviuA</t>
  </si>
  <si>
    <t>A Dios Le Pido</t>
  </si>
  <si>
    <t>2UJCnSqpR3AIuTvWYZLCp1</t>
  </si>
  <si>
    <t>https://api.spotify.com/v1/tracks/3b1IQflSLrgzYQPGFzI9cl</t>
  </si>
  <si>
    <t>spotify:track:3b1IQflSLrgzYQPGFzI9cl</t>
  </si>
  <si>
    <t>https://api.spotify.com/v1/audio-analysis/3b1IQflSLrgzYQPGFzI9cl</t>
  </si>
  <si>
    <t>3b1IQflSLrgzYQPGFzI9cl</t>
  </si>
  <si>
    <t>Es Por Ti</t>
  </si>
  <si>
    <t>3.09e-05</t>
  </si>
  <si>
    <t>0.0995</t>
  </si>
  <si>
    <t>Los Enanitos Verdes</t>
  </si>
  <si>
    <t>https://api.spotify.com/v1/tracks/6TqXieeBcZZHyaO14hQpKx</t>
  </si>
  <si>
    <t>spotify:track:6TqXieeBcZZHyaO14hQpKx</t>
  </si>
  <si>
    <t>Nectar</t>
  </si>
  <si>
    <t>https://api.spotify.com/v1/audio-analysis/6TqXieeBcZZHyaO14hQpKx</t>
  </si>
  <si>
    <t>6TqXieeBcZZHyaO14hQpKx</t>
  </si>
  <si>
    <t>Luz De Dia</t>
  </si>
  <si>
    <t>0.00105</t>
  </si>
  <si>
    <t>6g9Bcwy0fBb5kgnfQQrvV0</t>
  </si>
  <si>
    <t>Reik</t>
  </si>
  <si>
    <t>https://api.spotify.com/v1/tracks/22seP38foydqUMp5Fvkcjm</t>
  </si>
  <si>
    <t>spotify:track:22seP38foydqUMp5Fvkcjm</t>
  </si>
  <si>
    <t>Un Dia Mas (Edicion Especial)</t>
  </si>
  <si>
    <t>https://api.spotify.com/v1/audio-analysis/22seP38foydqUMp5Fvkcjm</t>
  </si>
  <si>
    <t>22seP38foydqUMp5Fvkcjm</t>
  </si>
  <si>
    <t>0DFhIlgm33q5dTFoz5uH1v</t>
  </si>
  <si>
    <t>0.00738</t>
  </si>
  <si>
    <t>Camila</t>
  </si>
  <si>
    <t>https://api.spotify.com/v1/tracks/5EhzE6HJaCcLFrf5rPqvpk</t>
  </si>
  <si>
    <t>spotify:track:5EhzE6HJaCcLFrf5rPqvpk</t>
  </si>
  <si>
    <t>Dejarte De Amar</t>
  </si>
  <si>
    <t>https://api.spotify.com/v1/audio-analysis/5EhzE6HJaCcLFrf5rPqvpk</t>
  </si>
  <si>
    <t>5EhzE6HJaCcLFrf5rPqvpk</t>
  </si>
  <si>
    <t>Mientes</t>
  </si>
  <si>
    <t>0MPMiyavAbARflBlNGjIA6</t>
  </si>
  <si>
    <t>173.85</t>
  </si>
  <si>
    <t>https://api.spotify.com/v1/tracks/4OyzSXRSadNQt5EMwASdap</t>
  </si>
  <si>
    <t>spotify:track:4OyzSXRSadNQt5EMwASdap</t>
  </si>
  <si>
    <t>Todo Cambio</t>
  </si>
  <si>
    <t>https://api.spotify.com/v1/audio-analysis/4OyzSXRSadNQt5EMwASdap</t>
  </si>
  <si>
    <t>4OyzSXRSadNQt5EMwASdap</t>
  </si>
  <si>
    <t>Todo Cambi√≥</t>
  </si>
  <si>
    <t>7dTSfhp5okEjaYXp38LwVf</t>
  </si>
  <si>
    <t>Juanes, Nelly Furtado</t>
  </si>
  <si>
    <t>https://api.spotify.com/v1/tracks/0dEPlb8waIqRtKpLb3l6So</t>
  </si>
  <si>
    <t>spotify:track:0dEPlb8waIqRtKpLb3l6So</t>
  </si>
  <si>
    <t>https://api.spotify.com/v1/audio-analysis/0dEPlb8waIqRtKpLb3l6So</t>
  </si>
  <si>
    <t>0dEPlb8waIqRtKpLb3l6So</t>
  </si>
  <si>
    <t>Fotograf√≠a</t>
  </si>
  <si>
    <t>Jaguares</t>
  </si>
  <si>
    <t>https://api.spotify.com/v1/tracks/6iRkrVOhCjgKFB2cBWnx4M</t>
  </si>
  <si>
    <t>spotify:track:6iRkrVOhCjgKFB2cBWnx4M</t>
  </si>
  <si>
    <t>El Primer Instinto</t>
  </si>
  <si>
    <t>https://api.spotify.com/v1/audio-analysis/6iRkrVOhCjgKFB2cBWnx4M</t>
  </si>
  <si>
    <t>6iRkrVOhCjgKFB2cBWnx4M</t>
  </si>
  <si>
    <t>Te Lo Pido por Favor</t>
  </si>
  <si>
    <t>7BDdocfgBjmh5bw2VKA6JL</t>
  </si>
  <si>
    <t>Heroes Del Silencio</t>
  </si>
  <si>
    <t>https://api.spotify.com/v1/tracks/7vcDJCAO356RYkCfiUozmE</t>
  </si>
  <si>
    <t>spotify:track:7vcDJCAO356RYkCfiUozmE</t>
  </si>
  <si>
    <t>Senderos De Traici√≥n - Edici√≥n Especial</t>
  </si>
  <si>
    <t>https://api.spotify.com/v1/audio-analysis/7vcDJCAO356RYkCfiUozmE</t>
  </si>
  <si>
    <t>7vcDJCAO356RYkCfiUozmE</t>
  </si>
  <si>
    <t>Maldito duende</t>
  </si>
  <si>
    <t>7DAoA2gOvycforLAKyFD8Y</t>
  </si>
  <si>
    <t>https://api.spotify.com/v1/tracks/6QdwofpqDvvNxX88C9A0iQ</t>
  </si>
  <si>
    <t>spotify:track:6QdwofpqDvvNxX88C9A0iQ</t>
  </si>
  <si>
    <t>https://api.spotify.com/v1/audio-analysis/6QdwofpqDvvNxX88C9A0iQ</t>
  </si>
  <si>
    <t>6QdwofpqDvvNxX88C9A0iQ</t>
  </si>
  <si>
    <t>Nada Valgo Sin Tu Amor</t>
  </si>
  <si>
    <t>-12.22</t>
  </si>
  <si>
    <t>Caifanes</t>
  </si>
  <si>
    <t>https://api.spotify.com/v1/tracks/5mB0MGsRfKZALHrXjnktCK</t>
  </si>
  <si>
    <t>spotify:track:5mB0MGsRfKZALHrXjnktCK</t>
  </si>
  <si>
    <t>El Diablito</t>
  </si>
  <si>
    <t>https://api.spotify.com/v1/audio-analysis/5mB0MGsRfKZALHrXjnktCK</t>
  </si>
  <si>
    <t>5mB0MGsRfKZALHrXjnktCK</t>
  </si>
  <si>
    <t>La C√©lula Que Explota</t>
  </si>
  <si>
    <t>2cGrlR3OJwtQXUa4aQJRCV</t>
  </si>
  <si>
    <t>https://api.spotify.com/v1/tracks/3pJfnBjO3kjudEchcPEDxS</t>
  </si>
  <si>
    <t>spotify:track:3pJfnBjO3kjudEchcPEDxS</t>
  </si>
  <si>
    <t>El Nervio Del Volcan</t>
  </si>
  <si>
    <t>https://api.spotify.com/v1/audio-analysis/3pJfnBjO3kjudEchcPEDxS</t>
  </si>
  <si>
    <t>3pJfnBjO3kjudEchcPEDxS</t>
  </si>
  <si>
    <t>Afuera</t>
  </si>
  <si>
    <t>2.81e-05</t>
  </si>
  <si>
    <t>2mPZNQNgW1zrkIPyL9XJcf</t>
  </si>
  <si>
    <t>Jarabe De Palo</t>
  </si>
  <si>
    <t>https://api.spotify.com/v1/tracks/5omgFpiMt1CGHjQGfkwzvz</t>
  </si>
  <si>
    <t>spotify:track:5omgFpiMt1CGHjQGfkwzvz</t>
  </si>
  <si>
    <t>Depende</t>
  </si>
  <si>
    <t>https://api.spotify.com/v1/audio-analysis/5omgFpiMt1CGHjQGfkwzvz</t>
  </si>
  <si>
    <t>5omgFpiMt1CGHjQGfkwzvz</t>
  </si>
  <si>
    <t>Agua</t>
  </si>
  <si>
    <t>0.0133</t>
  </si>
  <si>
    <t>5aLIm5xrN5UxUZOXbjyrrx</t>
  </si>
  <si>
    <t>https://api.spotify.com/v1/tracks/6hFHsQWB7HdVrSe7efRR82</t>
  </si>
  <si>
    <t>spotify:track:6hFHsQWB7HdVrSe7efRR82</t>
  </si>
  <si>
    <t>Avalancha de √©xitos</t>
  </si>
  <si>
    <t>https://api.spotify.com/v1/audio-analysis/6hFHsQWB7HdVrSe7efRR82</t>
  </si>
  <si>
    <t>6hFHsQWB7HdVrSe7efRR82</t>
  </si>
  <si>
    <t>Como te extra√±o mi amor</t>
  </si>
  <si>
    <t>4.44e-05</t>
  </si>
  <si>
    <t>33iiSdb0XhQI0dSstspDls</t>
  </si>
  <si>
    <t>Hombres G</t>
  </si>
  <si>
    <t>https://api.spotify.com/v1/tracks/1Wrzhfa5bNlqvsnCztz190</t>
  </si>
  <si>
    <t>spotify:track:1Wrzhfa5bNlqvsnCztz190</t>
  </si>
  <si>
    <t>Hombres G (Edici√≥n 30 Aniversario)</t>
  </si>
  <si>
    <t>https://api.spotify.com/v1/audio-analysis/1Wrzhfa5bNlqvsnCztz190</t>
  </si>
  <si>
    <t>1Wrzhfa5bNlqvsnCztz190</t>
  </si>
  <si>
    <t>Devu√©lveme a mi chica</t>
  </si>
  <si>
    <t>0.000351</t>
  </si>
  <si>
    <t>2iMF2NlOZMfBTdHyubrg6y</t>
  </si>
  <si>
    <t>0.0224</t>
  </si>
  <si>
    <t>123.57</t>
  </si>
  <si>
    <t>https://api.spotify.com/v1/tracks/6Pur3hWy6Nzc27ilmsp5HA</t>
  </si>
  <si>
    <t>spotify:track:6Pur3hWy6Nzc27ilmsp5HA</t>
  </si>
  <si>
    <t>Big Bang</t>
  </si>
  <si>
    <t>https://api.spotify.com/v1/audio-analysis/6Pur3hWy6Nzc27ilmsp5HA</t>
  </si>
  <si>
    <t>6Pur3hWy6Nzc27ilmsp5HA</t>
  </si>
  <si>
    <t>Lamento Boliviano</t>
  </si>
  <si>
    <t>0.000622</t>
  </si>
  <si>
    <t>3y63u5vmuMugqI8lfuUY3a</t>
  </si>
  <si>
    <t>0.0827</t>
  </si>
  <si>
    <t>https://api.spotify.com/v1/tracks/6tu2FHuKL9C8pwNrityweQ</t>
  </si>
  <si>
    <t>spotify:track:6tu2FHuKL9C8pwNrityweQ</t>
  </si>
  <si>
    <t>Las baladas (Los singles vol II)</t>
  </si>
  <si>
    <t>https://api.spotify.com/v1/audio-analysis/6tu2FHuKL9C8pwNrityweQ</t>
  </si>
  <si>
    <t>6tu2FHuKL9C8pwNrityweQ</t>
  </si>
  <si>
    <t>Te quiero</t>
  </si>
  <si>
    <t>0.00285</t>
  </si>
  <si>
    <t>2lsc9HZQaNf3gT7lIys2vN</t>
  </si>
  <si>
    <t>Man√°</t>
  </si>
  <si>
    <t>https://api.spotify.com/v1/tracks/78DVpEWwmJFC25KGz8fJuE</t>
  </si>
  <si>
    <t>spotify:track:78DVpEWwmJFC25KGz8fJuE</t>
  </si>
  <si>
    <t>Sue√±os L√≠quidos</t>
  </si>
  <si>
    <t>https://api.spotify.com/v1/audio-analysis/78DVpEWwmJFC25KGz8fJuE</t>
  </si>
  <si>
    <t>78DVpEWwmJFC25KGz8fJuE</t>
  </si>
  <si>
    <t>Clavado en Un Bar</t>
  </si>
  <si>
    <t>7ydFJUb1tmZPd6p4xIe10V</t>
  </si>
  <si>
    <t>0.00737</t>
  </si>
  <si>
    <t>Akon, Hamsika Iyer</t>
  </si>
  <si>
    <t>https://api.spotify.com/v1/tracks/0EH7sgeiFqDa3eS7ieW2zs</t>
  </si>
  <si>
    <t>spotify:track:0EH7sgeiFqDa3eS7ieW2zs</t>
  </si>
  <si>
    <t>Ra-One</t>
  </si>
  <si>
    <t>Bollywood Workout</t>
  </si>
  <si>
    <t>https://api.spotify.com/v1/audio-analysis/0EH7sgeiFqDa3eS7ieW2zs</t>
  </si>
  <si>
    <t>0EH7sgeiFqDa3eS7ieW2zs</t>
  </si>
  <si>
    <t>Chammak Challo</t>
  </si>
  <si>
    <t>7.17e-06</t>
  </si>
  <si>
    <t>5x2eTJrbEvmOTEcWWWubLy</t>
  </si>
  <si>
    <t>workout</t>
  </si>
  <si>
    <t>37i9dQZF1DX3wwp27Epwn5</t>
  </si>
  <si>
    <t>Badshah, Diljit Dosanjh, Aastha Gill</t>
  </si>
  <si>
    <t>0.0851</t>
  </si>
  <si>
    <t>https://api.spotify.com/v1/tracks/39ujbBjTwwqUFySaCYDMMT</t>
  </si>
  <si>
    <t>spotify:track:39ujbBjTwwqUFySaCYDMMT</t>
  </si>
  <si>
    <t>Namaste England (Original Motion Picture Soundtrack)</t>
  </si>
  <si>
    <t>https://api.spotify.com/v1/audio-analysis/39ujbBjTwwqUFySaCYDMMT</t>
  </si>
  <si>
    <t>39ujbBjTwwqUFySaCYDMMT</t>
  </si>
  <si>
    <t>Proper Patola</t>
  </si>
  <si>
    <t>6qokplIH6RyEbm9Q2DiBQB</t>
  </si>
  <si>
    <t>0.0642</t>
  </si>
  <si>
    <t>https://api.spotify.com/v1/tracks/34dx8DACTJsc3rsJdaEIQw</t>
  </si>
  <si>
    <t>spotify:track:34dx8DACTJsc3rsJdaEIQw</t>
  </si>
  <si>
    <t>racine carr√©e</t>
  </si>
  <si>
    <t>French Touch</t>
  </si>
  <si>
    <t>https://api.spotify.com/v1/audio-analysis/34dx8DACTJsc3rsJdaEIQw</t>
  </si>
  <si>
    <t>34dx8DACTJsc3rsJdaEIQw</t>
  </si>
  <si>
    <t>Papaoutai</t>
  </si>
  <si>
    <t>6uyslsVGFsHKzdGUosFwBM</t>
  </si>
  <si>
    <t>58zteW83Lvl8e158fCCFVN</t>
  </si>
  <si>
    <t>Aya Nakamura</t>
  </si>
  <si>
    <t>https://api.spotify.com/v1/tracks/7sKDftgGirHWTVFMtJoDoh</t>
  </si>
  <si>
    <t>spotify:track:7sKDftgGirHWTVFMtJoDoh</t>
  </si>
  <si>
    <t>NAKAMURA</t>
  </si>
  <si>
    <t>https://api.spotify.com/v1/audio-analysis/7sKDftgGirHWTVFMtJoDoh</t>
  </si>
  <si>
    <t>7sKDftgGirHWTVFMtJoDoh</t>
  </si>
  <si>
    <t>Djadja</t>
  </si>
  <si>
    <t>3jqQFIXUakuDXdhFVvI7Ko</t>
  </si>
  <si>
    <t>Zaz</t>
  </si>
  <si>
    <t>0.0725</t>
  </si>
  <si>
    <t>https://api.spotify.com/v1/tracks/734dz1YaFITwawPpM25fSt</t>
  </si>
  <si>
    <t>spotify:track:734dz1YaFITwawPpM25fSt</t>
  </si>
  <si>
    <t>https://api.spotify.com/v1/audio-analysis/734dz1YaFITwawPpM25fSt</t>
  </si>
  <si>
    <t>734dz1YaFITwawPpM25fSt</t>
  </si>
  <si>
    <t>Je veux</t>
  </si>
  <si>
    <t>6MuoqipFgorIZEYwGWEFAU</t>
  </si>
  <si>
    <t>Soolking, Gazo</t>
  </si>
  <si>
    <t>https://api.spotify.com/v1/tracks/30D9x5LFgL2o9xidjX2wtE</t>
  </si>
  <si>
    <t>spotify:track:30D9x5LFgL2o9xidjX2wtE</t>
  </si>
  <si>
    <t>Casanova</t>
  </si>
  <si>
    <t>https://api.spotify.com/v1/audio-analysis/30D9x5LFgL2o9xidjX2wtE</t>
  </si>
  <si>
    <t>30D9x5LFgL2o9xidjX2wtE</t>
  </si>
  <si>
    <t>5.87e-05</t>
  </si>
  <si>
    <t>2m57s4b2rbxphb86w4LeeA</t>
  </si>
  <si>
    <t>123.58</t>
  </si>
  <si>
    <t>Desireless</t>
  </si>
  <si>
    <t>https://api.spotify.com/v1/tracks/2d8D7uk3tbAThjRkdfrx9c</t>
  </si>
  <si>
    <t>spotify:track:2d8D7uk3tbAThjRkdfrx9c</t>
  </si>
  <si>
    <t>Fran√ßois</t>
  </si>
  <si>
    <t>https://api.spotify.com/v1/audio-analysis/2d8D7uk3tbAThjRkdfrx9c</t>
  </si>
  <si>
    <t>2d8D7uk3tbAThjRkdfrx9c</t>
  </si>
  <si>
    <t>Voyage voyage</t>
  </si>
  <si>
    <t>17EANLCoErHdo9FpzMx25q</t>
  </si>
  <si>
    <t>0.0729</t>
  </si>
  <si>
    <t>Indila</t>
  </si>
  <si>
    <t>https://api.spotify.com/v1/tracks/65uoaqX5qcjXZRheAj1qQT</t>
  </si>
  <si>
    <t>spotify:track:65uoaqX5qcjXZRheAj1qQT</t>
  </si>
  <si>
    <t>Mini World</t>
  </si>
  <si>
    <t>https://api.spotify.com/v1/audio-analysis/65uoaqX5qcjXZRheAj1qQT</t>
  </si>
  <si>
    <t>65uoaqX5qcjXZRheAj1qQT</t>
  </si>
  <si>
    <t>Derni√®re danse</t>
  </si>
  <si>
    <t>1r7XjAgjwlakmXC2GbPXjH</t>
  </si>
  <si>
    <t>https://api.spotify.com/v1/tracks/6nGeLlakfzlBcFdZXteDq7</t>
  </si>
  <si>
    <t>spotify:track:6nGeLlakfzlBcFdZXteDq7</t>
  </si>
  <si>
    <t>https://api.spotify.com/v1/audio-analysis/6nGeLlakfzlBcFdZXteDq7</t>
  </si>
  <si>
    <t>6nGeLlakfzlBcFdZXteDq7</t>
  </si>
  <si>
    <t>Love Story</t>
  </si>
  <si>
    <t>https://api.spotify.com/v1/tracks/2AMysGXOe0zzZJMtH3Nizb</t>
  </si>
  <si>
    <t>spotify:track:2AMysGXOe0zzZJMtH3Nizb</t>
  </si>
  <si>
    <t>https://api.spotify.com/v1/audio-analysis/2AMysGXOe0zzZJMtH3Nizb</t>
  </si>
  <si>
    <t>2AMysGXOe0zzZJMtH3Nizb</t>
  </si>
  <si>
    <t>Formidable</t>
  </si>
  <si>
    <t>Jungeli, Imen Es, Alonzo, Abou Debeing, Lossa</t>
  </si>
  <si>
    <t>https://api.spotify.com/v1/tracks/1eldTykrnkEBLX41bk5eMw</t>
  </si>
  <si>
    <t>spotify:track:1eldTykrnkEBLX41bk5eMw</t>
  </si>
  <si>
    <t>Petit g√©nie</t>
  </si>
  <si>
    <t>https://api.spotify.com/v1/audio-analysis/1eldTykrnkEBLX41bk5eMw</t>
  </si>
  <si>
    <t>1eldTykrnkEBLX41bk5eMw</t>
  </si>
  <si>
    <t>1.07e-05</t>
  </si>
  <si>
    <t>4Ta3fRzeMUtQlQrrcn1cuE</t>
  </si>
  <si>
    <t>SativaMusic, Morad, GIMS</t>
  </si>
  <si>
    <t>0.0722</t>
  </si>
  <si>
    <t>https://api.spotify.com/v1/tracks/5EVY9jwZDhgyLDyNGCGWYh</t>
  </si>
  <si>
    <t>spotify:track:5EVY9jwZDhgyLDyNGCGWYh</t>
  </si>
  <si>
    <t>Seya</t>
  </si>
  <si>
    <t>https://api.spotify.com/v1/audio-analysis/5EVY9jwZDhgyLDyNGCGWYh</t>
  </si>
  <si>
    <t>5EVY9jwZDhgyLDyNGCGWYh</t>
  </si>
  <si>
    <t>0.00197</t>
  </si>
  <si>
    <t>2VJcmi0iisyLekBIgoKKvw</t>
  </si>
  <si>
    <t>109.96</t>
  </si>
  <si>
    <t>https://api.spotify.com/v1/tracks/6M4nkEPZMj58acftDRTuKL</t>
  </si>
  <si>
    <t>spotify:track:6M4nkEPZMj58acftDRTuKL</t>
  </si>
  <si>
    <t>https://api.spotify.com/v1/audio-analysis/6M4nkEPZMj58acftDRTuKL</t>
  </si>
  <si>
    <t>6M4nkEPZMj58acftDRTuKL</t>
  </si>
  <si>
    <t>Tous les m√™mes</t>
  </si>
  <si>
    <t>0.00219</t>
  </si>
  <si>
    <t>GIMS</t>
  </si>
  <si>
    <t>https://api.spotify.com/v1/tracks/3a9TMd2Yrza6HXqqlfMtfy</t>
  </si>
  <si>
    <t>spotify:track:3a9TMd2Yrza6HXqqlfMtfy</t>
  </si>
  <si>
    <t>Mon coeur avait raison</t>
  </si>
  <si>
    <t>https://api.spotify.com/v1/audio-analysis/3a9TMd2Yrza6HXqqlfMtfy</t>
  </si>
  <si>
    <t>3a9TMd2Yrza6HXqqlfMtfy</t>
  </si>
  <si>
    <t>Est-ce que tu m'aimes ? - Pilule bleue</t>
  </si>
  <si>
    <t>4tYyNNlbRGlS6FNphD8mur</t>
  </si>
  <si>
    <t>Werenoi</t>
  </si>
  <si>
    <t>https://api.spotify.com/v1/tracks/3kzXT2poHInDISrXOgT1PR</t>
  </si>
  <si>
    <t>spotify:track:3kzXT2poHInDISrXOgT1PR</t>
  </si>
  <si>
    <t>Telegram</t>
  </si>
  <si>
    <t>https://api.spotify.com/v1/audio-analysis/3kzXT2poHInDISrXOgT1PR</t>
  </si>
  <si>
    <t>3kzXT2poHInDISrXOgT1PR</t>
  </si>
  <si>
    <t>Solitaire</t>
  </si>
  <si>
    <t>6p4UuRtrBi7EzUVYJdMWDJ</t>
  </si>
  <si>
    <t>Carbonne</t>
  </si>
  <si>
    <t>https://api.spotify.com/v1/tracks/6IcsbETuviVu6UTiBTcxY4</t>
  </si>
  <si>
    <t>spotify:track:6IcsbETuviVu6UTiBTcxY4</t>
  </si>
  <si>
    <t>Imagine</t>
  </si>
  <si>
    <t>https://api.spotify.com/v1/audio-analysis/6IcsbETuviVu6UTiBTcxY4</t>
  </si>
  <si>
    <t>6IcsbETuviVu6UTiBTcxY4</t>
  </si>
  <si>
    <t>3jI55EoABEJ0qbxHJ7OvQ6</t>
  </si>
  <si>
    <t>Tiakola, Ryflo, Oskoow</t>
  </si>
  <si>
    <t>https://api.spotify.com/v1/tracks/6C0SXfD7rR46MpWK5VJSEw</t>
  </si>
  <si>
    <t>spotify:track:6C0SXfD7rR46MpWK5VJSEw</t>
  </si>
  <si>
    <t>BDLM VOL.1</t>
  </si>
  <si>
    <t>https://api.spotify.com/v1/audio-analysis/6C0SXfD7rR46MpWK5VJSEw</t>
  </si>
  <si>
    <t>6C0SXfD7rR46MpWK5VJSEw</t>
  </si>
  <si>
    <t>MANON B</t>
  </si>
  <si>
    <t>7bwHY8zkw9nqxxw1WIQ7Qa</t>
  </si>
  <si>
    <t>115.03</t>
  </si>
  <si>
    <t>Tiakola, Genezio, Prototype</t>
  </si>
  <si>
    <t>https://api.spotify.com/v1/tracks/6JCjcuo4VKAP4bHhbHj6fe</t>
  </si>
  <si>
    <t>spotify:track:6JCjcuo4VKAP4bHhbHj6fe</t>
  </si>
  <si>
    <t>https://api.spotify.com/v1/audio-analysis/6JCjcuo4VKAP4bHhbHj6fe</t>
  </si>
  <si>
    <t>6JCjcuo4VKAP4bHhbHj6fe</t>
  </si>
  <si>
    <t>PONA NINI</t>
  </si>
  <si>
    <t>https://api.spotify.com/v1/tracks/2PYlRGF5Wi5sDobsLH5gLX</t>
  </si>
  <si>
    <t>spotify:track:2PYlRGF5Wi5sDobsLH5gLX</t>
  </si>
  <si>
    <t>https://api.spotify.com/v1/audio-analysis/2PYlRGF5Wi5sDobsLH5gLX</t>
  </si>
  <si>
    <t>2PYlRGF5Wi5sDobsLH5gLX</t>
  </si>
  <si>
    <t>4kaRXOJNgAAa3Odl6ojLBf</t>
  </si>
  <si>
    <t>Parcels</t>
  </si>
  <si>
    <t>https://api.spotify.com/v1/tracks/66tkDkPsznE5zIHNt4QkXB</t>
  </si>
  <si>
    <t>spotify:track:66tkDkPsznE5zIHNt4QkXB</t>
  </si>
  <si>
    <t>Tieduprightnow</t>
  </si>
  <si>
    <t>Australian Indie</t>
  </si>
  <si>
    <t>https://api.spotify.com/v1/audio-analysis/66tkDkPsznE5zIHNt4QkXB</t>
  </si>
  <si>
    <t>66tkDkPsznE5zIHNt4QkXB</t>
  </si>
  <si>
    <t>0.00126</t>
  </si>
  <si>
    <t>5v7PsESglCFeVcb7wNEWIW</t>
  </si>
  <si>
    <t>australian</t>
  </si>
  <si>
    <t>37i9dQZF1EIcLyY4fNNQaC</t>
  </si>
  <si>
    <t>97.96</t>
  </si>
  <si>
    <t>Tame Impala</t>
  </si>
  <si>
    <t>https://api.spotify.com/v1/tracks/5hM5arv9KDbCHS0k9uqwjr</t>
  </si>
  <si>
    <t>spotify:track:5hM5arv9KDbCHS0k9uqwjr</t>
  </si>
  <si>
    <t>The Slow Rush</t>
  </si>
  <si>
    <t>https://api.spotify.com/v1/audio-analysis/5hM5arv9KDbCHS0k9uqwjr</t>
  </si>
  <si>
    <t>5hM5arv9KDbCHS0k9uqwjr</t>
  </si>
  <si>
    <t>Borderline</t>
  </si>
  <si>
    <t>31qVWUdRrlb8thMvts0yYL</t>
  </si>
  <si>
    <t>https://api.spotify.com/v1/tracks/6RZmhpvukfyeSURhf4kZ0d</t>
  </si>
  <si>
    <t>spotify:track:6RZmhpvukfyeSURhf4kZ0d</t>
  </si>
  <si>
    <t>https://api.spotify.com/v1/audio-analysis/6RZmhpvukfyeSURhf4kZ0d</t>
  </si>
  <si>
    <t>6RZmhpvukfyeSURhf4kZ0d</t>
  </si>
  <si>
    <t>Is It True</t>
  </si>
  <si>
    <t>0.00307</t>
  </si>
  <si>
    <t>Afro-Latin Party</t>
  </si>
  <si>
    <t>afro-latin</t>
  </si>
  <si>
    <t>0oU30cCr8klmMsuOKHDLkh</t>
  </si>
  <si>
    <t>https://api.spotify.com/v1/tracks/6hgoYQDUcPyCz7LcTUHKxa</t>
  </si>
  <si>
    <t>spotify:track:6hgoYQDUcPyCz7LcTUHKxa</t>
  </si>
  <si>
    <t>Calm Down</t>
  </si>
  <si>
    <t>https://api.spotify.com/v1/audio-analysis/6hgoYQDUcPyCz7LcTUHKxa</t>
  </si>
  <si>
    <t>6hgoYQDUcPyCz7LcTUHKxa</t>
  </si>
  <si>
    <t>37iaWiKMa9YBbEDlw5c3Qh</t>
  </si>
  <si>
    <t>Drake, Tems</t>
  </si>
  <si>
    <t>https://api.spotify.com/v1/tracks/08XWh5c0BMyD1nKVxxl91z</t>
  </si>
  <si>
    <t>spotify:track:08XWh5c0BMyD1nKVxxl91z</t>
  </si>
  <si>
    <t>Certified Lover Boy</t>
  </si>
  <si>
    <t>https://api.spotify.com/v1/audio-analysis/08XWh5c0BMyD1nKVxxl91z</t>
  </si>
  <si>
    <t>08XWh5c0BMyD1nKVxxl91z</t>
  </si>
  <si>
    <t>Fountains (with Tems)</t>
  </si>
  <si>
    <t>0.0675</t>
  </si>
  <si>
    <t>3SpBlxme9WbeQdI9kx7KAV</t>
  </si>
  <si>
    <t>Davido, Musa Keys</t>
  </si>
  <si>
    <t>https://api.spotify.com/v1/tracks/2kaH2Z8ezDUKf6fNw250rZ</t>
  </si>
  <si>
    <t>spotify:track:2kaH2Z8ezDUKf6fNw250rZ</t>
  </si>
  <si>
    <t>https://api.spotify.com/v1/audio-analysis/2kaH2Z8ezDUKf6fNw250rZ</t>
  </si>
  <si>
    <t>2kaH2Z8ezDUKf6fNw250rZ</t>
  </si>
  <si>
    <t>UNAVAILABLE (feat. Musa Keys)</t>
  </si>
  <si>
    <t>6lI21W76LD0S3vC55GrfSS</t>
  </si>
  <si>
    <t>Libianca</t>
  </si>
  <si>
    <t>https://api.spotify.com/v1/tracks/26b3oVLrRUaaybJulow9kz</t>
  </si>
  <si>
    <t>spotify:track:26b3oVLrRUaaybJulow9kz</t>
  </si>
  <si>
    <t>People</t>
  </si>
  <si>
    <t>https://api.spotify.com/v1/audio-analysis/26b3oVLrRUaaybJulow9kz</t>
  </si>
  <si>
    <t>26b3oVLrRUaaybJulow9kz</t>
  </si>
  <si>
    <t>5Hmh6N8oisrcuZKa8EY5dn</t>
  </si>
  <si>
    <t>https://api.spotify.com/v1/tracks/1wADwLSkYhrSmy4vdy6BRn</t>
  </si>
  <si>
    <t>spotify:track:1wADwLSkYhrSmy4vdy6BRn</t>
  </si>
  <si>
    <t>Boy Alone</t>
  </si>
  <si>
    <t>https://api.spotify.com/v1/audio-analysis/1wADwLSkYhrSmy4vdy6BRn</t>
  </si>
  <si>
    <t>1wADwLSkYhrSmy4vdy6BRn</t>
  </si>
  <si>
    <t>soso</t>
  </si>
  <si>
    <t>5NLjxx8nRy9ooUmgpOvfem</t>
  </si>
  <si>
    <t>Davido, FAVE</t>
  </si>
  <si>
    <t>https://api.spotify.com/v1/tracks/7vKXc90NT5WBm3UTT4iTVG</t>
  </si>
  <si>
    <t>spotify:track:7vKXc90NT5WBm3UTT4iTVG</t>
  </si>
  <si>
    <t>https://api.spotify.com/v1/audio-analysis/7vKXc90NT5WBm3UTT4iTVG</t>
  </si>
  <si>
    <t>7vKXc90NT5WBm3UTT4iTVG</t>
  </si>
  <si>
    <t>KANTE (feat. Fave)</t>
  </si>
  <si>
    <t>Alan Walker, Ina Wroldsen</t>
  </si>
  <si>
    <t>https://api.spotify.com/v1/tracks/2GE3k8I0Sbh0puCjI15KGy</t>
  </si>
  <si>
    <t>spotify:track:2GE3k8I0Sbh0puCjI15KGy</t>
  </si>
  <si>
    <t>Barcelona</t>
  </si>
  <si>
    <t>Scandi Pop</t>
  </si>
  <si>
    <t>https://api.spotify.com/v1/audio-analysis/2GE3k8I0Sbh0puCjI15KGy</t>
  </si>
  <si>
    <t>2GE3k8I0Sbh0puCjI15KGy</t>
  </si>
  <si>
    <t>9.38e-06</t>
  </si>
  <si>
    <t>34yBJhr8zlBAHMEMSwrISN</t>
  </si>
  <si>
    <t>scandi</t>
  </si>
  <si>
    <t>59z06GgF6TTDbm5cr1RZUC</t>
  </si>
  <si>
    <t>Playlist_Genre_ID</t>
  </si>
  <si>
    <t>Cantidad de Canciones por genero</t>
  </si>
  <si>
    <t>ID_playlist_subgenre</t>
  </si>
  <si>
    <t>Canciones por subgenero</t>
  </si>
  <si>
    <t>ID_playlist_name</t>
  </si>
  <si>
    <t>Cuantas Playlists de musica hay ?</t>
  </si>
  <si>
    <t>Cual es la Playlist mas escuchada?</t>
  </si>
  <si>
    <t>Canciones por Playlist</t>
  </si>
  <si>
    <t>Total general</t>
  </si>
  <si>
    <t>Generos</t>
  </si>
  <si>
    <t>Playlists</t>
  </si>
  <si>
    <t>Rosalia, Bruno Mars</t>
  </si>
  <si>
    <t>The Marias</t>
  </si>
  <si>
    <t>Bluester Cult</t>
  </si>
  <si>
    <t>Playboi Carti, Don Toliver, Kodak Black</t>
  </si>
  <si>
    <t>Matu, Veigh</t>
  </si>
  <si>
    <t>Arcangel, Bad Bunny</t>
  </si>
  <si>
    <t>Matu</t>
  </si>
  <si>
    <t>Duki, Wiz Khalifa, Arci°ngel</t>
  </si>
  <si>
    <t>Teto, Matui™</t>
  </si>
  <si>
    <t>Paulo Londra, Lenny Tavi°rez</t>
  </si>
  <si>
    <t>Trap Capos, Noriel, Bad Bunny, Arci°ngel</t>
  </si>
  <si>
    <t>Revol, Ozuna, Cosculluela, Arci°ngel, Brytiago</t>
  </si>
  <si>
    <t>Jasiel Nui±ez, Peso Pluma</t>
  </si>
  <si>
    <t>Alemi°n, Gera MX</t>
  </si>
  <si>
    <t>Julii≥n iÅlvarez y su Nortei±o Banda</t>
  </si>
  <si>
    <t>Don Omar, Tego Calderi≥n</t>
  </si>
  <si>
    <t>Alemi°n</t>
  </si>
  <si>
    <t>Tii´sto</t>
  </si>
  <si>
    <t>Dimitri Vegas &amp; Like Mike, Tii´sto, Dido, W&amp;W, Dimitri Vegas, Like Mike</t>
  </si>
  <si>
    <t>Bibi Babydoll, Dj Brunin XM, KZA Produißiµes</t>
  </si>
  <si>
    <t>ROSiâ, Bruno Mars</t>
  </si>
  <si>
    <t>Marc Segui≠, Rauw Alejandro, Pol Granch</t>
  </si>
  <si>
    <t>iëengo Flow, Bad Bunny</t>
  </si>
  <si>
    <t>ii±igo quintero</t>
  </si>
  <si>
    <t>fun., Janelle Moni°e</t>
  </si>
  <si>
    <t>Major Lazer, Miò, DJ Snake</t>
  </si>
  <si>
    <t>Mi•neskin</t>
  </si>
  <si>
    <t>Chance Pei±a</t>
  </si>
  <si>
    <t>Kina, Sni∏w</t>
  </si>
  <si>
    <t>iñwnboss, Sevek</t>
  </si>
  <si>
    <t>Tii´sto, Soaky Siren</t>
  </si>
  <si>
    <t>Arci°ngel, Bad Bunny</t>
  </si>
  <si>
    <t>Tego Calderi≥n</t>
  </si>
  <si>
    <t>Bad Bunny, Jowell &amp; Randy, iëengo Flow</t>
  </si>
  <si>
    <t>Dalex, Lenny Tavi°rez, Chencho Corleone, Juhn, Di≠melo Flow</t>
  </si>
  <si>
    <t>Myke Towers, Farruko, Arci°ngel, Sech, Zion</t>
  </si>
  <si>
    <t>Rich Music LTD, Sech, Dalex, Justin Quiles, Lenny Tavi°rez, Feid</t>
  </si>
  <si>
    <t>DJ Zigi£o, DJ Lafon Do Md, Mc Rodrigo do CN, Mc Rf</t>
  </si>
  <si>
    <t>DJ JOiÉO PEREIRA, MC Koringa</t>
  </si>
  <si>
    <t>Ji≥sean Log</t>
  </si>
  <si>
    <t>Los iÅngeles Azules, Natalia Lafourcade</t>
  </si>
  <si>
    <t>MoBlack, Salif Keita, Benja (NL), Franc Fala, Cesi°ria Evora</t>
  </si>
  <si>
    <t>Mani°</t>
  </si>
  <si>
    <t>Bad Bunny, Bomba Estereo</t>
  </si>
  <si>
    <t>Bad Bunny, The Marias</t>
  </si>
  <si>
    <t>ROSALiA</t>
  </si>
  <si>
    <t>Pink</t>
  </si>
  <si>
    <t>Pyotr Ilyich Tchaikovsky, Andrie Previn, London Symphony Orchestra</t>
  </si>
  <si>
    <t>Beiele</t>
  </si>
  <si>
    <t>Jhenie Aiko, Swae Lee</t>
  </si>
  <si>
    <t>Jhenie Aiko, Kendrick Lamar</t>
  </si>
  <si>
    <t>Ovy On The Drums, Beiele</t>
  </si>
  <si>
    <t>Beyoncie</t>
  </si>
  <si>
    <t>Beyoncie, JAY-Z</t>
  </si>
  <si>
    <t>Cieline Dion</t>
  </si>
  <si>
    <t>Niklas Dee, Renie Miller</t>
  </si>
  <si>
    <t>Saintie</t>
  </si>
  <si>
    <t>.diedlonely, ienouement</t>
  </si>
  <si>
    <t>Cafie Tacvba</t>
  </si>
  <si>
    <t>Los Angeles Azules</t>
  </si>
  <si>
    <t>Bad Bunny, ROSALiA</t>
  </si>
  <si>
    <t>LISA, ROSALiA</t>
  </si>
  <si>
    <t>ROSALiA, Ozuna</t>
  </si>
  <si>
    <t>ROSALiA, J Balvin, El Guincho</t>
  </si>
  <si>
    <t>Energy</t>
  </si>
  <si>
    <t>Tempo</t>
  </si>
  <si>
    <t>Danceability</t>
  </si>
  <si>
    <t>Valence</t>
  </si>
  <si>
    <t>Track_artist</t>
  </si>
  <si>
    <t>Track_popularity</t>
  </si>
  <si>
    <t>Playlist_name</t>
  </si>
  <si>
    <t>Track_name</t>
  </si>
  <si>
    <t>Track_album_release_date</t>
  </si>
  <si>
    <t>Mode</t>
  </si>
  <si>
    <t>Key</t>
  </si>
  <si>
    <t>Acousticness</t>
  </si>
  <si>
    <t>Criterios de Distribucion</t>
  </si>
  <si>
    <t>Como se buscan las canciones mas escuchadas en Spotify ?</t>
  </si>
  <si>
    <t>Suma de Track_popularity</t>
  </si>
  <si>
    <t>Cuantas canciones son de la Playlist mas escuchada ?</t>
  </si>
  <si>
    <t>Un Dia Mas</t>
  </si>
  <si>
    <t>La Celula Que Explota</t>
  </si>
  <si>
    <t>DESPECHA</t>
  </si>
  <si>
    <t>TV OK</t>
  </si>
  <si>
    <t>Problemas de um Milionario</t>
  </si>
  <si>
    <t>La Dificil</t>
  </si>
  <si>
    <t>Rucon</t>
  </si>
  <si>
    <t>DANZA PRA ME PROVOCAR</t>
  </si>
  <si>
    <t>Fotografia</t>
  </si>
  <si>
    <t>Tous les mmes</t>
  </si>
  <si>
    <t>Por Genero, Subgenero y Playlists</t>
  </si>
  <si>
    <t>Despues del analisis de los criterios de distribucion de las canciones mas escuchadas , se llega a la conclusion que el Genero mas escuchado es el Pop , el Subgenero mas escuchado es el Modern y la playlist mas escuchada es Throwback Party</t>
  </si>
  <si>
    <t xml:space="preserve">Caracteristicas  de las canciones mas escuchadas </t>
  </si>
  <si>
    <t>Variables</t>
  </si>
  <si>
    <t>Promedios de todas las canciones</t>
  </si>
  <si>
    <t xml:space="preserve">*Hay que tomar el 0 como Modo Menor y el 1 como Modo Mayor </t>
  </si>
  <si>
    <t xml:space="preserve">*Teniendo en cuenta que los valores del 0 al 11 corresponden a la tonalidad de la canacion , 0 siendo Do y 11 Si </t>
  </si>
  <si>
    <t>El analisis de estos datos sobre las caracterizticas de las canciones mas escuchadas de spotify , nos permiten visulaizar tendencias en las tecnicas de produccion y composicion  para poder entender mejor cuales son las variables que hacen mas popular una cancion que otra. En el caso de cuan energicas son las canciones el promedio dio relativamente alto con un 67% . Esto quiere decir que las canciones mas esuchadas son mas energeticas y dinamicas y esto hace la cancion mas bailable lo cual queda reflejado en el alto porcentaje del promedio de 65%.</t>
  </si>
  <si>
    <t>En el caso de la variable Mode que corresponde al Modo Menor o  Mayor de una cancion hay una leve tendencia a las tonalidades menores . En cuanto a las tonalidades Re bemol y Si son las tonalidades que muestran una leve ventaja en popularidad frente a las otras pero no muy significativa</t>
  </si>
  <si>
    <t>La variable Acusticness refiere a cuantos instrumentos acusticos se usaron para grabar la cancion vs cuantos instrumentos sinteticos o digitales . El promedio del  procentaje de Acustica dio bastante bajo y quiere decir que hoy la tendencia es grabar canciones con sonidos digitales y sinteticos . Por Ultimo la variable valencia de una cancion nos dice cuan alegre o triste es la narrativa de una cancion . En este caso el promedio del porcentaje dio 53% que nos dice que no hay una tendencia marcada es casi la misma cantidad de canciones tristes que alegres</t>
  </si>
  <si>
    <t>Popularidad</t>
  </si>
  <si>
    <t>Playlist_genre2</t>
  </si>
  <si>
    <t>Playlist_subgenre2</t>
  </si>
  <si>
    <t>Duration_minutes</t>
  </si>
  <si>
    <t>Classic</t>
  </si>
  <si>
    <t>Hip-Hop</t>
  </si>
  <si>
    <t>Modern</t>
  </si>
  <si>
    <t>Pop</t>
  </si>
  <si>
    <t>Reggaeton</t>
  </si>
  <si>
    <t>Throwback</t>
  </si>
  <si>
    <t>Electronic</t>
  </si>
  <si>
    <t>Gaming</t>
  </si>
  <si>
    <t>Latin</t>
  </si>
  <si>
    <t>Rock</t>
  </si>
  <si>
    <t>SI.ANIDADA</t>
  </si>
  <si>
    <t>Analisis de las Caracteristicas y la Distribucion de las canciones mas escuchadas de Spotify</t>
  </si>
  <si>
    <t>Subgenero</t>
  </si>
  <si>
    <t>Si Spotify prioriza canciones con alta energía, ritmo bailable y producción digital en sus playlists mas escuchadas, aumentará el engagement de los usuarios, ya que en sus algoritmos y listas editoriales estas características coinciden con las preferencias predominantes de las canciones más escuchadas.</t>
  </si>
  <si>
    <t>Modos</t>
  </si>
  <si>
    <t>Tonalidad</t>
  </si>
  <si>
    <t>Suma Canciones por Playlist</t>
  </si>
  <si>
    <t>Suma de Canciones por Genero</t>
  </si>
  <si>
    <t>Suma de Canciones por Subgenero</t>
  </si>
  <si>
    <t>Cuantos Subgeneros musicales hay ?</t>
  </si>
  <si>
    <t>Cual es el Subgenero mas escuchado?</t>
  </si>
  <si>
    <t>Cuantas canciones son del Subgenero mas escuchado?</t>
  </si>
  <si>
    <t>Cuantos Generos musicales hay ?</t>
  </si>
  <si>
    <t>Cual es el Genero mas escuchado ?</t>
  </si>
  <si>
    <t>Cuantas canciones son del el Genero mas escuchado?</t>
  </si>
  <si>
    <t>Tempo en  BPM</t>
  </si>
  <si>
    <r>
      <t>En base al análisis de los criterios de distribución de las canciones más escuchadas, Spotify debería enfocar su estrategia en potenciar el contenido relacionado con el género Pop, especialmente su subgénero Modern, como tambien a través de playlists temáticas que evocan nostalgia como </t>
    </r>
    <r>
      <rPr>
        <i/>
        <sz val="16"/>
        <color rgb="FF000000"/>
        <rFont val="Aptos Narrow"/>
        <scheme val="minor"/>
      </rPr>
      <t>Throwback Party</t>
    </r>
    <r>
      <rPr>
        <sz val="16"/>
        <color rgb="FF000000"/>
        <rFont val="Aptos Narrow"/>
        <scheme val="minor"/>
      </rPr>
      <t>. Una estrategia efectiva sería crear y promocionar más listas de reproducción que combinen éxitos modernos del pop con clásicos que conecten emocionalmente con la audiencia, apuntando a públicos jóvenes adultos. Además, se recomienda utilizar campañas de marketing y colaboraciones con artistas pop contemporáneos para reforzar el posicionamiento de estas playlists.</t>
    </r>
  </si>
  <si>
    <r>
      <rPr>
        <b/>
        <sz val="16"/>
        <color theme="1"/>
        <rFont val="Aptos Narrow"/>
        <scheme val="minor"/>
      </rPr>
      <t>Conclusion Estrategica:</t>
    </r>
    <r>
      <rPr>
        <sz val="16"/>
        <color theme="1"/>
        <rFont val="Aptos Narrow"/>
        <scheme val="minor"/>
      </rPr>
      <t xml:space="preserve"> en base al análisis de las características de las canciones más escuchadas en Spotify, se observa una clara tendencia hacia producciones energéticas, bailables y con un predominio de sonidos digitales y sintetizados. Por lo tanto, una estrategia efectiva para Spotify sería potenciar la visibilidad de canciones con alta energía y ritmo bailable dentro de sus algoritmos de recomendación y curaduría editorial, priorizando temas con producción digital. Además, al no haber una tendencia clara en cuanto a la narrativa emocional (alegre vs. triste) ni en las tonalidades, se recomienda mantener una oferta variada en estos aspectos para captar distintos perfiles emocionales de oyentes, sin enfocarse exclusivamente en un solo tono o estado de ánimo.</t>
    </r>
  </si>
  <si>
    <t>Promedios Generales</t>
  </si>
  <si>
    <t>Total Canciones Pop</t>
  </si>
  <si>
    <t>Total Canciones Modern</t>
  </si>
  <si>
    <t>Acusticness</t>
  </si>
  <si>
    <t>Danceablilty</t>
  </si>
  <si>
    <t>Total Canciones Throwback Party</t>
  </si>
  <si>
    <t>Volver</t>
  </si>
  <si>
    <t>Siguiente Pag</t>
  </si>
  <si>
    <t>Afrobeats</t>
  </si>
  <si>
    <t>Ambient</t>
  </si>
  <si>
    <t>Arabic</t>
  </si>
  <si>
    <t>Blues</t>
  </si>
  <si>
    <t>Brazilian</t>
  </si>
  <si>
    <t>Classical</t>
  </si>
  <si>
    <t>Country</t>
  </si>
  <si>
    <t>Folk</t>
  </si>
  <si>
    <t>Indian</t>
  </si>
  <si>
    <t>Indie</t>
  </si>
  <si>
    <t>J-Pop</t>
  </si>
  <si>
    <t>Jazz</t>
  </si>
  <si>
    <t>K-Pop</t>
  </si>
  <si>
    <t>Korean</t>
  </si>
  <si>
    <t>Lofi</t>
  </si>
  <si>
    <t>Metal</t>
  </si>
  <si>
    <t>Punk</t>
  </si>
  <si>
    <t>R&amp;B</t>
  </si>
  <si>
    <t>Reggae</t>
  </si>
  <si>
    <t>Soul</t>
  </si>
  <si>
    <t>Turkish</t>
  </si>
  <si>
    <t>World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</si>
</sst>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
  </numFmts>
  <fonts count="27">
    <font>
      <sz val="12"/>
      <color theme="1"/>
      <name val="Aptos Narrow"/>
      <family val="2"/>
      <scheme val="minor"/>
    </font>
    <font>
      <sz val="20"/>
      <color theme="1"/>
      <name val="Aptos Narrow"/>
      <family val="2"/>
      <scheme val="minor"/>
    </font>
    <font>
      <sz val="12"/>
      <color theme="1"/>
      <name val="Aptos Narrow"/>
      <family val="2"/>
      <scheme val="minor"/>
    </font>
    <font>
      <sz val="14"/>
      <color theme="1"/>
      <name val="Aptos Narrow"/>
      <family val="2"/>
      <scheme val="minor"/>
    </font>
    <font>
      <sz val="18"/>
      <color theme="0"/>
      <name val="Aptos Narrow"/>
      <family val="2"/>
      <scheme val="minor"/>
    </font>
    <font>
      <sz val="18"/>
      <color theme="1"/>
      <name val="Aptos Narrow"/>
      <family val="2"/>
      <scheme val="minor"/>
    </font>
    <font>
      <sz val="14"/>
      <color rgb="FF000000"/>
      <name val="-webkit-standard"/>
    </font>
    <font>
      <sz val="18"/>
      <color rgb="FF000000"/>
      <name val="Aptos Narrow"/>
      <scheme val="minor"/>
    </font>
    <font>
      <sz val="16"/>
      <color theme="1"/>
      <name val="Aptos Narrow"/>
      <family val="2"/>
      <scheme val="minor"/>
    </font>
    <font>
      <sz val="12"/>
      <color rgb="FFFF0000"/>
      <name val="Aptos Narrow"/>
      <family val="2"/>
      <scheme val="minor"/>
    </font>
    <font>
      <sz val="8"/>
      <name val="Aptos Narrow"/>
      <family val="2"/>
      <scheme val="minor"/>
    </font>
    <font>
      <b/>
      <i/>
      <sz val="20"/>
      <color theme="1"/>
      <name val="Aptos Narrow"/>
      <scheme val="minor"/>
    </font>
    <font>
      <b/>
      <sz val="12"/>
      <color theme="0"/>
      <name val="Aptos Narrow"/>
      <family val="2"/>
      <scheme val="minor"/>
    </font>
    <font>
      <b/>
      <sz val="12"/>
      <color theme="1"/>
      <name val="Aptos Narrow"/>
      <scheme val="minor"/>
    </font>
    <font>
      <b/>
      <sz val="20"/>
      <color rgb="FF000000"/>
      <name val="Aptos Narrow"/>
      <scheme val="minor"/>
    </font>
    <font>
      <u/>
      <sz val="12"/>
      <color theme="10"/>
      <name val="Aptos Narrow"/>
      <family val="2"/>
      <scheme val="minor"/>
    </font>
    <font>
      <sz val="16"/>
      <color rgb="FF000000"/>
      <name val="Aptos Narrow"/>
      <scheme val="minor"/>
    </font>
    <font>
      <i/>
      <sz val="16"/>
      <color rgb="FF000000"/>
      <name val="Aptos Narrow"/>
      <scheme val="minor"/>
    </font>
    <font>
      <sz val="18"/>
      <color theme="1"/>
      <name val="Aptos Narrow"/>
      <scheme val="minor"/>
    </font>
    <font>
      <sz val="16"/>
      <color theme="1"/>
      <name val="Aptos Narrow"/>
      <scheme val="minor"/>
    </font>
    <font>
      <b/>
      <sz val="16"/>
      <color theme="1"/>
      <name val="Aptos Narrow"/>
      <scheme val="minor"/>
    </font>
    <font>
      <b/>
      <sz val="14"/>
      <color theme="1"/>
      <name val="Aptos Narrow"/>
      <scheme val="minor"/>
    </font>
    <font>
      <sz val="24"/>
      <color theme="1"/>
      <name val="Aptos Narrow"/>
      <family val="2"/>
      <scheme val="minor"/>
    </font>
    <font>
      <b/>
      <u/>
      <sz val="16"/>
      <color theme="2" tint="-0.89999084444715716"/>
      <name val="Aptos Narrow"/>
      <scheme val="minor"/>
    </font>
    <font>
      <b/>
      <u/>
      <sz val="20"/>
      <color theme="2" tint="-0.89999084444715716"/>
      <name val="Aptos Narrow"/>
      <scheme val="minor"/>
    </font>
    <font>
      <b/>
      <u/>
      <sz val="22"/>
      <color theme="2" tint="-0.89999084444715716"/>
      <name val="Aptos Narrow"/>
      <scheme val="minor"/>
    </font>
    <font>
      <b/>
      <u/>
      <sz val="26"/>
      <color theme="2" tint="-0.89999084444715716"/>
      <name val="Aptos Narrow"/>
      <scheme val="minor"/>
    </font>
  </fonts>
  <fills count="11">
    <fill>
      <patternFill patternType="none"/>
    </fill>
    <fill>
      <patternFill patternType="gray125"/>
    </fill>
    <fill>
      <patternFill patternType="solid">
        <fgColor theme="6" tint="0.79998168889431442"/>
        <bgColor indexed="64"/>
      </patternFill>
    </fill>
    <fill>
      <patternFill patternType="solid">
        <fgColor theme="0"/>
        <bgColor indexed="64"/>
      </patternFill>
    </fill>
    <fill>
      <patternFill patternType="solid">
        <fgColor rgb="FF00B050"/>
        <bgColor indexed="64"/>
      </patternFill>
    </fill>
    <fill>
      <patternFill patternType="solid">
        <fgColor theme="6" tint="0.59999389629810485"/>
        <bgColor indexed="64"/>
      </patternFill>
    </fill>
    <fill>
      <patternFill patternType="solid">
        <fgColor rgb="FFFFFF00"/>
        <bgColor indexed="64"/>
      </patternFill>
    </fill>
    <fill>
      <patternFill patternType="solid">
        <fgColor theme="6" tint="0.39997558519241921"/>
        <bgColor indexed="64"/>
      </patternFill>
    </fill>
    <fill>
      <patternFill patternType="solid">
        <fgColor theme="6" tint="0.79998168889431442"/>
        <bgColor theme="6" tint="0.79998168889431442"/>
      </patternFill>
    </fill>
    <fill>
      <patternFill patternType="solid">
        <fgColor theme="6"/>
        <bgColor theme="6"/>
      </patternFill>
    </fill>
    <fill>
      <patternFill patternType="solid">
        <fgColor theme="9" tint="0.7999816888943144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6" tint="0.39997558519241921"/>
      </top>
      <bottom/>
      <diagonal/>
    </border>
    <border>
      <left style="thin">
        <color theme="6" tint="0.39997558519241921"/>
      </left>
      <right/>
      <top/>
      <bottom style="thin">
        <color theme="6" tint="0.39997558519241921"/>
      </bottom>
      <diagonal/>
    </border>
    <border>
      <left/>
      <right style="thin">
        <color theme="6" tint="0.39997558519241921"/>
      </right>
      <top/>
      <bottom style="thin">
        <color theme="6" tint="0.3999755851924192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9" fontId="2" fillId="0" borderId="0" applyFont="0" applyFill="0" applyBorder="0" applyAlignment="0" applyProtection="0"/>
    <xf numFmtId="0" fontId="15" fillId="0" borderId="0" applyNumberFormat="0" applyFill="0" applyBorder="0" applyAlignment="0" applyProtection="0"/>
  </cellStyleXfs>
  <cellXfs count="114">
    <xf numFmtId="0" fontId="0" fillId="0" borderId="0" xfId="0"/>
    <xf numFmtId="3" fontId="0" fillId="0" borderId="0" xfId="0" applyNumberFormat="1"/>
    <xf numFmtId="14" fontId="0" fillId="0" borderId="0" xfId="0" applyNumberFormat="1"/>
    <xf numFmtId="11" fontId="0" fillId="0" borderId="0" xfId="0" applyNumberFormat="1"/>
    <xf numFmtId="20" fontId="0" fillId="0" borderId="0" xfId="0" applyNumberFormat="1"/>
    <xf numFmtId="18" fontId="0" fillId="0" borderId="0" xfId="0" applyNumberFormat="1"/>
    <xf numFmtId="0" fontId="0" fillId="2" borderId="0" xfId="0" applyFill="1"/>
    <xf numFmtId="0" fontId="0" fillId="3" borderId="1" xfId="0" applyFill="1" applyBorder="1"/>
    <xf numFmtId="0" fontId="0" fillId="0" borderId="1" xfId="0" applyBorder="1"/>
    <xf numFmtId="0" fontId="0" fillId="2" borderId="0" xfId="0" applyFill="1" applyAlignment="1">
      <alignment horizontal="center"/>
    </xf>
    <xf numFmtId="0" fontId="0" fillId="0" borderId="0" xfId="0" applyAlignment="1">
      <alignment horizontal="center"/>
    </xf>
    <xf numFmtId="0" fontId="0" fillId="0" borderId="0" xfId="0" applyAlignment="1">
      <alignment horizontal="left"/>
    </xf>
    <xf numFmtId="0" fontId="0" fillId="0" borderId="1" xfId="0" applyBorder="1" applyAlignment="1">
      <alignment wrapText="1"/>
    </xf>
    <xf numFmtId="0" fontId="0" fillId="2" borderId="2" xfId="0" applyFill="1" applyBorder="1"/>
    <xf numFmtId="0" fontId="0" fillId="0" borderId="0" xfId="0" applyAlignment="1">
      <alignment horizontal="right"/>
    </xf>
    <xf numFmtId="0" fontId="0" fillId="0" borderId="0" xfId="0" pivotButton="1"/>
    <xf numFmtId="9" fontId="0" fillId="0" borderId="0" xfId="1" applyFont="1"/>
    <xf numFmtId="9" fontId="0" fillId="0" borderId="0" xfId="0" applyNumberFormat="1"/>
    <xf numFmtId="0" fontId="0" fillId="4" borderId="0" xfId="0" applyFill="1"/>
    <xf numFmtId="0" fontId="0" fillId="4" borderId="0" xfId="0" applyFill="1" applyAlignment="1">
      <alignment horizontal="center"/>
    </xf>
    <xf numFmtId="0" fontId="0" fillId="4" borderId="1" xfId="0" applyFill="1" applyBorder="1"/>
    <xf numFmtId="1" fontId="0" fillId="0" borderId="0" xfId="0" applyNumberFormat="1"/>
    <xf numFmtId="164" fontId="0" fillId="0" borderId="0" xfId="0" applyNumberFormat="1"/>
    <xf numFmtId="0" fontId="0" fillId="0" borderId="0" xfId="0" applyAlignment="1">
      <alignment horizontal="center" vertical="center"/>
    </xf>
    <xf numFmtId="3" fontId="0" fillId="0" borderId="0" xfId="0" applyNumberFormat="1" applyAlignment="1">
      <alignment horizontal="right"/>
    </xf>
    <xf numFmtId="0" fontId="0" fillId="6" borderId="0" xfId="0" applyFill="1" applyAlignment="1">
      <alignment horizontal="center"/>
    </xf>
    <xf numFmtId="0" fontId="9" fillId="6" borderId="0" xfId="0" applyFont="1" applyFill="1" applyAlignment="1">
      <alignment horizontal="center"/>
    </xf>
    <xf numFmtId="0" fontId="13" fillId="2" borderId="1" xfId="0" applyFont="1" applyFill="1" applyBorder="1"/>
    <xf numFmtId="0" fontId="3" fillId="0" borderId="0" xfId="0" applyFont="1"/>
    <xf numFmtId="0" fontId="13" fillId="5" borderId="1" xfId="0" applyFont="1" applyFill="1" applyBorder="1" applyAlignment="1">
      <alignment horizontal="center"/>
    </xf>
    <xf numFmtId="0" fontId="13" fillId="5" borderId="0" xfId="0" applyFont="1" applyFill="1" applyAlignment="1">
      <alignment horizontal="center" vertical="center"/>
    </xf>
    <xf numFmtId="0" fontId="13" fillId="5" borderId="1" xfId="0" applyFont="1" applyFill="1" applyBorder="1" applyAlignment="1">
      <alignment horizontal="center" vertical="center"/>
    </xf>
    <xf numFmtId="0" fontId="0" fillId="8" borderId="5" xfId="0" applyFill="1" applyBorder="1"/>
    <xf numFmtId="9" fontId="0" fillId="8" borderId="5" xfId="1" applyFont="1" applyFill="1" applyBorder="1"/>
    <xf numFmtId="9" fontId="0" fillId="8" borderId="5" xfId="0" applyNumberFormat="1" applyFill="1" applyBorder="1"/>
    <xf numFmtId="1" fontId="0" fillId="8" borderId="5" xfId="0" applyNumberFormat="1" applyFill="1" applyBorder="1"/>
    <xf numFmtId="0" fontId="0" fillId="8" borderId="5" xfId="0" applyFill="1" applyBorder="1" applyAlignment="1">
      <alignment horizontal="center"/>
    </xf>
    <xf numFmtId="0" fontId="0" fillId="0" borderId="5" xfId="0" applyBorder="1"/>
    <xf numFmtId="9" fontId="0" fillId="0" borderId="5" xfId="1" applyFont="1" applyBorder="1"/>
    <xf numFmtId="9" fontId="0" fillId="0" borderId="5" xfId="0" applyNumberFormat="1" applyBorder="1"/>
    <xf numFmtId="1" fontId="0" fillId="0" borderId="5" xfId="0" applyNumberFormat="1" applyBorder="1"/>
    <xf numFmtId="0" fontId="0" fillId="0" borderId="5" xfId="0" applyBorder="1" applyAlignment="1">
      <alignment horizontal="center"/>
    </xf>
    <xf numFmtId="164" fontId="0" fillId="8" borderId="5" xfId="0" applyNumberFormat="1" applyFill="1" applyBorder="1"/>
    <xf numFmtId="164" fontId="0" fillId="0" borderId="5" xfId="0" applyNumberFormat="1" applyBorder="1"/>
    <xf numFmtId="0" fontId="12" fillId="4" borderId="0" xfId="0" applyFont="1" applyFill="1"/>
    <xf numFmtId="0" fontId="12" fillId="4" borderId="0" xfId="0" applyFont="1" applyFill="1" applyAlignment="1">
      <alignment horizontal="center"/>
    </xf>
    <xf numFmtId="49" fontId="0" fillId="0" borderId="0" xfId="0" applyNumberFormat="1"/>
    <xf numFmtId="164" fontId="0" fillId="4" borderId="0" xfId="0" applyNumberFormat="1" applyFill="1"/>
    <xf numFmtId="0" fontId="8" fillId="2" borderId="0" xfId="0" applyFont="1" applyFill="1" applyAlignment="1">
      <alignment wrapText="1"/>
    </xf>
    <xf numFmtId="0" fontId="7" fillId="2" borderId="0" xfId="0" applyFont="1" applyFill="1" applyAlignment="1">
      <alignment vertical="center" wrapText="1"/>
    </xf>
    <xf numFmtId="0" fontId="0" fillId="2" borderId="11" xfId="0" applyFill="1" applyBorder="1"/>
    <xf numFmtId="0" fontId="0" fillId="2" borderId="12" xfId="0" applyFill="1" applyBorder="1"/>
    <xf numFmtId="0" fontId="0" fillId="2" borderId="13" xfId="0" applyFill="1" applyBorder="1"/>
    <xf numFmtId="0" fontId="0" fillId="2" borderId="14" xfId="0" applyFill="1" applyBorder="1"/>
    <xf numFmtId="0" fontId="0" fillId="2" borderId="15" xfId="0" applyFill="1" applyBorder="1"/>
    <xf numFmtId="0" fontId="18" fillId="2" borderId="0" xfId="0" applyFont="1" applyFill="1" applyAlignment="1">
      <alignment vertical="center" wrapText="1"/>
    </xf>
    <xf numFmtId="9" fontId="0" fillId="8" borderId="5" xfId="0" applyNumberFormat="1" applyFill="1" applyBorder="1" applyAlignment="1">
      <alignment horizontal="center"/>
    </xf>
    <xf numFmtId="9" fontId="0" fillId="0" borderId="5" xfId="0" applyNumberFormat="1" applyBorder="1" applyAlignment="1">
      <alignment horizontal="center"/>
    </xf>
    <xf numFmtId="0" fontId="12" fillId="9" borderId="0" xfId="0" applyFont="1" applyFill="1"/>
    <xf numFmtId="0" fontId="0" fillId="8" borderId="6" xfId="0" applyFill="1" applyBorder="1"/>
    <xf numFmtId="1" fontId="0" fillId="8" borderId="7" xfId="0" applyNumberFormat="1" applyFill="1" applyBorder="1" applyAlignment="1">
      <alignment horizontal="center"/>
    </xf>
    <xf numFmtId="0" fontId="1" fillId="10" borderId="0" xfId="0" applyFont="1" applyFill="1" applyAlignment="1">
      <alignment horizontal="left"/>
    </xf>
    <xf numFmtId="0" fontId="0" fillId="10" borderId="0" xfId="0" applyFill="1"/>
    <xf numFmtId="9" fontId="0" fillId="10" borderId="0" xfId="0" applyNumberFormat="1" applyFill="1" applyAlignment="1">
      <alignment horizontal="center"/>
    </xf>
    <xf numFmtId="0" fontId="6" fillId="10" borderId="0" xfId="0" applyFont="1" applyFill="1" applyAlignment="1">
      <alignment horizontal="center" wrapText="1"/>
    </xf>
    <xf numFmtId="0" fontId="22" fillId="10" borderId="0" xfId="0" applyFont="1" applyFill="1"/>
    <xf numFmtId="0" fontId="15" fillId="10" borderId="0" xfId="2" applyFill="1"/>
    <xf numFmtId="0" fontId="23" fillId="5" borderId="0" xfId="2" quotePrefix="1" applyFont="1" applyFill="1" applyAlignment="1"/>
    <xf numFmtId="0" fontId="4" fillId="4" borderId="0" xfId="0" applyFont="1" applyFill="1"/>
    <xf numFmtId="0" fontId="0" fillId="7" borderId="0" xfId="0" applyFill="1"/>
    <xf numFmtId="0" fontId="24" fillId="2" borderId="0" xfId="2" applyFont="1" applyFill="1" applyBorder="1"/>
    <xf numFmtId="0" fontId="5" fillId="10" borderId="0" xfId="0" applyFont="1" applyFill="1" applyAlignment="1">
      <alignment horizontal="center" vertical="center" wrapText="1"/>
    </xf>
    <xf numFmtId="0" fontId="8" fillId="10" borderId="0" xfId="0" applyFont="1" applyFill="1" applyAlignment="1">
      <alignment horizontal="center" wrapText="1"/>
    </xf>
    <xf numFmtId="0" fontId="11" fillId="5" borderId="0" xfId="0" applyFont="1" applyFill="1" applyAlignment="1">
      <alignment horizontal="center"/>
    </xf>
    <xf numFmtId="0" fontId="14" fillId="7" borderId="0" xfId="0" applyFont="1" applyFill="1" applyAlignment="1">
      <alignment horizontal="center" vertical="center" wrapText="1"/>
    </xf>
    <xf numFmtId="0" fontId="21" fillId="10" borderId="0" xfId="0" applyFont="1" applyFill="1" applyAlignment="1">
      <alignment horizontal="center" vertical="center"/>
    </xf>
    <xf numFmtId="9" fontId="20" fillId="10" borderId="0" xfId="0" applyNumberFormat="1" applyFont="1" applyFill="1" applyAlignment="1">
      <alignment horizontal="center" vertical="center"/>
    </xf>
    <xf numFmtId="0" fontId="20" fillId="10" borderId="0" xfId="0" applyFont="1" applyFill="1" applyAlignment="1">
      <alignment horizontal="center" vertical="center"/>
    </xf>
    <xf numFmtId="0" fontId="26" fillId="10" borderId="0" xfId="2" applyFont="1" applyFill="1" applyAlignment="1">
      <alignment horizontal="center"/>
    </xf>
    <xf numFmtId="0" fontId="1" fillId="4" borderId="0" xfId="0" applyFont="1" applyFill="1" applyAlignment="1">
      <alignment horizontal="center" vertical="center" wrapText="1"/>
    </xf>
    <xf numFmtId="0" fontId="25" fillId="7" borderId="0" xfId="2" applyFont="1" applyFill="1" applyAlignment="1">
      <alignment horizontal="center"/>
    </xf>
    <xf numFmtId="0" fontId="13" fillId="2" borderId="3" xfId="0" applyFont="1" applyFill="1" applyBorder="1" applyAlignment="1">
      <alignment horizontal="center"/>
    </xf>
    <xf numFmtId="0" fontId="13" fillId="2" borderId="4" xfId="0" applyFont="1" applyFill="1" applyBorder="1" applyAlignment="1">
      <alignment horizontal="center"/>
    </xf>
    <xf numFmtId="0" fontId="13" fillId="2" borderId="1" xfId="0" applyFont="1" applyFill="1" applyBorder="1" applyAlignment="1">
      <alignment horizontal="center"/>
    </xf>
    <xf numFmtId="0" fontId="1" fillId="5" borderId="0" xfId="0" applyFont="1" applyFill="1" applyAlignment="1">
      <alignment horizontal="center"/>
    </xf>
    <xf numFmtId="0" fontId="4" fillId="4" borderId="0" xfId="0" applyFont="1" applyFill="1" applyAlignment="1">
      <alignment horizontal="center"/>
    </xf>
    <xf numFmtId="0" fontId="1" fillId="5" borderId="8" xfId="0" applyFont="1" applyFill="1" applyBorder="1" applyAlignment="1">
      <alignment horizontal="center" vertical="center"/>
    </xf>
    <xf numFmtId="0" fontId="1" fillId="5" borderId="9" xfId="0" applyFont="1" applyFill="1" applyBorder="1" applyAlignment="1">
      <alignment horizontal="center" vertical="center"/>
    </xf>
    <xf numFmtId="0" fontId="1" fillId="5" borderId="10" xfId="0" applyFont="1" applyFill="1" applyBorder="1" applyAlignment="1">
      <alignment horizontal="center" vertical="center"/>
    </xf>
    <xf numFmtId="0" fontId="1" fillId="5" borderId="11" xfId="0" applyFont="1" applyFill="1" applyBorder="1" applyAlignment="1">
      <alignment horizontal="center" vertical="center"/>
    </xf>
    <xf numFmtId="0" fontId="1" fillId="5" borderId="0" xfId="0" applyFont="1" applyFill="1" applyAlignment="1">
      <alignment horizontal="center" vertical="center"/>
    </xf>
    <xf numFmtId="0" fontId="1" fillId="5" borderId="12" xfId="0" applyFont="1" applyFill="1" applyBorder="1" applyAlignment="1">
      <alignment horizontal="center" vertical="center"/>
    </xf>
    <xf numFmtId="0" fontId="8" fillId="2" borderId="11" xfId="0" applyFont="1" applyFill="1" applyBorder="1" applyAlignment="1">
      <alignment horizontal="center" vertical="center" wrapText="1"/>
    </xf>
    <xf numFmtId="0" fontId="8" fillId="2" borderId="0" xfId="0" applyFont="1" applyFill="1" applyAlignment="1">
      <alignment horizontal="center" vertical="center" wrapText="1"/>
    </xf>
    <xf numFmtId="0" fontId="8" fillId="2" borderId="12" xfId="0" applyFont="1" applyFill="1" applyBorder="1" applyAlignment="1">
      <alignment horizontal="center" vertical="center" wrapText="1"/>
    </xf>
    <xf numFmtId="0" fontId="16" fillId="2" borderId="11" xfId="0" applyFont="1" applyFill="1" applyBorder="1" applyAlignment="1">
      <alignment horizontal="center" vertical="center" wrapText="1"/>
    </xf>
    <xf numFmtId="0" fontId="16" fillId="2" borderId="0" xfId="0" applyFont="1" applyFill="1" applyAlignment="1">
      <alignment horizontal="center" vertical="center" wrapText="1"/>
    </xf>
    <xf numFmtId="0" fontId="16" fillId="2" borderId="12" xfId="0" applyFont="1" applyFill="1" applyBorder="1" applyAlignment="1">
      <alignment horizontal="center" vertical="center" wrapText="1"/>
    </xf>
    <xf numFmtId="0" fontId="19" fillId="2" borderId="9" xfId="0" applyFont="1" applyFill="1" applyBorder="1" applyAlignment="1">
      <alignment horizontal="center" vertical="center" wrapText="1"/>
    </xf>
    <xf numFmtId="0" fontId="19" fillId="2" borderId="0" xfId="0" applyFont="1" applyFill="1" applyAlignment="1">
      <alignment horizontal="center" vertical="center" wrapText="1"/>
    </xf>
    <xf numFmtId="0" fontId="1" fillId="4" borderId="8" xfId="0" applyFont="1" applyFill="1" applyBorder="1" applyAlignment="1">
      <alignment horizontal="center" vertical="center" wrapText="1"/>
    </xf>
    <xf numFmtId="0" fontId="1" fillId="4" borderId="9" xfId="0" applyFont="1" applyFill="1" applyBorder="1" applyAlignment="1">
      <alignment horizontal="center" vertical="center" wrapText="1"/>
    </xf>
    <xf numFmtId="0" fontId="1" fillId="4" borderId="10" xfId="0" applyFont="1" applyFill="1" applyBorder="1" applyAlignment="1">
      <alignment horizontal="center" vertical="center" wrapText="1"/>
    </xf>
    <xf numFmtId="0" fontId="1" fillId="4" borderId="11" xfId="0" applyFont="1" applyFill="1" applyBorder="1" applyAlignment="1">
      <alignment horizontal="center" vertical="center" wrapText="1"/>
    </xf>
    <xf numFmtId="0" fontId="1" fillId="4" borderId="12" xfId="0" applyFont="1" applyFill="1" applyBorder="1" applyAlignment="1">
      <alignment horizontal="center" vertical="center" wrapText="1"/>
    </xf>
    <xf numFmtId="0" fontId="8" fillId="2" borderId="11" xfId="0" applyFont="1" applyFill="1" applyBorder="1" applyAlignment="1">
      <alignment horizontal="center" wrapText="1"/>
    </xf>
    <xf numFmtId="0" fontId="8" fillId="2" borderId="0" xfId="0" applyFont="1" applyFill="1" applyAlignment="1">
      <alignment horizontal="center" wrapText="1"/>
    </xf>
    <xf numFmtId="0" fontId="8" fillId="2" borderId="12" xfId="0" applyFont="1" applyFill="1" applyBorder="1" applyAlignment="1">
      <alignment horizontal="center" wrapText="1"/>
    </xf>
    <xf numFmtId="0" fontId="5" fillId="2" borderId="11"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12" xfId="0" applyFont="1" applyFill="1" applyBorder="1" applyAlignment="1">
      <alignment horizontal="center" vertical="center" wrapText="1"/>
    </xf>
    <xf numFmtId="0" fontId="5" fillId="2" borderId="13" xfId="0" applyFont="1" applyFill="1" applyBorder="1" applyAlignment="1">
      <alignment horizontal="center" vertical="center" wrapText="1"/>
    </xf>
    <xf numFmtId="0" fontId="5" fillId="2" borderId="14" xfId="0" applyFont="1" applyFill="1" applyBorder="1" applyAlignment="1">
      <alignment horizontal="center" vertical="center" wrapText="1"/>
    </xf>
    <xf numFmtId="0" fontId="5" fillId="2" borderId="15" xfId="0" applyFont="1" applyFill="1" applyBorder="1" applyAlignment="1">
      <alignment horizontal="center" vertical="center" wrapText="1"/>
    </xf>
  </cellXfs>
  <cellStyles count="3">
    <cellStyle name="Hipervínculo" xfId="2" builtinId="8"/>
    <cellStyle name="Normal" xfId="0" builtinId="0"/>
    <cellStyle name="Porcentaje" xfId="1" builtinId="5"/>
  </cellStyles>
  <dxfs count="33">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border outline="0">
        <left style="thin">
          <color theme="6" tint="0.39997558519241921"/>
        </left>
        <right style="thin">
          <color theme="6" tint="0.39997558519241921"/>
        </right>
        <top style="thin">
          <color theme="6" tint="0.39997558519241921"/>
        </top>
        <bottom style="thin">
          <color theme="6" tint="0.39997558519241921"/>
        </bottom>
      </border>
    </dxf>
    <dxf>
      <font>
        <b/>
        <i val="0"/>
        <strike val="0"/>
        <condense val="0"/>
        <extend val="0"/>
        <outline val="0"/>
        <shadow val="0"/>
        <u val="none"/>
        <vertAlign val="baseline"/>
        <sz val="12"/>
        <color theme="0"/>
        <name val="Aptos Narrow"/>
        <family val="2"/>
        <scheme val="minor"/>
      </font>
      <fill>
        <patternFill patternType="solid">
          <fgColor theme="6"/>
          <bgColor theme="6"/>
        </patternFill>
      </fill>
    </dxf>
    <dxf>
      <font>
        <b val="0"/>
        <i val="0"/>
        <strike val="0"/>
        <condense val="0"/>
        <extend val="0"/>
        <outline val="0"/>
        <shadow val="0"/>
        <u val="none"/>
        <vertAlign val="baseline"/>
        <sz val="12"/>
        <color theme="1"/>
        <name val="Aptos Narrow"/>
        <family val="2"/>
        <scheme val="minor"/>
      </font>
      <fill>
        <patternFill patternType="solid">
          <fgColor theme="6" tint="0.79998168889431442"/>
          <bgColor theme="6" tint="0.79998168889431442"/>
        </patternFill>
      </fill>
      <border diagonalUp="0" diagonalDown="0">
        <left/>
        <right/>
        <top style="thin">
          <color theme="6" tint="0.39997558519241921"/>
        </top>
        <bottom/>
        <vertical/>
        <horizontal/>
      </border>
    </dxf>
    <dxf>
      <font>
        <b val="0"/>
        <i val="0"/>
        <strike val="0"/>
        <condense val="0"/>
        <extend val="0"/>
        <outline val="0"/>
        <shadow val="0"/>
        <u val="none"/>
        <vertAlign val="baseline"/>
        <sz val="12"/>
        <color theme="1"/>
        <name val="Aptos Narrow"/>
        <family val="2"/>
        <scheme val="minor"/>
      </font>
      <fill>
        <patternFill patternType="solid">
          <fgColor theme="6" tint="0.79998168889431442"/>
          <bgColor theme="6" tint="0.79998168889431442"/>
        </patternFill>
      </fill>
      <alignment horizontal="center" vertical="bottom" textRotation="0" wrapText="0" indent="0" justifyLastLine="0" shrinkToFit="0" readingOrder="0"/>
      <border diagonalUp="0" diagonalDown="0">
        <left/>
        <right/>
        <top style="thin">
          <color theme="6" tint="0.39997558519241921"/>
        </top>
        <bottom/>
        <vertical/>
        <horizontal/>
      </border>
    </dxf>
    <dxf>
      <font>
        <b val="0"/>
        <i val="0"/>
        <strike val="0"/>
        <condense val="0"/>
        <extend val="0"/>
        <outline val="0"/>
        <shadow val="0"/>
        <u val="none"/>
        <vertAlign val="baseline"/>
        <sz val="12"/>
        <color theme="1"/>
        <name val="Aptos Narrow"/>
        <family val="2"/>
        <scheme val="minor"/>
      </font>
      <numFmt numFmtId="13" formatCode="0%"/>
      <fill>
        <patternFill patternType="solid">
          <fgColor theme="6" tint="0.79998168889431442"/>
          <bgColor theme="6" tint="0.79998168889431442"/>
        </patternFill>
      </fill>
      <border diagonalUp="0" diagonalDown="0">
        <left/>
        <right/>
        <top style="thin">
          <color theme="6" tint="0.39997558519241921"/>
        </top>
        <bottom/>
        <vertical/>
        <horizontal/>
      </border>
    </dxf>
    <dxf>
      <font>
        <b val="0"/>
        <i val="0"/>
        <strike val="0"/>
        <condense val="0"/>
        <extend val="0"/>
        <outline val="0"/>
        <shadow val="0"/>
        <u val="none"/>
        <vertAlign val="baseline"/>
        <sz val="12"/>
        <color theme="1"/>
        <name val="Aptos Narrow"/>
        <family val="2"/>
        <scheme val="minor"/>
      </font>
      <numFmt numFmtId="1" formatCode="0"/>
      <fill>
        <patternFill patternType="solid">
          <fgColor theme="6" tint="0.79998168889431442"/>
          <bgColor theme="6" tint="0.79998168889431442"/>
        </patternFill>
      </fill>
      <border diagonalUp="0" diagonalDown="0">
        <left/>
        <right/>
        <top style="thin">
          <color theme="6" tint="0.39997558519241921"/>
        </top>
        <bottom/>
        <vertical/>
        <horizontal/>
      </border>
    </dxf>
    <dxf>
      <font>
        <b val="0"/>
        <i val="0"/>
        <strike val="0"/>
        <condense val="0"/>
        <extend val="0"/>
        <outline val="0"/>
        <shadow val="0"/>
        <u val="none"/>
        <vertAlign val="baseline"/>
        <sz val="12"/>
        <color theme="1"/>
        <name val="Aptos Narrow"/>
        <family val="2"/>
        <scheme val="minor"/>
      </font>
      <fill>
        <patternFill patternType="solid">
          <fgColor theme="6" tint="0.79998168889431442"/>
          <bgColor theme="6" tint="0.79998168889431442"/>
        </patternFill>
      </fill>
      <border diagonalUp="0" diagonalDown="0">
        <left/>
        <right/>
        <top style="thin">
          <color theme="6" tint="0.39997558519241921"/>
        </top>
        <bottom/>
        <vertical/>
        <horizontal/>
      </border>
    </dxf>
    <dxf>
      <font>
        <b val="0"/>
        <i val="0"/>
        <strike val="0"/>
        <condense val="0"/>
        <extend val="0"/>
        <outline val="0"/>
        <shadow val="0"/>
        <u val="none"/>
        <vertAlign val="baseline"/>
        <sz val="12"/>
        <color theme="1"/>
        <name val="Aptos Narrow"/>
        <family val="2"/>
        <scheme val="minor"/>
      </font>
      <fill>
        <patternFill patternType="solid">
          <fgColor theme="6" tint="0.79998168889431442"/>
          <bgColor theme="6" tint="0.79998168889431442"/>
        </patternFill>
      </fill>
      <border diagonalUp="0" diagonalDown="0">
        <left/>
        <right/>
        <top style="thin">
          <color theme="6" tint="0.39997558519241921"/>
        </top>
        <bottom/>
        <vertical/>
        <horizontal/>
      </border>
    </dxf>
    <dxf>
      <font>
        <b val="0"/>
        <i val="0"/>
        <strike val="0"/>
        <condense val="0"/>
        <extend val="0"/>
        <outline val="0"/>
        <shadow val="0"/>
        <u val="none"/>
        <vertAlign val="baseline"/>
        <sz val="12"/>
        <color theme="1"/>
        <name val="Aptos Narrow"/>
        <family val="2"/>
        <scheme val="minor"/>
      </font>
      <fill>
        <patternFill patternType="solid">
          <fgColor theme="6" tint="0.79998168889431442"/>
          <bgColor theme="6" tint="0.79998168889431442"/>
        </patternFill>
      </fill>
      <border diagonalUp="0" diagonalDown="0">
        <left/>
        <right/>
        <top style="thin">
          <color theme="6" tint="0.39997558519241921"/>
        </top>
        <bottom/>
        <vertical/>
        <horizontal/>
      </border>
    </dxf>
    <dxf>
      <font>
        <b val="0"/>
        <i val="0"/>
        <strike val="0"/>
        <condense val="0"/>
        <extend val="0"/>
        <outline val="0"/>
        <shadow val="0"/>
        <u val="none"/>
        <vertAlign val="baseline"/>
        <sz val="12"/>
        <color theme="1"/>
        <name val="Aptos Narrow"/>
        <family val="2"/>
        <scheme val="minor"/>
      </font>
      <numFmt numFmtId="13" formatCode="0%"/>
      <fill>
        <patternFill patternType="solid">
          <fgColor theme="6" tint="0.79998168889431442"/>
          <bgColor theme="6" tint="0.79998168889431442"/>
        </patternFill>
      </fill>
      <border diagonalUp="0" diagonalDown="0">
        <left/>
        <right/>
        <top style="thin">
          <color theme="6" tint="0.39997558519241921"/>
        </top>
        <bottom/>
        <vertical/>
        <horizontal/>
      </border>
    </dxf>
    <dxf>
      <font>
        <b val="0"/>
        <i val="0"/>
        <strike val="0"/>
        <condense val="0"/>
        <extend val="0"/>
        <outline val="0"/>
        <shadow val="0"/>
        <u val="none"/>
        <vertAlign val="baseline"/>
        <sz val="12"/>
        <color theme="1"/>
        <name val="Aptos Narrow"/>
        <family val="2"/>
        <scheme val="minor"/>
      </font>
      <numFmt numFmtId="13" formatCode="0%"/>
      <fill>
        <patternFill patternType="solid">
          <fgColor theme="6" tint="0.79998168889431442"/>
          <bgColor theme="6" tint="0.79998168889431442"/>
        </patternFill>
      </fill>
      <border diagonalUp="0" diagonalDown="0">
        <left/>
        <right/>
        <top style="thin">
          <color theme="6" tint="0.39997558519241921"/>
        </top>
        <bottom/>
        <vertical/>
        <horizontal/>
      </border>
    </dxf>
    <dxf>
      <font>
        <b val="0"/>
        <i val="0"/>
        <strike val="0"/>
        <condense val="0"/>
        <extend val="0"/>
        <outline val="0"/>
        <shadow val="0"/>
        <u val="none"/>
        <vertAlign val="baseline"/>
        <sz val="12"/>
        <color theme="1"/>
        <name val="Aptos Narrow"/>
        <family val="2"/>
        <scheme val="minor"/>
      </font>
      <numFmt numFmtId="13" formatCode="0%"/>
      <fill>
        <patternFill patternType="solid">
          <fgColor theme="6" tint="0.79998168889431442"/>
          <bgColor theme="6" tint="0.79998168889431442"/>
        </patternFill>
      </fill>
      <border diagonalUp="0" diagonalDown="0">
        <left/>
        <right/>
        <top style="thin">
          <color theme="6" tint="0.39997558519241921"/>
        </top>
        <bottom/>
        <vertical/>
        <horizontal/>
      </border>
    </dxf>
    <dxf>
      <border outline="0">
        <left style="thin">
          <color theme="6" tint="0.39997558519241921"/>
        </left>
        <right style="thin">
          <color theme="6" tint="0.39997558519241921"/>
        </right>
        <top style="thin">
          <color theme="6" tint="0.39997558519241921"/>
        </top>
        <bottom style="thin">
          <color theme="6" tint="0.39997558519241921"/>
        </bottom>
      </border>
    </dxf>
    <dxf>
      <font>
        <b/>
        <i val="0"/>
        <strike val="0"/>
        <condense val="0"/>
        <extend val="0"/>
        <outline val="0"/>
        <shadow val="0"/>
        <u val="none"/>
        <vertAlign val="baseline"/>
        <sz val="12"/>
        <color theme="0"/>
        <name val="Aptos Narrow"/>
        <family val="2"/>
        <scheme val="minor"/>
      </font>
      <fill>
        <patternFill patternType="solid">
          <fgColor indexed="64"/>
          <bgColor rgb="FF00B050"/>
        </patternFill>
      </fill>
    </dxf>
    <dxf>
      <numFmt numFmtId="3" formatCode="#,##0"/>
    </dxf>
    <dxf>
      <numFmt numFmtId="3" formatCode="#,##0"/>
    </dxf>
    <dxf>
      <alignment horizontal="right"/>
    </dxf>
    <dxf>
      <numFmt numFmtId="13" formatCode="0%"/>
    </dxf>
    <dxf>
      <numFmt numFmtId="13" formatCode="0%"/>
    </dxf>
    <dxf>
      <numFmt numFmtId="1" formatCode="0"/>
    </dxf>
    <dxf>
      <numFmt numFmtId="164" formatCode="dd/mm/yy;@"/>
    </dxf>
    <dxf>
      <numFmt numFmtId="13" formatCode="0%"/>
    </dxf>
    <dxf>
      <font>
        <b val="0"/>
        <i val="0"/>
        <strike val="0"/>
        <condense val="0"/>
        <extend val="0"/>
        <outline val="0"/>
        <shadow val="0"/>
        <u val="none"/>
        <vertAlign val="baseline"/>
        <sz val="12"/>
        <color theme="1"/>
        <name val="Aptos Narrow"/>
        <family val="2"/>
        <scheme val="minor"/>
      </font>
    </dxf>
    <dxf>
      <font>
        <b val="0"/>
        <i val="0"/>
        <strike val="0"/>
        <condense val="0"/>
        <extend val="0"/>
        <outline val="0"/>
        <shadow val="0"/>
        <u val="none"/>
        <vertAlign val="baseline"/>
        <sz val="12"/>
        <color theme="1"/>
        <name val="Aptos Narrow"/>
        <family val="2"/>
        <scheme val="minor"/>
      </font>
    </dxf>
    <dxf>
      <numFmt numFmtId="1" formatCode="0"/>
      <alignment horizontal="center" vertical="bottom" textRotation="0" wrapText="0" indent="0" justifyLastLine="0" shrinkToFit="0" readingOrder="0"/>
    </dxf>
    <dxf>
      <numFmt numFmtId="13" formatCode="0%"/>
    </dxf>
    <dxf>
      <fill>
        <patternFill patternType="solid">
          <fgColor indexed="64"/>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5.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pivotCacheDefinition" Target="pivotCache/pivotCacheDefinition2.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5"/>
    </mc:Choice>
    <mc:Fallback>
      <c:style val="5"/>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AR"/>
        </a:p>
      </c:txPr>
    </c:title>
    <c:autoTitleDeleted val="0"/>
    <c:plotArea>
      <c:layout/>
      <c:barChart>
        <c:barDir val="bar"/>
        <c:grouping val="clustered"/>
        <c:varyColors val="0"/>
        <c:ser>
          <c:idx val="0"/>
          <c:order val="0"/>
          <c:tx>
            <c:strRef>
              <c:f>TB_Caracteristicas!$M$3</c:f>
              <c:strCache>
                <c:ptCount val="1"/>
                <c:pt idx="0">
                  <c:v>Promedios de todas las canciones</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A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TB_Caracteristicas!$L$4:$L$8</c:f>
              <c:strCache>
                <c:ptCount val="4"/>
                <c:pt idx="0">
                  <c:v>Energy</c:v>
                </c:pt>
                <c:pt idx="1">
                  <c:v>Danceability</c:v>
                </c:pt>
                <c:pt idx="2">
                  <c:v>Acousticness</c:v>
                </c:pt>
                <c:pt idx="3">
                  <c:v>Valence</c:v>
                </c:pt>
              </c:strCache>
            </c:strRef>
          </c:cat>
          <c:val>
            <c:numRef>
              <c:f>TB_Caracteristicas!$M$4:$M$8</c:f>
              <c:numCache>
                <c:formatCode>0%</c:formatCode>
                <c:ptCount val="5"/>
                <c:pt idx="0">
                  <c:v>0.66718020334928163</c:v>
                </c:pt>
                <c:pt idx="1">
                  <c:v>0.65009629186602835</c:v>
                </c:pt>
                <c:pt idx="2">
                  <c:v>0.22162031309808583</c:v>
                </c:pt>
                <c:pt idx="3">
                  <c:v>0.52491315789473625</c:v>
                </c:pt>
              </c:numCache>
            </c:numRef>
          </c:val>
          <c:extLst>
            <c:ext xmlns:c16="http://schemas.microsoft.com/office/drawing/2014/chart" uri="{C3380CC4-5D6E-409C-BE32-E72D297353CC}">
              <c16:uniqueId val="{00000000-799C-534C-B7F1-AEDEEC8B7CBA}"/>
            </c:ext>
          </c:extLst>
        </c:ser>
        <c:dLbls>
          <c:dLblPos val="inEnd"/>
          <c:showLegendKey val="0"/>
          <c:showVal val="1"/>
          <c:showCatName val="0"/>
          <c:showSerName val="0"/>
          <c:showPercent val="0"/>
          <c:showBubbleSize val="0"/>
        </c:dLbls>
        <c:gapWidth val="65"/>
        <c:axId val="1549607823"/>
        <c:axId val="1546449167"/>
      </c:barChart>
      <c:catAx>
        <c:axId val="154960782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AR"/>
          </a:p>
        </c:txPr>
        <c:crossAx val="1546449167"/>
        <c:crosses val="autoZero"/>
        <c:auto val="1"/>
        <c:lblAlgn val="ctr"/>
        <c:lblOffset val="100"/>
        <c:noMultiLvlLbl val="0"/>
      </c:catAx>
      <c:valAx>
        <c:axId val="154644916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AR"/>
          </a:p>
        </c:txPr>
        <c:crossAx val="1549607823"/>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A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5"/>
    </mc:Choice>
    <mc:Fallback>
      <c:style val="5"/>
    </mc:Fallback>
  </mc:AlternateContent>
  <c:pivotSource>
    <c:name>[ProyectoFinal_Florin.xlsx]TB_Distribucion!TablaDinámica1</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de Canciones por Genero</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AR"/>
        </a:p>
      </c:txPr>
    </c:title>
    <c:autoTitleDeleted val="0"/>
    <c:pivotFmts>
      <c:pivotFmt>
        <c:idx val="0"/>
        <c:spPr>
          <a:solidFill>
            <a:schemeClr val="accent3">
              <a:alpha val="85000"/>
            </a:schemeClr>
          </a:solidFill>
          <a:ln w="9525" cap="flat" cmpd="sng" algn="ctr">
            <a:solidFill>
              <a:schemeClr val="lt1">
                <a:alpha val="50000"/>
              </a:schemeClr>
            </a:solidFill>
            <a:round/>
          </a:ln>
          <a:effectLst/>
        </c:spPr>
        <c:marker>
          <c:symbol val="circle"/>
          <c:size val="6"/>
          <c:spPr>
            <a:solidFill>
              <a:schemeClr val="accent3">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A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A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AR"/>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TB_Distribucion!$B$7</c:f>
              <c:strCache>
                <c:ptCount val="1"/>
                <c:pt idx="0">
                  <c:v>Total</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A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TB_Distribucion!$A$8:$A$14</c:f>
              <c:strCache>
                <c:ptCount val="6"/>
                <c:pt idx="0">
                  <c:v>Electronic</c:v>
                </c:pt>
                <c:pt idx="1">
                  <c:v>Gaming</c:v>
                </c:pt>
                <c:pt idx="2">
                  <c:v>Hip-Hop</c:v>
                </c:pt>
                <c:pt idx="3">
                  <c:v>Latin</c:v>
                </c:pt>
                <c:pt idx="4">
                  <c:v>Pop</c:v>
                </c:pt>
                <c:pt idx="5">
                  <c:v>Rock</c:v>
                </c:pt>
              </c:strCache>
            </c:strRef>
          </c:cat>
          <c:val>
            <c:numRef>
              <c:f>TB_Distribucion!$B$8:$B$14</c:f>
              <c:numCache>
                <c:formatCode>General</c:formatCode>
                <c:ptCount val="6"/>
                <c:pt idx="0">
                  <c:v>148</c:v>
                </c:pt>
                <c:pt idx="1">
                  <c:v>100</c:v>
                </c:pt>
                <c:pt idx="2">
                  <c:v>227</c:v>
                </c:pt>
                <c:pt idx="3">
                  <c:v>184</c:v>
                </c:pt>
                <c:pt idx="4">
                  <c:v>357</c:v>
                </c:pt>
                <c:pt idx="5">
                  <c:v>235</c:v>
                </c:pt>
              </c:numCache>
            </c:numRef>
          </c:val>
          <c:extLst>
            <c:ext xmlns:c16="http://schemas.microsoft.com/office/drawing/2014/chart" uri="{C3380CC4-5D6E-409C-BE32-E72D297353CC}">
              <c16:uniqueId val="{00000000-7D02-8E4A-9C0A-F6A7997BB409}"/>
            </c:ext>
          </c:extLst>
        </c:ser>
        <c:dLbls>
          <c:dLblPos val="inEnd"/>
          <c:showLegendKey val="0"/>
          <c:showVal val="1"/>
          <c:showCatName val="0"/>
          <c:showSerName val="0"/>
          <c:showPercent val="0"/>
          <c:showBubbleSize val="0"/>
        </c:dLbls>
        <c:gapWidth val="65"/>
        <c:axId val="2139340224"/>
        <c:axId val="2013435312"/>
      </c:barChart>
      <c:catAx>
        <c:axId val="213934022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AR"/>
          </a:p>
        </c:txPr>
        <c:crossAx val="2013435312"/>
        <c:crosses val="autoZero"/>
        <c:auto val="1"/>
        <c:lblAlgn val="ctr"/>
        <c:lblOffset val="100"/>
        <c:noMultiLvlLbl val="0"/>
      </c:catAx>
      <c:valAx>
        <c:axId val="201343531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21393402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A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5"/>
    </mc:Choice>
    <mc:Fallback>
      <c:style val="5"/>
    </mc:Fallback>
  </mc:AlternateContent>
  <c:pivotSource>
    <c:name>[ProyectoFinal_Florin.xlsx]TB_Distribucion!TablaDinámica6</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de Canciones por Subgenero</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AR"/>
        </a:p>
      </c:txPr>
    </c:title>
    <c:autoTitleDeleted val="0"/>
    <c:pivotFmts>
      <c:pivotFmt>
        <c:idx val="0"/>
        <c:spPr>
          <a:solidFill>
            <a:schemeClr val="accent3">
              <a:alpha val="85000"/>
            </a:schemeClr>
          </a:solidFill>
          <a:ln w="9525" cap="flat" cmpd="sng" algn="ctr">
            <a:solidFill>
              <a:schemeClr val="lt1">
                <a:alpha val="50000"/>
              </a:schemeClr>
            </a:solidFill>
            <a:round/>
          </a:ln>
          <a:effectLst/>
        </c:spPr>
        <c:marker>
          <c:symbol val="circle"/>
          <c:size val="6"/>
          <c:spPr>
            <a:solidFill>
              <a:schemeClr val="accent3">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A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A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AR"/>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TB_Distribucion!$E$7</c:f>
              <c:strCache>
                <c:ptCount val="1"/>
                <c:pt idx="0">
                  <c:v>Total</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A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TB_Distribucion!$D$8:$D$12</c:f>
              <c:strCache>
                <c:ptCount val="4"/>
                <c:pt idx="0">
                  <c:v>Classic</c:v>
                </c:pt>
                <c:pt idx="1">
                  <c:v>Modern</c:v>
                </c:pt>
                <c:pt idx="2">
                  <c:v>Reggaeton</c:v>
                </c:pt>
                <c:pt idx="3">
                  <c:v>Throwback</c:v>
                </c:pt>
              </c:strCache>
            </c:strRef>
          </c:cat>
          <c:val>
            <c:numRef>
              <c:f>TB_Distribucion!$E$8:$E$12</c:f>
              <c:numCache>
                <c:formatCode>General</c:formatCode>
                <c:ptCount val="4"/>
                <c:pt idx="0">
                  <c:v>162</c:v>
                </c:pt>
                <c:pt idx="1">
                  <c:v>356</c:v>
                </c:pt>
                <c:pt idx="2">
                  <c:v>101</c:v>
                </c:pt>
                <c:pt idx="3">
                  <c:v>150</c:v>
                </c:pt>
              </c:numCache>
            </c:numRef>
          </c:val>
          <c:extLst>
            <c:ext xmlns:c16="http://schemas.microsoft.com/office/drawing/2014/chart" uri="{C3380CC4-5D6E-409C-BE32-E72D297353CC}">
              <c16:uniqueId val="{00000000-A79F-1541-987F-11B24F700AE4}"/>
            </c:ext>
          </c:extLst>
        </c:ser>
        <c:dLbls>
          <c:dLblPos val="inEnd"/>
          <c:showLegendKey val="0"/>
          <c:showVal val="1"/>
          <c:showCatName val="0"/>
          <c:showSerName val="0"/>
          <c:showPercent val="0"/>
          <c:showBubbleSize val="0"/>
        </c:dLbls>
        <c:gapWidth val="65"/>
        <c:axId val="46041519"/>
        <c:axId val="1047063903"/>
      </c:barChart>
      <c:catAx>
        <c:axId val="4604151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AR"/>
          </a:p>
        </c:txPr>
        <c:crossAx val="1047063903"/>
        <c:crosses val="autoZero"/>
        <c:auto val="1"/>
        <c:lblAlgn val="ctr"/>
        <c:lblOffset val="100"/>
        <c:noMultiLvlLbl val="0"/>
      </c:catAx>
      <c:valAx>
        <c:axId val="104706390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460415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A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5"/>
    </mc:Choice>
    <mc:Fallback>
      <c:style val="5"/>
    </mc:Fallback>
  </mc:AlternateContent>
  <c:pivotSource>
    <c:name>[ProyectoFinal_Florin.xlsx]TB_Distribucion!TablaDinámica3</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de Canciones por Playlist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AR"/>
        </a:p>
      </c:txPr>
    </c:title>
    <c:autoTitleDeleted val="0"/>
    <c:pivotFmts>
      <c:pivotFmt>
        <c:idx val="0"/>
        <c:spPr>
          <a:solidFill>
            <a:schemeClr val="accent3">
              <a:alpha val="85000"/>
            </a:schemeClr>
          </a:solidFill>
          <a:ln w="9525" cap="flat" cmpd="sng" algn="ctr">
            <a:solidFill>
              <a:schemeClr val="lt1">
                <a:alpha val="50000"/>
              </a:schemeClr>
            </a:solidFill>
            <a:round/>
          </a:ln>
          <a:effectLst/>
        </c:spPr>
        <c:marker>
          <c:symbol val="circle"/>
          <c:size val="6"/>
          <c:spPr>
            <a:solidFill>
              <a:schemeClr val="accent3">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A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A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AR"/>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TB_Distribucion!$H$7</c:f>
              <c:strCache>
                <c:ptCount val="1"/>
                <c:pt idx="0">
                  <c:v>Total</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A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TB_Distribucion!$G$8:$G$13</c:f>
              <c:strCache>
                <c:ptCount val="5"/>
                <c:pt idx="0">
                  <c:v>EDM Hits</c:v>
                </c:pt>
                <c:pt idx="1">
                  <c:v>Reggaeton Hits</c:v>
                </c:pt>
                <c:pt idx="2">
                  <c:v>Rock Classics</c:v>
                </c:pt>
                <c:pt idx="3">
                  <c:v>Throwback Party</c:v>
                </c:pt>
                <c:pt idx="4">
                  <c:v>Top Gaming Tracks</c:v>
                </c:pt>
              </c:strCache>
            </c:strRef>
          </c:cat>
          <c:val>
            <c:numRef>
              <c:f>TB_Distribucion!$H$8:$H$13</c:f>
              <c:numCache>
                <c:formatCode>General</c:formatCode>
                <c:ptCount val="5"/>
                <c:pt idx="0">
                  <c:v>60</c:v>
                </c:pt>
                <c:pt idx="1">
                  <c:v>101</c:v>
                </c:pt>
                <c:pt idx="2">
                  <c:v>91</c:v>
                </c:pt>
                <c:pt idx="3">
                  <c:v>150</c:v>
                </c:pt>
                <c:pt idx="4">
                  <c:v>100</c:v>
                </c:pt>
              </c:numCache>
            </c:numRef>
          </c:val>
          <c:extLst>
            <c:ext xmlns:c16="http://schemas.microsoft.com/office/drawing/2014/chart" uri="{C3380CC4-5D6E-409C-BE32-E72D297353CC}">
              <c16:uniqueId val="{00000000-7186-4F41-A9FE-03983E013A44}"/>
            </c:ext>
          </c:extLst>
        </c:ser>
        <c:dLbls>
          <c:dLblPos val="inEnd"/>
          <c:showLegendKey val="0"/>
          <c:showVal val="1"/>
          <c:showCatName val="0"/>
          <c:showSerName val="0"/>
          <c:showPercent val="0"/>
          <c:showBubbleSize val="0"/>
        </c:dLbls>
        <c:gapWidth val="65"/>
        <c:axId val="1064026111"/>
        <c:axId val="1757933903"/>
      </c:barChart>
      <c:catAx>
        <c:axId val="106402611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AR"/>
          </a:p>
        </c:txPr>
        <c:crossAx val="1757933903"/>
        <c:crosses val="autoZero"/>
        <c:auto val="1"/>
        <c:lblAlgn val="ctr"/>
        <c:lblOffset val="100"/>
        <c:noMultiLvlLbl val="0"/>
      </c:catAx>
      <c:valAx>
        <c:axId val="175793390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0640261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A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En</a:t>
            </a:r>
            <a:r>
              <a:rPr lang="en-US" baseline="0"/>
              <a:t> que año fueron lanzadas las canciones mas escuchadas? </a:t>
            </a:r>
            <a:endParaRPr lang="en-US"/>
          </a:p>
        </c:rich>
      </c:tx>
      <c:layout>
        <c:manualLayout>
          <c:xMode val="edge"/>
          <c:yMode val="edge"/>
          <c:x val="0.27600891404463973"/>
          <c:y val="3.2407407407407406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8575" cap="rnd" cmpd="sng" algn="ctr">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230370992291772E-2"/>
          <c:y val="0.17125623702060788"/>
          <c:w val="0.92100045515576623"/>
          <c:h val="0.61350088441082995"/>
        </c:manualLayout>
      </c:layout>
      <c:lineChart>
        <c:grouping val="standard"/>
        <c:varyColors val="0"/>
        <c:ser>
          <c:idx val="0"/>
          <c:order val="0"/>
          <c:tx>
            <c:v>Total</c:v>
          </c:tx>
          <c:spPr>
            <a:ln w="22225" cap="rnd" cmpd="sng" algn="ctr">
              <a:solidFill>
                <a:schemeClr val="accent1"/>
              </a:solidFill>
              <a:round/>
            </a:ln>
            <a:effectLst/>
          </c:spPr>
          <c:marker>
            <c:symbol val="none"/>
          </c:marker>
          <c:dLbls>
            <c:delete val="1"/>
          </c:dLbls>
          <c:cat>
            <c:strLit>
              <c:ptCount val="66"/>
              <c:pt idx="0">
                <c:v>&lt;23/5/05</c:v>
              </c:pt>
              <c:pt idx="1">
                <c:v>1905</c:v>
              </c:pt>
              <c:pt idx="2">
                <c:v>1954</c:v>
              </c:pt>
              <c:pt idx="3">
                <c:v>1957</c:v>
              </c:pt>
              <c:pt idx="4">
                <c:v>1962</c:v>
              </c:pt>
              <c:pt idx="5">
                <c:v>1964</c:v>
              </c:pt>
              <c:pt idx="6">
                <c:v>1965</c:v>
              </c:pt>
              <c:pt idx="7">
                <c:v>1966</c:v>
              </c:pt>
              <c:pt idx="8">
                <c:v>1967</c:v>
              </c:pt>
              <c:pt idx="9">
                <c:v>1968</c:v>
              </c:pt>
              <c:pt idx="10">
                <c:v>1969</c:v>
              </c:pt>
              <c:pt idx="11">
                <c:v>1970</c:v>
              </c:pt>
              <c:pt idx="12">
                <c:v>1971</c:v>
              </c:pt>
              <c:pt idx="13">
                <c:v>1972</c:v>
              </c:pt>
              <c:pt idx="14">
                <c:v>1973</c:v>
              </c:pt>
              <c:pt idx="15">
                <c:v>1974</c:v>
              </c:pt>
              <c:pt idx="16">
                <c:v>1975</c:v>
              </c:pt>
              <c:pt idx="17">
                <c:v>1976</c:v>
              </c:pt>
              <c:pt idx="18">
                <c:v>1977</c:v>
              </c:pt>
              <c:pt idx="19">
                <c:v>1978</c:v>
              </c:pt>
              <c:pt idx="20">
                <c:v>1979</c:v>
              </c:pt>
              <c:pt idx="21">
                <c:v>1980</c:v>
              </c:pt>
              <c:pt idx="22">
                <c:v>1981</c:v>
              </c:pt>
              <c:pt idx="23">
                <c:v>1982</c:v>
              </c:pt>
              <c:pt idx="24">
                <c:v>1983</c:v>
              </c:pt>
              <c:pt idx="25">
                <c:v>1984</c:v>
              </c:pt>
              <c:pt idx="26">
                <c:v>1985</c:v>
              </c:pt>
              <c:pt idx="27">
                <c:v>1986</c:v>
              </c:pt>
              <c:pt idx="28">
                <c:v>1987</c:v>
              </c:pt>
              <c:pt idx="29">
                <c:v>1988</c:v>
              </c:pt>
              <c:pt idx="30">
                <c:v>1989</c:v>
              </c:pt>
              <c:pt idx="31">
                <c:v>1990</c:v>
              </c:pt>
              <c:pt idx="32">
                <c:v>1991</c:v>
              </c:pt>
              <c:pt idx="33">
                <c:v>1992</c:v>
              </c:pt>
              <c:pt idx="34">
                <c:v>1993</c:v>
              </c:pt>
              <c:pt idx="35">
                <c:v>1994</c:v>
              </c:pt>
              <c:pt idx="36">
                <c:v>1995</c:v>
              </c:pt>
              <c:pt idx="37">
                <c:v>1996</c:v>
              </c:pt>
              <c:pt idx="38">
                <c:v>1997</c:v>
              </c:pt>
              <c:pt idx="39">
                <c:v>1998</c:v>
              </c:pt>
              <c:pt idx="40">
                <c:v>1999</c:v>
              </c:pt>
              <c:pt idx="41">
                <c:v>2000</c:v>
              </c:pt>
              <c:pt idx="42">
                <c:v>2001</c:v>
              </c:pt>
              <c:pt idx="43">
                <c:v>2002</c:v>
              </c:pt>
              <c:pt idx="44">
                <c:v>2003</c:v>
              </c:pt>
              <c:pt idx="45">
                <c:v>2004</c:v>
              </c:pt>
              <c:pt idx="46">
                <c:v>2005</c:v>
              </c:pt>
              <c:pt idx="47">
                <c:v>2006</c:v>
              </c:pt>
              <c:pt idx="48">
                <c:v>2007</c:v>
              </c:pt>
              <c:pt idx="49">
                <c:v>2008</c:v>
              </c:pt>
              <c:pt idx="50">
                <c:v>2009</c:v>
              </c:pt>
              <c:pt idx="51">
                <c:v>2010</c:v>
              </c:pt>
              <c:pt idx="52">
                <c:v>2011</c:v>
              </c:pt>
              <c:pt idx="53">
                <c:v>2012</c:v>
              </c:pt>
              <c:pt idx="54">
                <c:v>2013</c:v>
              </c:pt>
              <c:pt idx="55">
                <c:v>2014</c:v>
              </c:pt>
              <c:pt idx="56">
                <c:v>2015</c:v>
              </c:pt>
              <c:pt idx="57">
                <c:v>2016</c:v>
              </c:pt>
              <c:pt idx="58">
                <c:v>2017</c:v>
              </c:pt>
              <c:pt idx="59">
                <c:v>2018</c:v>
              </c:pt>
              <c:pt idx="60">
                <c:v>2019</c:v>
              </c:pt>
              <c:pt idx="61">
                <c:v>2020</c:v>
              </c:pt>
              <c:pt idx="62">
                <c:v>2021</c:v>
              </c:pt>
              <c:pt idx="63">
                <c:v>2022</c:v>
              </c:pt>
              <c:pt idx="64">
                <c:v>2023</c:v>
              </c:pt>
              <c:pt idx="65">
                <c:v>2024</c:v>
              </c:pt>
            </c:strLit>
          </c:cat>
          <c:val>
            <c:numLit>
              <c:formatCode>General</c:formatCode>
              <c:ptCount val="66"/>
              <c:pt idx="0">
                <c:v>340</c:v>
              </c:pt>
              <c:pt idx="1">
                <c:v>5720</c:v>
              </c:pt>
              <c:pt idx="2">
                <c:v>76</c:v>
              </c:pt>
              <c:pt idx="3">
                <c:v>72</c:v>
              </c:pt>
              <c:pt idx="4">
                <c:v>85</c:v>
              </c:pt>
              <c:pt idx="5">
                <c:v>73</c:v>
              </c:pt>
              <c:pt idx="6">
                <c:v>69</c:v>
              </c:pt>
              <c:pt idx="7">
                <c:v>138</c:v>
              </c:pt>
              <c:pt idx="8">
                <c:v>68</c:v>
              </c:pt>
              <c:pt idx="9">
                <c:v>68</c:v>
              </c:pt>
              <c:pt idx="10">
                <c:v>137</c:v>
              </c:pt>
              <c:pt idx="11">
                <c:v>70</c:v>
              </c:pt>
              <c:pt idx="12">
                <c:v>136</c:v>
              </c:pt>
              <c:pt idx="13">
                <c:v>447</c:v>
              </c:pt>
              <c:pt idx="14">
                <c:v>221</c:v>
              </c:pt>
              <c:pt idx="15">
                <c:v>69</c:v>
              </c:pt>
              <c:pt idx="16">
                <c:v>209</c:v>
              </c:pt>
              <c:pt idx="17">
                <c:v>293</c:v>
              </c:pt>
              <c:pt idx="18">
                <c:v>350</c:v>
              </c:pt>
              <c:pt idx="19">
                <c:v>373</c:v>
              </c:pt>
              <c:pt idx="20">
                <c:v>487</c:v>
              </c:pt>
              <c:pt idx="21">
                <c:v>759</c:v>
              </c:pt>
              <c:pt idx="22">
                <c:v>626</c:v>
              </c:pt>
              <c:pt idx="23">
                <c:v>514</c:v>
              </c:pt>
              <c:pt idx="24">
                <c:v>511</c:v>
              </c:pt>
              <c:pt idx="25">
                <c:v>1173</c:v>
              </c:pt>
              <c:pt idx="26">
                <c:v>527</c:v>
              </c:pt>
              <c:pt idx="27">
                <c:v>566</c:v>
              </c:pt>
              <c:pt idx="28">
                <c:v>551</c:v>
              </c:pt>
              <c:pt idx="29">
                <c:v>584</c:v>
              </c:pt>
              <c:pt idx="30">
                <c:v>444</c:v>
              </c:pt>
              <c:pt idx="31">
                <c:v>591</c:v>
              </c:pt>
              <c:pt idx="32">
                <c:v>851</c:v>
              </c:pt>
              <c:pt idx="33">
                <c:v>672</c:v>
              </c:pt>
              <c:pt idx="34">
                <c:v>881</c:v>
              </c:pt>
              <c:pt idx="35">
                <c:v>1084</c:v>
              </c:pt>
              <c:pt idx="36">
                <c:v>390</c:v>
              </c:pt>
              <c:pt idx="37">
                <c:v>685</c:v>
              </c:pt>
              <c:pt idx="38">
                <c:v>1322</c:v>
              </c:pt>
              <c:pt idx="39">
                <c:v>797</c:v>
              </c:pt>
              <c:pt idx="40">
                <c:v>1301</c:v>
              </c:pt>
              <c:pt idx="41">
                <c:v>696</c:v>
              </c:pt>
              <c:pt idx="42">
                <c:v>1606</c:v>
              </c:pt>
              <c:pt idx="43">
                <c:v>1706</c:v>
              </c:pt>
              <c:pt idx="44">
                <c:v>993</c:v>
              </c:pt>
              <c:pt idx="45">
                <c:v>1438</c:v>
              </c:pt>
              <c:pt idx="46">
                <c:v>1078</c:v>
              </c:pt>
              <c:pt idx="47">
                <c:v>1067</c:v>
              </c:pt>
              <c:pt idx="48">
                <c:v>1910</c:v>
              </c:pt>
              <c:pt idx="49">
                <c:v>1538</c:v>
              </c:pt>
              <c:pt idx="50">
                <c:v>1091</c:v>
              </c:pt>
              <c:pt idx="51">
                <c:v>2192</c:v>
              </c:pt>
              <c:pt idx="52">
                <c:v>1422</c:v>
              </c:pt>
              <c:pt idx="53">
                <c:v>2566</c:v>
              </c:pt>
              <c:pt idx="54">
                <c:v>2508</c:v>
              </c:pt>
              <c:pt idx="55">
                <c:v>3376</c:v>
              </c:pt>
              <c:pt idx="56">
                <c:v>2452</c:v>
              </c:pt>
              <c:pt idx="57">
                <c:v>3012</c:v>
              </c:pt>
              <c:pt idx="58">
                <c:v>3924</c:v>
              </c:pt>
              <c:pt idx="59">
                <c:v>4892</c:v>
              </c:pt>
              <c:pt idx="60">
                <c:v>5710</c:v>
              </c:pt>
              <c:pt idx="61">
                <c:v>5386</c:v>
              </c:pt>
              <c:pt idx="62">
                <c:v>4431</c:v>
              </c:pt>
              <c:pt idx="63">
                <c:v>8563</c:v>
              </c:pt>
              <c:pt idx="64">
                <c:v>10981</c:v>
              </c:pt>
              <c:pt idx="65">
                <c:v>28596</c:v>
              </c:pt>
            </c:numLit>
          </c:val>
          <c:smooth val="0"/>
          <c:extLst>
            <c:ext xmlns:c16="http://schemas.microsoft.com/office/drawing/2014/chart" uri="{C3380CC4-5D6E-409C-BE32-E72D297353CC}">
              <c16:uniqueId val="{00000000-F523-A64D-BD3F-EC1BE650EFBF}"/>
            </c:ext>
          </c:extLst>
        </c:ser>
        <c:dLbls>
          <c:dLblPos val="ctr"/>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196239680"/>
        <c:axId val="196241392"/>
      </c:lineChart>
      <c:catAx>
        <c:axId val="196239680"/>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s-AR"/>
          </a:p>
        </c:txPr>
        <c:crossAx val="196241392"/>
        <c:crosses val="autoZero"/>
        <c:auto val="1"/>
        <c:lblAlgn val="ctr"/>
        <c:lblOffset val="100"/>
        <c:noMultiLvlLbl val="0"/>
      </c:catAx>
      <c:valAx>
        <c:axId val="1962413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s-AR"/>
          </a:p>
        </c:txPr>
        <c:crossAx val="196239680"/>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5"/>
    </mc:Choice>
    <mc:Fallback>
      <c:style val="5"/>
    </mc:Fallback>
  </mc:AlternateContent>
  <c:pivotSource>
    <c:name>[ProyectoFinal_Florin.xlsx]TB_Caracteristicas!TablaDinámica5</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de Popularidad por Tonalidad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AR"/>
        </a:p>
      </c:txPr>
    </c:title>
    <c:autoTitleDeleted val="0"/>
    <c:pivotFmts>
      <c:pivotFmt>
        <c:idx val="0"/>
        <c:spPr>
          <a:solidFill>
            <a:schemeClr val="accent3">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AR"/>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TB_Caracteristicas!$M$9</c:f>
              <c:strCache>
                <c:ptCount val="1"/>
                <c:pt idx="0">
                  <c:v>Total</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A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TB_Caracteristicas!$L$10:$L$22</c:f>
              <c:strCache>
                <c:ptCount val="12"/>
                <c:pt idx="0">
                  <c:v>0</c:v>
                </c:pt>
                <c:pt idx="1">
                  <c:v>1</c:v>
                </c:pt>
                <c:pt idx="2">
                  <c:v>2</c:v>
                </c:pt>
                <c:pt idx="3">
                  <c:v>3</c:v>
                </c:pt>
                <c:pt idx="4">
                  <c:v>4</c:v>
                </c:pt>
                <c:pt idx="5">
                  <c:v>5</c:v>
                </c:pt>
                <c:pt idx="6">
                  <c:v>6</c:v>
                </c:pt>
                <c:pt idx="7">
                  <c:v>7</c:v>
                </c:pt>
                <c:pt idx="8">
                  <c:v>8</c:v>
                </c:pt>
                <c:pt idx="9">
                  <c:v>9</c:v>
                </c:pt>
                <c:pt idx="10">
                  <c:v>10</c:v>
                </c:pt>
                <c:pt idx="11">
                  <c:v>11</c:v>
                </c:pt>
              </c:strCache>
            </c:strRef>
          </c:cat>
          <c:val>
            <c:numRef>
              <c:f>TB_Caracteristicas!$M$10:$M$22</c:f>
              <c:numCache>
                <c:formatCode>#,##0</c:formatCode>
                <c:ptCount val="12"/>
                <c:pt idx="0">
                  <c:v>11598</c:v>
                </c:pt>
                <c:pt idx="1">
                  <c:v>17104</c:v>
                </c:pt>
                <c:pt idx="2">
                  <c:v>11572</c:v>
                </c:pt>
                <c:pt idx="3">
                  <c:v>4062</c:v>
                </c:pt>
                <c:pt idx="4">
                  <c:v>9262</c:v>
                </c:pt>
                <c:pt idx="5">
                  <c:v>11538</c:v>
                </c:pt>
                <c:pt idx="6">
                  <c:v>10263</c:v>
                </c:pt>
                <c:pt idx="7">
                  <c:v>11475</c:v>
                </c:pt>
                <c:pt idx="8">
                  <c:v>8831</c:v>
                </c:pt>
                <c:pt idx="9">
                  <c:v>10210</c:v>
                </c:pt>
                <c:pt idx="10">
                  <c:v>8425</c:v>
                </c:pt>
                <c:pt idx="11">
                  <c:v>13124</c:v>
                </c:pt>
              </c:numCache>
            </c:numRef>
          </c:val>
          <c:extLst>
            <c:ext xmlns:c16="http://schemas.microsoft.com/office/drawing/2014/chart" uri="{C3380CC4-5D6E-409C-BE32-E72D297353CC}">
              <c16:uniqueId val="{00000000-6AB6-0C4F-8873-956B28833AFF}"/>
            </c:ext>
          </c:extLst>
        </c:ser>
        <c:dLbls>
          <c:dLblPos val="inEnd"/>
          <c:showLegendKey val="0"/>
          <c:showVal val="1"/>
          <c:showCatName val="0"/>
          <c:showSerName val="0"/>
          <c:showPercent val="0"/>
          <c:showBubbleSize val="0"/>
        </c:dLbls>
        <c:gapWidth val="65"/>
        <c:axId val="1980535311"/>
        <c:axId val="1980558079"/>
      </c:barChart>
      <c:catAx>
        <c:axId val="198053531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AR"/>
          </a:p>
        </c:txPr>
        <c:crossAx val="1980558079"/>
        <c:crosses val="autoZero"/>
        <c:auto val="1"/>
        <c:lblAlgn val="ctr"/>
        <c:lblOffset val="100"/>
        <c:noMultiLvlLbl val="0"/>
      </c:catAx>
      <c:valAx>
        <c:axId val="1980558079"/>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19805353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A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5"/>
    </mc:Choice>
    <mc:Fallback>
      <c:style val="5"/>
    </mc:Fallback>
  </mc:AlternateContent>
  <c:pivotSource>
    <c:name>[ProyectoFinal_Florin.xlsx]TB_Caracteristicas!TablaDinámica6</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de Popularidad por Modo</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AR"/>
        </a:p>
      </c:txPr>
    </c:title>
    <c:autoTitleDeleted val="0"/>
    <c:pivotFmts>
      <c:pivotFmt>
        <c:idx val="0"/>
        <c:spPr>
          <a:solidFill>
            <a:schemeClr val="accent3">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AR"/>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TB_Caracteristicas!$M$27</c:f>
              <c:strCache>
                <c:ptCount val="1"/>
                <c:pt idx="0">
                  <c:v>Total</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A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TB_Caracteristicas!$L$28:$L$30</c:f>
              <c:strCache>
                <c:ptCount val="2"/>
                <c:pt idx="0">
                  <c:v>0</c:v>
                </c:pt>
                <c:pt idx="1">
                  <c:v>1</c:v>
                </c:pt>
              </c:strCache>
            </c:strRef>
          </c:cat>
          <c:val>
            <c:numRef>
              <c:f>TB_Caracteristicas!$M$28:$M$30</c:f>
              <c:numCache>
                <c:formatCode>#,##0</c:formatCode>
                <c:ptCount val="2"/>
                <c:pt idx="0">
                  <c:v>53620</c:v>
                </c:pt>
                <c:pt idx="1">
                  <c:v>73844</c:v>
                </c:pt>
              </c:numCache>
            </c:numRef>
          </c:val>
          <c:extLst>
            <c:ext xmlns:c16="http://schemas.microsoft.com/office/drawing/2014/chart" uri="{C3380CC4-5D6E-409C-BE32-E72D297353CC}">
              <c16:uniqueId val="{00000000-C107-DA4C-AE50-5827AE3C0647}"/>
            </c:ext>
          </c:extLst>
        </c:ser>
        <c:dLbls>
          <c:dLblPos val="inEnd"/>
          <c:showLegendKey val="0"/>
          <c:showVal val="1"/>
          <c:showCatName val="0"/>
          <c:showSerName val="0"/>
          <c:showPercent val="0"/>
          <c:showBubbleSize val="0"/>
        </c:dLbls>
        <c:gapWidth val="65"/>
        <c:axId val="775145135"/>
        <c:axId val="46039376"/>
      </c:barChart>
      <c:catAx>
        <c:axId val="77514513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AR"/>
          </a:p>
        </c:txPr>
        <c:crossAx val="46039376"/>
        <c:crosses val="autoZero"/>
        <c:auto val="1"/>
        <c:lblAlgn val="ctr"/>
        <c:lblOffset val="100"/>
        <c:noMultiLvlLbl val="0"/>
      </c:catAx>
      <c:valAx>
        <c:axId val="4603937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7751451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A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5"/>
    </mc:Choice>
    <mc:Fallback>
      <c:style val="5"/>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AR"/>
        </a:p>
      </c:txPr>
    </c:title>
    <c:autoTitleDeleted val="0"/>
    <c:plotArea>
      <c:layout/>
      <c:barChart>
        <c:barDir val="bar"/>
        <c:grouping val="clustered"/>
        <c:varyColors val="0"/>
        <c:ser>
          <c:idx val="0"/>
          <c:order val="0"/>
          <c:tx>
            <c:strRef>
              <c:f>TB_Caracteristicas!$M$3</c:f>
              <c:strCache>
                <c:ptCount val="1"/>
                <c:pt idx="0">
                  <c:v>Promedios de todas las canciones</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A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TB_Caracteristicas!$L$4:$L$8</c:f>
              <c:strCache>
                <c:ptCount val="4"/>
                <c:pt idx="0">
                  <c:v>Energy</c:v>
                </c:pt>
                <c:pt idx="1">
                  <c:v>Danceability</c:v>
                </c:pt>
                <c:pt idx="2">
                  <c:v>Acousticness</c:v>
                </c:pt>
                <c:pt idx="3">
                  <c:v>Valence</c:v>
                </c:pt>
              </c:strCache>
            </c:strRef>
          </c:cat>
          <c:val>
            <c:numRef>
              <c:f>TB_Caracteristicas!$M$4:$M$8</c:f>
              <c:numCache>
                <c:formatCode>0%</c:formatCode>
                <c:ptCount val="5"/>
                <c:pt idx="0">
                  <c:v>0.66718020334928163</c:v>
                </c:pt>
                <c:pt idx="1">
                  <c:v>0.65009629186602835</c:v>
                </c:pt>
                <c:pt idx="2">
                  <c:v>0.22162031309808583</c:v>
                </c:pt>
                <c:pt idx="3">
                  <c:v>0.52491315789473625</c:v>
                </c:pt>
              </c:numCache>
            </c:numRef>
          </c:val>
          <c:extLst>
            <c:ext xmlns:c16="http://schemas.microsoft.com/office/drawing/2014/chart" uri="{C3380CC4-5D6E-409C-BE32-E72D297353CC}">
              <c16:uniqueId val="{00000000-9C74-4144-A85F-D5872CE06E50}"/>
            </c:ext>
          </c:extLst>
        </c:ser>
        <c:dLbls>
          <c:dLblPos val="inEnd"/>
          <c:showLegendKey val="0"/>
          <c:showVal val="1"/>
          <c:showCatName val="0"/>
          <c:showSerName val="0"/>
          <c:showPercent val="0"/>
          <c:showBubbleSize val="0"/>
        </c:dLbls>
        <c:gapWidth val="65"/>
        <c:axId val="1549607823"/>
        <c:axId val="1546449167"/>
      </c:barChart>
      <c:catAx>
        <c:axId val="154960782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AR"/>
          </a:p>
        </c:txPr>
        <c:crossAx val="1546449167"/>
        <c:crosses val="autoZero"/>
        <c:auto val="1"/>
        <c:lblAlgn val="ctr"/>
        <c:lblOffset val="100"/>
        <c:noMultiLvlLbl val="0"/>
      </c:catAx>
      <c:valAx>
        <c:axId val="154644916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AR"/>
          </a:p>
        </c:txPr>
        <c:crossAx val="1549607823"/>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A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En</a:t>
            </a:r>
            <a:r>
              <a:rPr lang="en-US" baseline="0"/>
              <a:t> que año fueron lanzadas las canciones mas escuchadas? </a:t>
            </a:r>
            <a:endParaRPr lang="en-US"/>
          </a:p>
        </c:rich>
      </c:tx>
      <c:layout>
        <c:manualLayout>
          <c:xMode val="edge"/>
          <c:yMode val="edge"/>
          <c:x val="0.27600891404463973"/>
          <c:y val="3.2407407407407406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8575" cap="rnd" cmpd="sng" algn="ctr">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2225" cap="rnd" cmpd="sng" algn="ctr">
              <a:solidFill>
                <a:schemeClr val="accent1"/>
              </a:solidFill>
              <a:round/>
            </a:ln>
            <a:effectLst/>
          </c:spPr>
          <c:marker>
            <c:symbol val="none"/>
          </c:marker>
          <c:dLbls>
            <c:delete val="1"/>
          </c:dLbls>
          <c:cat>
            <c:strLit>
              <c:ptCount val="66"/>
              <c:pt idx="0">
                <c:v>&lt;23/5/05</c:v>
              </c:pt>
              <c:pt idx="1">
                <c:v>1905</c:v>
              </c:pt>
              <c:pt idx="2">
                <c:v>1954</c:v>
              </c:pt>
              <c:pt idx="3">
                <c:v>1957</c:v>
              </c:pt>
              <c:pt idx="4">
                <c:v>1962</c:v>
              </c:pt>
              <c:pt idx="5">
                <c:v>1964</c:v>
              </c:pt>
              <c:pt idx="6">
                <c:v>1965</c:v>
              </c:pt>
              <c:pt idx="7">
                <c:v>1966</c:v>
              </c:pt>
              <c:pt idx="8">
                <c:v>1967</c:v>
              </c:pt>
              <c:pt idx="9">
                <c:v>1968</c:v>
              </c:pt>
              <c:pt idx="10">
                <c:v>1969</c:v>
              </c:pt>
              <c:pt idx="11">
                <c:v>1970</c:v>
              </c:pt>
              <c:pt idx="12">
                <c:v>1971</c:v>
              </c:pt>
              <c:pt idx="13">
                <c:v>1972</c:v>
              </c:pt>
              <c:pt idx="14">
                <c:v>1973</c:v>
              </c:pt>
              <c:pt idx="15">
                <c:v>1974</c:v>
              </c:pt>
              <c:pt idx="16">
                <c:v>1975</c:v>
              </c:pt>
              <c:pt idx="17">
                <c:v>1976</c:v>
              </c:pt>
              <c:pt idx="18">
                <c:v>1977</c:v>
              </c:pt>
              <c:pt idx="19">
                <c:v>1978</c:v>
              </c:pt>
              <c:pt idx="20">
                <c:v>1979</c:v>
              </c:pt>
              <c:pt idx="21">
                <c:v>1980</c:v>
              </c:pt>
              <c:pt idx="22">
                <c:v>1981</c:v>
              </c:pt>
              <c:pt idx="23">
                <c:v>1982</c:v>
              </c:pt>
              <c:pt idx="24">
                <c:v>1983</c:v>
              </c:pt>
              <c:pt idx="25">
                <c:v>1984</c:v>
              </c:pt>
              <c:pt idx="26">
                <c:v>1985</c:v>
              </c:pt>
              <c:pt idx="27">
                <c:v>1986</c:v>
              </c:pt>
              <c:pt idx="28">
                <c:v>1987</c:v>
              </c:pt>
              <c:pt idx="29">
                <c:v>1988</c:v>
              </c:pt>
              <c:pt idx="30">
                <c:v>1989</c:v>
              </c:pt>
              <c:pt idx="31">
                <c:v>1990</c:v>
              </c:pt>
              <c:pt idx="32">
                <c:v>1991</c:v>
              </c:pt>
              <c:pt idx="33">
                <c:v>1992</c:v>
              </c:pt>
              <c:pt idx="34">
                <c:v>1993</c:v>
              </c:pt>
              <c:pt idx="35">
                <c:v>1994</c:v>
              </c:pt>
              <c:pt idx="36">
                <c:v>1995</c:v>
              </c:pt>
              <c:pt idx="37">
                <c:v>1996</c:v>
              </c:pt>
              <c:pt idx="38">
                <c:v>1997</c:v>
              </c:pt>
              <c:pt idx="39">
                <c:v>1998</c:v>
              </c:pt>
              <c:pt idx="40">
                <c:v>1999</c:v>
              </c:pt>
              <c:pt idx="41">
                <c:v>2000</c:v>
              </c:pt>
              <c:pt idx="42">
                <c:v>2001</c:v>
              </c:pt>
              <c:pt idx="43">
                <c:v>2002</c:v>
              </c:pt>
              <c:pt idx="44">
                <c:v>2003</c:v>
              </c:pt>
              <c:pt idx="45">
                <c:v>2004</c:v>
              </c:pt>
              <c:pt idx="46">
                <c:v>2005</c:v>
              </c:pt>
              <c:pt idx="47">
                <c:v>2006</c:v>
              </c:pt>
              <c:pt idx="48">
                <c:v>2007</c:v>
              </c:pt>
              <c:pt idx="49">
                <c:v>2008</c:v>
              </c:pt>
              <c:pt idx="50">
                <c:v>2009</c:v>
              </c:pt>
              <c:pt idx="51">
                <c:v>2010</c:v>
              </c:pt>
              <c:pt idx="52">
                <c:v>2011</c:v>
              </c:pt>
              <c:pt idx="53">
                <c:v>2012</c:v>
              </c:pt>
              <c:pt idx="54">
                <c:v>2013</c:v>
              </c:pt>
              <c:pt idx="55">
                <c:v>2014</c:v>
              </c:pt>
              <c:pt idx="56">
                <c:v>2015</c:v>
              </c:pt>
              <c:pt idx="57">
                <c:v>2016</c:v>
              </c:pt>
              <c:pt idx="58">
                <c:v>2017</c:v>
              </c:pt>
              <c:pt idx="59">
                <c:v>2018</c:v>
              </c:pt>
              <c:pt idx="60">
                <c:v>2019</c:v>
              </c:pt>
              <c:pt idx="61">
                <c:v>2020</c:v>
              </c:pt>
              <c:pt idx="62">
                <c:v>2021</c:v>
              </c:pt>
              <c:pt idx="63">
                <c:v>2022</c:v>
              </c:pt>
              <c:pt idx="64">
                <c:v>2023</c:v>
              </c:pt>
              <c:pt idx="65">
                <c:v>2024</c:v>
              </c:pt>
            </c:strLit>
          </c:cat>
          <c:val>
            <c:numLit>
              <c:formatCode>General</c:formatCode>
              <c:ptCount val="66"/>
              <c:pt idx="0">
                <c:v>340</c:v>
              </c:pt>
              <c:pt idx="1">
                <c:v>5720</c:v>
              </c:pt>
              <c:pt idx="2">
                <c:v>76</c:v>
              </c:pt>
              <c:pt idx="3">
                <c:v>72</c:v>
              </c:pt>
              <c:pt idx="4">
                <c:v>85</c:v>
              </c:pt>
              <c:pt idx="5">
                <c:v>73</c:v>
              </c:pt>
              <c:pt idx="6">
                <c:v>69</c:v>
              </c:pt>
              <c:pt idx="7">
                <c:v>138</c:v>
              </c:pt>
              <c:pt idx="8">
                <c:v>68</c:v>
              </c:pt>
              <c:pt idx="9">
                <c:v>68</c:v>
              </c:pt>
              <c:pt idx="10">
                <c:v>137</c:v>
              </c:pt>
              <c:pt idx="11">
                <c:v>70</c:v>
              </c:pt>
              <c:pt idx="12">
                <c:v>136</c:v>
              </c:pt>
              <c:pt idx="13">
                <c:v>447</c:v>
              </c:pt>
              <c:pt idx="14">
                <c:v>221</c:v>
              </c:pt>
              <c:pt idx="15">
                <c:v>69</c:v>
              </c:pt>
              <c:pt idx="16">
                <c:v>209</c:v>
              </c:pt>
              <c:pt idx="17">
                <c:v>293</c:v>
              </c:pt>
              <c:pt idx="18">
                <c:v>350</c:v>
              </c:pt>
              <c:pt idx="19">
                <c:v>373</c:v>
              </c:pt>
              <c:pt idx="20">
                <c:v>487</c:v>
              </c:pt>
              <c:pt idx="21">
                <c:v>759</c:v>
              </c:pt>
              <c:pt idx="22">
                <c:v>626</c:v>
              </c:pt>
              <c:pt idx="23">
                <c:v>514</c:v>
              </c:pt>
              <c:pt idx="24">
                <c:v>511</c:v>
              </c:pt>
              <c:pt idx="25">
                <c:v>1173</c:v>
              </c:pt>
              <c:pt idx="26">
                <c:v>527</c:v>
              </c:pt>
              <c:pt idx="27">
                <c:v>566</c:v>
              </c:pt>
              <c:pt idx="28">
                <c:v>551</c:v>
              </c:pt>
              <c:pt idx="29">
                <c:v>584</c:v>
              </c:pt>
              <c:pt idx="30">
                <c:v>444</c:v>
              </c:pt>
              <c:pt idx="31">
                <c:v>591</c:v>
              </c:pt>
              <c:pt idx="32">
                <c:v>851</c:v>
              </c:pt>
              <c:pt idx="33">
                <c:v>672</c:v>
              </c:pt>
              <c:pt idx="34">
                <c:v>881</c:v>
              </c:pt>
              <c:pt idx="35">
                <c:v>1084</c:v>
              </c:pt>
              <c:pt idx="36">
                <c:v>390</c:v>
              </c:pt>
              <c:pt idx="37">
                <c:v>685</c:v>
              </c:pt>
              <c:pt idx="38">
                <c:v>1322</c:v>
              </c:pt>
              <c:pt idx="39">
                <c:v>797</c:v>
              </c:pt>
              <c:pt idx="40">
                <c:v>1301</c:v>
              </c:pt>
              <c:pt idx="41">
                <c:v>696</c:v>
              </c:pt>
              <c:pt idx="42">
                <c:v>1606</c:v>
              </c:pt>
              <c:pt idx="43">
                <c:v>1706</c:v>
              </c:pt>
              <c:pt idx="44">
                <c:v>993</c:v>
              </c:pt>
              <c:pt idx="45">
                <c:v>1438</c:v>
              </c:pt>
              <c:pt idx="46">
                <c:v>1078</c:v>
              </c:pt>
              <c:pt idx="47">
                <c:v>1067</c:v>
              </c:pt>
              <c:pt idx="48">
                <c:v>1910</c:v>
              </c:pt>
              <c:pt idx="49">
                <c:v>1538</c:v>
              </c:pt>
              <c:pt idx="50">
                <c:v>1091</c:v>
              </c:pt>
              <c:pt idx="51">
                <c:v>2192</c:v>
              </c:pt>
              <c:pt idx="52">
                <c:v>1422</c:v>
              </c:pt>
              <c:pt idx="53">
                <c:v>2566</c:v>
              </c:pt>
              <c:pt idx="54">
                <c:v>2508</c:v>
              </c:pt>
              <c:pt idx="55">
                <c:v>3376</c:v>
              </c:pt>
              <c:pt idx="56">
                <c:v>2452</c:v>
              </c:pt>
              <c:pt idx="57">
                <c:v>3012</c:v>
              </c:pt>
              <c:pt idx="58">
                <c:v>3924</c:v>
              </c:pt>
              <c:pt idx="59">
                <c:v>4892</c:v>
              </c:pt>
              <c:pt idx="60">
                <c:v>5710</c:v>
              </c:pt>
              <c:pt idx="61">
                <c:v>5386</c:v>
              </c:pt>
              <c:pt idx="62">
                <c:v>4431</c:v>
              </c:pt>
              <c:pt idx="63">
                <c:v>8563</c:v>
              </c:pt>
              <c:pt idx="64">
                <c:v>10981</c:v>
              </c:pt>
              <c:pt idx="65">
                <c:v>28596</c:v>
              </c:pt>
            </c:numLit>
          </c:val>
          <c:smooth val="0"/>
          <c:extLst>
            <c:ext xmlns:c16="http://schemas.microsoft.com/office/drawing/2014/chart" uri="{C3380CC4-5D6E-409C-BE32-E72D297353CC}">
              <c16:uniqueId val="{00000002-173B-0346-8EF4-FD019039C532}"/>
            </c:ext>
          </c:extLst>
        </c:ser>
        <c:dLbls>
          <c:dLblPos val="ctr"/>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196239680"/>
        <c:axId val="196241392"/>
      </c:lineChart>
      <c:catAx>
        <c:axId val="196239680"/>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s-AR"/>
          </a:p>
        </c:txPr>
        <c:crossAx val="196241392"/>
        <c:crosses val="autoZero"/>
        <c:auto val="1"/>
        <c:lblAlgn val="ctr"/>
        <c:lblOffset val="100"/>
        <c:noMultiLvlLbl val="0"/>
      </c:catAx>
      <c:valAx>
        <c:axId val="1962413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s-AR"/>
          </a:p>
        </c:txPr>
        <c:crossAx val="196239680"/>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5"/>
    </mc:Choice>
    <mc:Fallback>
      <c:style val="5"/>
    </mc:Fallback>
  </mc:AlternateContent>
  <c:pivotSource>
    <c:name>[ProyectoFinal_Florin.xlsx]TB_Distribucion!TablaDinámica1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de Canciones por Genero</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AR"/>
        </a:p>
      </c:txPr>
    </c:title>
    <c:autoTitleDeleted val="0"/>
    <c:pivotFmts>
      <c:pivotFmt>
        <c:idx val="0"/>
        <c:spPr>
          <a:solidFill>
            <a:schemeClr val="accent3">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AR"/>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TB_Distribucion!$B$7</c:f>
              <c:strCache>
                <c:ptCount val="1"/>
                <c:pt idx="0">
                  <c:v>Total</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A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TB_Distribucion!$A$8:$A$14</c:f>
              <c:strCache>
                <c:ptCount val="6"/>
                <c:pt idx="0">
                  <c:v>Electronic</c:v>
                </c:pt>
                <c:pt idx="1">
                  <c:v>Gaming</c:v>
                </c:pt>
                <c:pt idx="2">
                  <c:v>Hip-Hop</c:v>
                </c:pt>
                <c:pt idx="3">
                  <c:v>Latin</c:v>
                </c:pt>
                <c:pt idx="4">
                  <c:v>Pop</c:v>
                </c:pt>
                <c:pt idx="5">
                  <c:v>Rock</c:v>
                </c:pt>
              </c:strCache>
            </c:strRef>
          </c:cat>
          <c:val>
            <c:numRef>
              <c:f>TB_Distribucion!$B$8:$B$14</c:f>
              <c:numCache>
                <c:formatCode>General</c:formatCode>
                <c:ptCount val="6"/>
                <c:pt idx="0">
                  <c:v>148</c:v>
                </c:pt>
                <c:pt idx="1">
                  <c:v>100</c:v>
                </c:pt>
                <c:pt idx="2">
                  <c:v>227</c:v>
                </c:pt>
                <c:pt idx="3">
                  <c:v>184</c:v>
                </c:pt>
                <c:pt idx="4">
                  <c:v>357</c:v>
                </c:pt>
                <c:pt idx="5">
                  <c:v>235</c:v>
                </c:pt>
              </c:numCache>
            </c:numRef>
          </c:val>
          <c:extLst>
            <c:ext xmlns:c16="http://schemas.microsoft.com/office/drawing/2014/chart" uri="{C3380CC4-5D6E-409C-BE32-E72D297353CC}">
              <c16:uniqueId val="{00000000-938B-5B41-A786-8B53139CC9B9}"/>
            </c:ext>
          </c:extLst>
        </c:ser>
        <c:dLbls>
          <c:dLblPos val="inEnd"/>
          <c:showLegendKey val="0"/>
          <c:showVal val="1"/>
          <c:showCatName val="0"/>
          <c:showSerName val="0"/>
          <c:showPercent val="0"/>
          <c:showBubbleSize val="0"/>
        </c:dLbls>
        <c:gapWidth val="65"/>
        <c:axId val="2139340224"/>
        <c:axId val="2013435312"/>
      </c:barChart>
      <c:catAx>
        <c:axId val="213934022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AR"/>
          </a:p>
        </c:txPr>
        <c:crossAx val="2013435312"/>
        <c:crosses val="autoZero"/>
        <c:auto val="1"/>
        <c:lblAlgn val="ctr"/>
        <c:lblOffset val="100"/>
        <c:noMultiLvlLbl val="0"/>
      </c:catAx>
      <c:valAx>
        <c:axId val="201343531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21393402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A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5"/>
    </mc:Choice>
    <mc:Fallback>
      <c:style val="5"/>
    </mc:Fallback>
  </mc:AlternateContent>
  <c:pivotSource>
    <c:name>[ProyectoFinal_Florin.xlsx]TB_Distribucion!TablaDinámica6</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de Canciones por Subgenero</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AR"/>
        </a:p>
      </c:txPr>
    </c:title>
    <c:autoTitleDeleted val="0"/>
    <c:pivotFmts>
      <c:pivotFmt>
        <c:idx val="0"/>
        <c:spPr>
          <a:solidFill>
            <a:schemeClr val="accent3">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AR"/>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TB_Distribucion!$E$7</c:f>
              <c:strCache>
                <c:ptCount val="1"/>
                <c:pt idx="0">
                  <c:v>Total</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A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TB_Distribucion!$D$8:$D$12</c:f>
              <c:strCache>
                <c:ptCount val="4"/>
                <c:pt idx="0">
                  <c:v>Classic</c:v>
                </c:pt>
                <c:pt idx="1">
                  <c:v>Modern</c:v>
                </c:pt>
                <c:pt idx="2">
                  <c:v>Reggaeton</c:v>
                </c:pt>
                <c:pt idx="3">
                  <c:v>Throwback</c:v>
                </c:pt>
              </c:strCache>
            </c:strRef>
          </c:cat>
          <c:val>
            <c:numRef>
              <c:f>TB_Distribucion!$E$8:$E$12</c:f>
              <c:numCache>
                <c:formatCode>General</c:formatCode>
                <c:ptCount val="4"/>
                <c:pt idx="0">
                  <c:v>162</c:v>
                </c:pt>
                <c:pt idx="1">
                  <c:v>356</c:v>
                </c:pt>
                <c:pt idx="2">
                  <c:v>101</c:v>
                </c:pt>
                <c:pt idx="3">
                  <c:v>150</c:v>
                </c:pt>
              </c:numCache>
            </c:numRef>
          </c:val>
          <c:extLst>
            <c:ext xmlns:c16="http://schemas.microsoft.com/office/drawing/2014/chart" uri="{C3380CC4-5D6E-409C-BE32-E72D297353CC}">
              <c16:uniqueId val="{00000000-309E-894B-8536-E074A87F3D4D}"/>
            </c:ext>
          </c:extLst>
        </c:ser>
        <c:dLbls>
          <c:dLblPos val="inEnd"/>
          <c:showLegendKey val="0"/>
          <c:showVal val="1"/>
          <c:showCatName val="0"/>
          <c:showSerName val="0"/>
          <c:showPercent val="0"/>
          <c:showBubbleSize val="0"/>
        </c:dLbls>
        <c:gapWidth val="65"/>
        <c:axId val="46041519"/>
        <c:axId val="1047063903"/>
      </c:barChart>
      <c:catAx>
        <c:axId val="4604151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AR"/>
          </a:p>
        </c:txPr>
        <c:crossAx val="1047063903"/>
        <c:crosses val="autoZero"/>
        <c:auto val="1"/>
        <c:lblAlgn val="ctr"/>
        <c:lblOffset val="100"/>
        <c:noMultiLvlLbl val="0"/>
      </c:catAx>
      <c:valAx>
        <c:axId val="104706390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460415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A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5"/>
    </mc:Choice>
    <mc:Fallback>
      <c:style val="5"/>
    </mc:Fallback>
  </mc:AlternateContent>
  <c:pivotSource>
    <c:name>[ProyectoFinal_Florin.xlsx]TB_Distribucion!TablaDinámica3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de Canciones por Playlist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AR"/>
        </a:p>
      </c:txPr>
    </c:title>
    <c:autoTitleDeleted val="0"/>
    <c:pivotFmts>
      <c:pivotFmt>
        <c:idx val="0"/>
        <c:spPr>
          <a:solidFill>
            <a:schemeClr val="accent3">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AR"/>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TB_Distribucion!$H$7</c:f>
              <c:strCache>
                <c:ptCount val="1"/>
                <c:pt idx="0">
                  <c:v>Total</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A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TB_Distribucion!$G$8:$G$13</c:f>
              <c:strCache>
                <c:ptCount val="5"/>
                <c:pt idx="0">
                  <c:v>EDM Hits</c:v>
                </c:pt>
                <c:pt idx="1">
                  <c:v>Reggaeton Hits</c:v>
                </c:pt>
                <c:pt idx="2">
                  <c:v>Rock Classics</c:v>
                </c:pt>
                <c:pt idx="3">
                  <c:v>Throwback Party</c:v>
                </c:pt>
                <c:pt idx="4">
                  <c:v>Top Gaming Tracks</c:v>
                </c:pt>
              </c:strCache>
            </c:strRef>
          </c:cat>
          <c:val>
            <c:numRef>
              <c:f>TB_Distribucion!$H$8:$H$13</c:f>
              <c:numCache>
                <c:formatCode>General</c:formatCode>
                <c:ptCount val="5"/>
                <c:pt idx="0">
                  <c:v>60</c:v>
                </c:pt>
                <c:pt idx="1">
                  <c:v>101</c:v>
                </c:pt>
                <c:pt idx="2">
                  <c:v>91</c:v>
                </c:pt>
                <c:pt idx="3">
                  <c:v>150</c:v>
                </c:pt>
                <c:pt idx="4">
                  <c:v>100</c:v>
                </c:pt>
              </c:numCache>
            </c:numRef>
          </c:val>
          <c:extLst>
            <c:ext xmlns:c16="http://schemas.microsoft.com/office/drawing/2014/chart" uri="{C3380CC4-5D6E-409C-BE32-E72D297353CC}">
              <c16:uniqueId val="{00000000-DD03-3047-8FF0-C0236C402FCA}"/>
            </c:ext>
          </c:extLst>
        </c:ser>
        <c:dLbls>
          <c:dLblPos val="inEnd"/>
          <c:showLegendKey val="0"/>
          <c:showVal val="1"/>
          <c:showCatName val="0"/>
          <c:showSerName val="0"/>
          <c:showPercent val="0"/>
          <c:showBubbleSize val="0"/>
        </c:dLbls>
        <c:gapWidth val="65"/>
        <c:axId val="1064026111"/>
        <c:axId val="1757933903"/>
      </c:barChart>
      <c:catAx>
        <c:axId val="106402611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AR"/>
          </a:p>
        </c:txPr>
        <c:crossAx val="1757933903"/>
        <c:crosses val="autoZero"/>
        <c:auto val="1"/>
        <c:lblAlgn val="ctr"/>
        <c:lblOffset val="100"/>
        <c:noMultiLvlLbl val="0"/>
      </c:catAx>
      <c:valAx>
        <c:axId val="175793390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0640261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A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6">
  <a:schemeClr val="accent3"/>
</cs:colorStyle>
</file>

<file path=xl/charts/colors7.xml><?xml version="1.0" encoding="utf-8"?>
<cs:colorStyle xmlns:cs="http://schemas.microsoft.com/office/drawing/2012/chartStyle" xmlns:a="http://schemas.openxmlformats.org/drawingml/2006/main" meth="withinLinear" id="16">
  <a:schemeClr val="accent3"/>
</cs:colorStyle>
</file>

<file path=xl/charts/colors8.xml><?xml version="1.0" encoding="utf-8"?>
<cs:colorStyle xmlns:cs="http://schemas.microsoft.com/office/drawing/2012/chartStyle" xmlns:a="http://schemas.openxmlformats.org/drawingml/2006/main" meth="withinLinear" id="16">
  <a:schemeClr val="accent3"/>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6">
  <a:schemeClr val="accent3"/>
</cs:colorStyle>
</file>

<file path=xl/charts/colors11.xml><?xml version="1.0" encoding="utf-8"?>
<cs:colorStyle xmlns:cs="http://schemas.microsoft.com/office/drawing/2012/chartStyle" xmlns:a="http://schemas.openxmlformats.org/drawingml/2006/main" meth="withinLinear" id="16">
  <a:schemeClr val="accent3"/>
</cs:colorStyle>
</file>

<file path=xl/charts/colors12.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svg"/><Relationship Id="rId13" Type="http://schemas.openxmlformats.org/officeDocument/2006/relationships/image" Target="../media/image8.png"/><Relationship Id="rId3" Type="http://schemas.openxmlformats.org/officeDocument/2006/relationships/chart" Target="../charts/chart3.xml"/><Relationship Id="rId7" Type="http://schemas.openxmlformats.org/officeDocument/2006/relationships/image" Target="../media/image2.png"/><Relationship Id="rId12" Type="http://schemas.openxmlformats.org/officeDocument/2006/relationships/image" Target="../media/image7.svg"/><Relationship Id="rId2" Type="http://schemas.openxmlformats.org/officeDocument/2006/relationships/chart" Target="../charts/chart2.xml"/><Relationship Id="rId16" Type="http://schemas.openxmlformats.org/officeDocument/2006/relationships/image" Target="../media/image11.svg"/><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png"/><Relationship Id="rId5" Type="http://schemas.openxmlformats.org/officeDocument/2006/relationships/chart" Target="../charts/chart5.xml"/><Relationship Id="rId15" Type="http://schemas.openxmlformats.org/officeDocument/2006/relationships/image" Target="../media/image10.png"/><Relationship Id="rId10" Type="http://schemas.openxmlformats.org/officeDocument/2006/relationships/image" Target="../media/image5.svg"/><Relationship Id="rId4" Type="http://schemas.openxmlformats.org/officeDocument/2006/relationships/chart" Target="../charts/chart4.xml"/><Relationship Id="rId9" Type="http://schemas.openxmlformats.org/officeDocument/2006/relationships/image" Target="../media/image4.png"/><Relationship Id="rId14" Type="http://schemas.openxmlformats.org/officeDocument/2006/relationships/image" Target="../media/image9.svg"/></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11.svg"/><Relationship Id="rId5" Type="http://schemas.openxmlformats.org/officeDocument/2006/relationships/image" Target="../media/image10.png"/><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5" Type="http://schemas.openxmlformats.org/officeDocument/2006/relationships/image" Target="../media/image11.svg"/><Relationship Id="rId4" Type="http://schemas.openxmlformats.org/officeDocument/2006/relationships/image" Target="../media/image10.png"/></Relationships>
</file>

<file path=xl/drawings/_rels/drawing4.xml.rels><?xml version="1.0" encoding="UTF-8" standalone="yes"?>
<Relationships xmlns="http://schemas.openxmlformats.org/package/2006/relationships"><Relationship Id="rId2" Type="http://schemas.openxmlformats.org/officeDocument/2006/relationships/image" Target="../media/image11.svg"/><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0</xdr:col>
      <xdr:colOff>12700</xdr:colOff>
      <xdr:row>5</xdr:row>
      <xdr:rowOff>25400</xdr:rowOff>
    </xdr:from>
    <xdr:to>
      <xdr:col>18</xdr:col>
      <xdr:colOff>0</xdr:colOff>
      <xdr:row>19</xdr:row>
      <xdr:rowOff>50800</xdr:rowOff>
    </xdr:to>
    <xdr:graphicFrame macro="">
      <xdr:nvGraphicFramePr>
        <xdr:cNvPr id="7" name="Gráfico 6">
          <a:extLst>
            <a:ext uri="{FF2B5EF4-FFF2-40B4-BE49-F238E27FC236}">
              <a16:creationId xmlns:a16="http://schemas.microsoft.com/office/drawing/2014/main" id="{22D2313A-EF74-3D45-852D-A1B94EAC39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12700</xdr:colOff>
      <xdr:row>19</xdr:row>
      <xdr:rowOff>63500</xdr:rowOff>
    </xdr:from>
    <xdr:to>
      <xdr:col>4</xdr:col>
      <xdr:colOff>38100</xdr:colOff>
      <xdr:row>32</xdr:row>
      <xdr:rowOff>43482</xdr:rowOff>
    </xdr:to>
    <xdr:graphicFrame macro="">
      <xdr:nvGraphicFramePr>
        <xdr:cNvPr id="5" name="Gráfico 4">
          <a:extLst>
            <a:ext uri="{FF2B5EF4-FFF2-40B4-BE49-F238E27FC236}">
              <a16:creationId xmlns:a16="http://schemas.microsoft.com/office/drawing/2014/main" id="{0A9E2A66-4989-484A-A71B-DCF1C411D1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25400</xdr:colOff>
      <xdr:row>19</xdr:row>
      <xdr:rowOff>63500</xdr:rowOff>
    </xdr:from>
    <xdr:to>
      <xdr:col>10</xdr:col>
      <xdr:colOff>475755</xdr:colOff>
      <xdr:row>32</xdr:row>
      <xdr:rowOff>42189</xdr:rowOff>
    </xdr:to>
    <xdr:graphicFrame macro="">
      <xdr:nvGraphicFramePr>
        <xdr:cNvPr id="6" name="Gráfico 5">
          <a:extLst>
            <a:ext uri="{FF2B5EF4-FFF2-40B4-BE49-F238E27FC236}">
              <a16:creationId xmlns:a16="http://schemas.microsoft.com/office/drawing/2014/main" id="{B6CFFA3C-5824-8A48-BDA2-CE51560B13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381000</xdr:colOff>
      <xdr:row>19</xdr:row>
      <xdr:rowOff>63500</xdr:rowOff>
    </xdr:from>
    <xdr:to>
      <xdr:col>18</xdr:col>
      <xdr:colOff>20492</xdr:colOff>
      <xdr:row>32</xdr:row>
      <xdr:rowOff>27897</xdr:rowOff>
    </xdr:to>
    <xdr:graphicFrame macro="">
      <xdr:nvGraphicFramePr>
        <xdr:cNvPr id="10" name="Gráfico 9">
          <a:extLst>
            <a:ext uri="{FF2B5EF4-FFF2-40B4-BE49-F238E27FC236}">
              <a16:creationId xmlns:a16="http://schemas.microsoft.com/office/drawing/2014/main" id="{37E20063-5260-9043-AC69-3154B70706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188546</xdr:colOff>
      <xdr:row>32</xdr:row>
      <xdr:rowOff>117231</xdr:rowOff>
    </xdr:from>
    <xdr:to>
      <xdr:col>2</xdr:col>
      <xdr:colOff>957384</xdr:colOff>
      <xdr:row>43</xdr:row>
      <xdr:rowOff>58615</xdr:rowOff>
    </xdr:to>
    <mc:AlternateContent xmlns:mc="http://schemas.openxmlformats.org/markup-compatibility/2006" xmlns:a14="http://schemas.microsoft.com/office/drawing/2010/main">
      <mc:Choice Requires="a14">
        <xdr:graphicFrame macro="">
          <xdr:nvGraphicFramePr>
            <xdr:cNvPr id="11" name="Playlist_genre2">
              <a:extLst>
                <a:ext uri="{FF2B5EF4-FFF2-40B4-BE49-F238E27FC236}">
                  <a16:creationId xmlns:a16="http://schemas.microsoft.com/office/drawing/2014/main" id="{8796DECF-FD2F-CF15-5906-F9B432676175}"/>
                </a:ext>
              </a:extLst>
            </xdr:cNvPr>
            <xdr:cNvGraphicFramePr/>
          </xdr:nvGraphicFramePr>
          <xdr:xfrm>
            <a:off x="0" y="0"/>
            <a:ext cx="0" cy="0"/>
          </xdr:xfrm>
          <a:graphic>
            <a:graphicData uri="http://schemas.microsoft.com/office/drawing/2010/slicer">
              <sle:slicer xmlns:sle="http://schemas.microsoft.com/office/drawing/2010/slicer" name="Playlist_genre2"/>
            </a:graphicData>
          </a:graphic>
        </xdr:graphicFrame>
      </mc:Choice>
      <mc:Fallback xmlns="">
        <xdr:sp macro="" textlink="">
          <xdr:nvSpPr>
            <xdr:cNvPr id="0" name=""/>
            <xdr:cNvSpPr>
              <a:spLocks noTextEdit="1"/>
            </xdr:cNvSpPr>
          </xdr:nvSpPr>
          <xdr:spPr>
            <a:xfrm>
              <a:off x="188546" y="7659792"/>
              <a:ext cx="2410545" cy="2156140"/>
            </a:xfrm>
            <a:prstGeom prst="rect">
              <a:avLst/>
            </a:prstGeom>
            <a:solidFill>
              <a:prstClr val="white"/>
            </a:solidFill>
            <a:ln w="1">
              <a:solidFill>
                <a:prstClr val="green"/>
              </a:solidFill>
            </a:ln>
          </xdr:spPr>
          <xdr:txBody>
            <a:bodyPr vertOverflow="clip" horzOverflow="clip"/>
            <a:lstStyle/>
            <a:p>
              <a:r>
                <a:rPr lang="es-MX"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2</xdr:col>
      <xdr:colOff>1425331</xdr:colOff>
      <xdr:row>32</xdr:row>
      <xdr:rowOff>114269</xdr:rowOff>
    </xdr:from>
    <xdr:to>
      <xdr:col>3</xdr:col>
      <xdr:colOff>1230923</xdr:colOff>
      <xdr:row>45</xdr:row>
      <xdr:rowOff>0</xdr:rowOff>
    </xdr:to>
    <mc:AlternateContent xmlns:mc="http://schemas.openxmlformats.org/markup-compatibility/2006" xmlns:a14="http://schemas.microsoft.com/office/drawing/2010/main">
      <mc:Choice Requires="a14">
        <xdr:graphicFrame macro="">
          <xdr:nvGraphicFramePr>
            <xdr:cNvPr id="12" name="Playlist_subgenre2 1">
              <a:extLst>
                <a:ext uri="{FF2B5EF4-FFF2-40B4-BE49-F238E27FC236}">
                  <a16:creationId xmlns:a16="http://schemas.microsoft.com/office/drawing/2014/main" id="{E2BEF699-C93B-1D3A-51DE-623122D42ED6}"/>
                </a:ext>
              </a:extLst>
            </xdr:cNvPr>
            <xdr:cNvGraphicFramePr/>
          </xdr:nvGraphicFramePr>
          <xdr:xfrm>
            <a:off x="0" y="0"/>
            <a:ext cx="0" cy="0"/>
          </xdr:xfrm>
          <a:graphic>
            <a:graphicData uri="http://schemas.microsoft.com/office/drawing/2010/slicer">
              <sle:slicer xmlns:sle="http://schemas.microsoft.com/office/drawing/2010/slicer" name="Playlist_subgenre2 1"/>
            </a:graphicData>
          </a:graphic>
        </xdr:graphicFrame>
      </mc:Choice>
      <mc:Fallback xmlns="">
        <xdr:sp macro="" textlink="">
          <xdr:nvSpPr>
            <xdr:cNvPr id="0" name=""/>
            <xdr:cNvSpPr>
              <a:spLocks noTextEdit="1"/>
            </xdr:cNvSpPr>
          </xdr:nvSpPr>
          <xdr:spPr>
            <a:xfrm>
              <a:off x="3067038" y="7656830"/>
              <a:ext cx="2376568" cy="2503170"/>
            </a:xfrm>
            <a:prstGeom prst="rect">
              <a:avLst/>
            </a:prstGeom>
            <a:solidFill>
              <a:prstClr val="white"/>
            </a:solidFill>
            <a:ln w="1">
              <a:solidFill>
                <a:prstClr val="green"/>
              </a:solidFill>
            </a:ln>
          </xdr:spPr>
          <xdr:txBody>
            <a:bodyPr vertOverflow="clip" horzOverflow="clip"/>
            <a:lstStyle/>
            <a:p>
              <a:r>
                <a:rPr lang="es-MX"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4</xdr:col>
      <xdr:colOff>364391</xdr:colOff>
      <xdr:row>32</xdr:row>
      <xdr:rowOff>110391</xdr:rowOff>
    </xdr:from>
    <xdr:to>
      <xdr:col>7</xdr:col>
      <xdr:colOff>351692</xdr:colOff>
      <xdr:row>45</xdr:row>
      <xdr:rowOff>0</xdr:rowOff>
    </xdr:to>
    <mc:AlternateContent xmlns:mc="http://schemas.openxmlformats.org/markup-compatibility/2006" xmlns:a14="http://schemas.microsoft.com/office/drawing/2010/main">
      <mc:Choice Requires="a14">
        <xdr:graphicFrame macro="">
          <xdr:nvGraphicFramePr>
            <xdr:cNvPr id="13" name="playlist_name 1">
              <a:extLst>
                <a:ext uri="{FF2B5EF4-FFF2-40B4-BE49-F238E27FC236}">
                  <a16:creationId xmlns:a16="http://schemas.microsoft.com/office/drawing/2014/main" id="{070D5A44-7E66-D7CB-FE11-9199535BF8F3}"/>
                </a:ext>
              </a:extLst>
            </xdr:cNvPr>
            <xdr:cNvGraphicFramePr/>
          </xdr:nvGraphicFramePr>
          <xdr:xfrm>
            <a:off x="0" y="0"/>
            <a:ext cx="0" cy="0"/>
          </xdr:xfrm>
          <a:graphic>
            <a:graphicData uri="http://schemas.microsoft.com/office/drawing/2010/slicer">
              <sle:slicer xmlns:sle="http://schemas.microsoft.com/office/drawing/2010/slicer" name="playlist_name 1"/>
            </a:graphicData>
          </a:graphic>
        </xdr:graphicFrame>
      </mc:Choice>
      <mc:Fallback xmlns="">
        <xdr:sp macro="" textlink="">
          <xdr:nvSpPr>
            <xdr:cNvPr id="0" name=""/>
            <xdr:cNvSpPr>
              <a:spLocks noTextEdit="1"/>
            </xdr:cNvSpPr>
          </xdr:nvSpPr>
          <xdr:spPr>
            <a:xfrm>
              <a:off x="5955489" y="7652952"/>
              <a:ext cx="2449862" cy="2507048"/>
            </a:xfrm>
            <a:prstGeom prst="rect">
              <a:avLst/>
            </a:prstGeom>
            <a:solidFill>
              <a:prstClr val="white"/>
            </a:solidFill>
            <a:ln w="1">
              <a:solidFill>
                <a:prstClr val="green"/>
              </a:solidFill>
            </a:ln>
          </xdr:spPr>
          <xdr:txBody>
            <a:bodyPr vertOverflow="clip" horzOverflow="clip"/>
            <a:lstStyle/>
            <a:p>
              <a:r>
                <a:rPr lang="es-MX"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xdr:from>
      <xdr:col>7</xdr:col>
      <xdr:colOff>614279</xdr:colOff>
      <xdr:row>32</xdr:row>
      <xdr:rowOff>97692</xdr:rowOff>
    </xdr:from>
    <xdr:to>
      <xdr:col>18</xdr:col>
      <xdr:colOff>15394</xdr:colOff>
      <xdr:row>46</xdr:row>
      <xdr:rowOff>38665</xdr:rowOff>
    </xdr:to>
    <xdr:graphicFrame macro="">
      <xdr:nvGraphicFramePr>
        <xdr:cNvPr id="2" name="Gráfico 1">
          <a:extLst>
            <a:ext uri="{FF2B5EF4-FFF2-40B4-BE49-F238E27FC236}">
              <a16:creationId xmlns:a16="http://schemas.microsoft.com/office/drawing/2014/main" id="{171DB4B9-0B7B-4248-9E27-2F4BE6F8AA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44302</xdr:colOff>
      <xdr:row>19</xdr:row>
      <xdr:rowOff>14767</xdr:rowOff>
    </xdr:from>
    <xdr:to>
      <xdr:col>21</xdr:col>
      <xdr:colOff>162442</xdr:colOff>
      <xdr:row>20</xdr:row>
      <xdr:rowOff>280581</xdr:rowOff>
    </xdr:to>
    <xdr:sp macro="" textlink="Total_Pop">
      <xdr:nvSpPr>
        <xdr:cNvPr id="3" name="Rectángulo redondeado 2">
          <a:extLst>
            <a:ext uri="{FF2B5EF4-FFF2-40B4-BE49-F238E27FC236}">
              <a16:creationId xmlns:a16="http://schemas.microsoft.com/office/drawing/2014/main" id="{4FBF160D-3394-13FD-A5ED-1BF088FED155}"/>
            </a:ext>
          </a:extLst>
        </xdr:cNvPr>
        <xdr:cNvSpPr/>
      </xdr:nvSpPr>
      <xdr:spPr>
        <a:xfrm>
          <a:off x="19522558" y="4843720"/>
          <a:ext cx="1772093" cy="502094"/>
        </a:xfrm>
        <a:prstGeom prst="roundRect">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0558896-EE1C-A04B-9952-44BCB9F4C351}" type="TxLink">
            <a:rPr lang="en-US" sz="3600" b="0" i="0" u="none" strike="noStrike">
              <a:solidFill>
                <a:srgbClr val="000000"/>
              </a:solidFill>
              <a:latin typeface="Aptos Narrow"/>
            </a:rPr>
            <a:pPr algn="ctr"/>
            <a:t>357</a:t>
          </a:fld>
          <a:endParaRPr lang="es-MX" sz="3200"/>
        </a:p>
      </xdr:txBody>
    </xdr:sp>
    <xdr:clientData/>
  </xdr:twoCellAnchor>
  <xdr:twoCellAnchor>
    <xdr:from>
      <xdr:col>19</xdr:col>
      <xdr:colOff>29535</xdr:colOff>
      <xdr:row>21</xdr:row>
      <xdr:rowOff>44302</xdr:rowOff>
    </xdr:from>
    <xdr:to>
      <xdr:col>21</xdr:col>
      <xdr:colOff>162442</xdr:colOff>
      <xdr:row>23</xdr:row>
      <xdr:rowOff>191978</xdr:rowOff>
    </xdr:to>
    <xdr:sp macro="" textlink="Modern">
      <xdr:nvSpPr>
        <xdr:cNvPr id="4" name="Rectángulo redondeado 3">
          <a:extLst>
            <a:ext uri="{FF2B5EF4-FFF2-40B4-BE49-F238E27FC236}">
              <a16:creationId xmlns:a16="http://schemas.microsoft.com/office/drawing/2014/main" id="{4D889AF0-83E4-2C48-9889-05AFA06AD52C}"/>
            </a:ext>
          </a:extLst>
        </xdr:cNvPr>
        <xdr:cNvSpPr/>
      </xdr:nvSpPr>
      <xdr:spPr>
        <a:xfrm>
          <a:off x="19744070" y="5419651"/>
          <a:ext cx="1786860" cy="561164"/>
        </a:xfrm>
        <a:prstGeom prst="roundRect">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9113692-7512-C143-97B7-BFE76F433835}" type="TxLink">
            <a:rPr lang="en-US" sz="4000" b="0" i="0" u="none" strike="noStrike">
              <a:solidFill>
                <a:srgbClr val="000000"/>
              </a:solidFill>
              <a:latin typeface="Aptos Narrow"/>
            </a:rPr>
            <a:pPr algn="ctr"/>
            <a:t>356</a:t>
          </a:fld>
          <a:endParaRPr lang="es-MX" sz="3600"/>
        </a:p>
      </xdr:txBody>
    </xdr:sp>
    <xdr:clientData/>
  </xdr:twoCellAnchor>
  <xdr:twoCellAnchor>
    <xdr:from>
      <xdr:col>19</xdr:col>
      <xdr:colOff>29535</xdr:colOff>
      <xdr:row>24</xdr:row>
      <xdr:rowOff>44303</xdr:rowOff>
    </xdr:from>
    <xdr:to>
      <xdr:col>21</xdr:col>
      <xdr:colOff>162442</xdr:colOff>
      <xdr:row>27</xdr:row>
      <xdr:rowOff>0</xdr:rowOff>
    </xdr:to>
    <xdr:sp macro="" textlink="Throwbackp">
      <xdr:nvSpPr>
        <xdr:cNvPr id="8" name="Rectángulo redondeado 7">
          <a:extLst>
            <a:ext uri="{FF2B5EF4-FFF2-40B4-BE49-F238E27FC236}">
              <a16:creationId xmlns:a16="http://schemas.microsoft.com/office/drawing/2014/main" id="{2AF14417-E28E-414B-B4DF-211A76D0FBAA}"/>
            </a:ext>
          </a:extLst>
        </xdr:cNvPr>
        <xdr:cNvSpPr/>
      </xdr:nvSpPr>
      <xdr:spPr>
        <a:xfrm>
          <a:off x="19744070" y="6039884"/>
          <a:ext cx="1786860" cy="575930"/>
        </a:xfrm>
        <a:prstGeom prst="roundRect">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BE4D0AF-7A19-4841-997E-C7C214FD9D73}" type="TxLink">
            <a:rPr lang="en-US" sz="4000" b="0" i="0" u="none" strike="noStrike">
              <a:solidFill>
                <a:srgbClr val="000000"/>
              </a:solidFill>
              <a:latin typeface="Aptos Narrow"/>
            </a:rPr>
            <a:pPr algn="ctr"/>
            <a:t>150</a:t>
          </a:fld>
          <a:endParaRPr lang="es-MX" sz="3600"/>
        </a:p>
      </xdr:txBody>
    </xdr:sp>
    <xdr:clientData/>
  </xdr:twoCellAnchor>
  <xdr:twoCellAnchor>
    <xdr:from>
      <xdr:col>19</xdr:col>
      <xdr:colOff>55133</xdr:colOff>
      <xdr:row>8</xdr:row>
      <xdr:rowOff>44305</xdr:rowOff>
    </xdr:from>
    <xdr:to>
      <xdr:col>21</xdr:col>
      <xdr:colOff>605466</xdr:colOff>
      <xdr:row>10</xdr:row>
      <xdr:rowOff>156426</xdr:rowOff>
    </xdr:to>
    <xdr:sp macro="" textlink="Acustica">
      <xdr:nvSpPr>
        <xdr:cNvPr id="14" name="Rectángulo redondeado 13">
          <a:extLst>
            <a:ext uri="{FF2B5EF4-FFF2-40B4-BE49-F238E27FC236}">
              <a16:creationId xmlns:a16="http://schemas.microsoft.com/office/drawing/2014/main" id="{EA4FA142-8C87-154C-996F-6E289874F46F}"/>
            </a:ext>
          </a:extLst>
        </xdr:cNvPr>
        <xdr:cNvSpPr/>
      </xdr:nvSpPr>
      <xdr:spPr>
        <a:xfrm>
          <a:off x="19858273" y="2495700"/>
          <a:ext cx="2204286" cy="525610"/>
        </a:xfrm>
        <a:prstGeom prst="roundRect">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59C0B1C-2540-2C4B-A0BB-3E2C43C28FDE}" type="TxLink">
            <a:rPr lang="en-US" sz="4400" b="0" i="0" u="none" strike="noStrike">
              <a:solidFill>
                <a:srgbClr val="000000"/>
              </a:solidFill>
              <a:latin typeface="Aptos Narrow"/>
            </a:rPr>
            <a:pPr algn="ctr"/>
            <a:t>22%</a:t>
          </a:fld>
          <a:endParaRPr lang="es-MX" sz="4000"/>
        </a:p>
      </xdr:txBody>
    </xdr:sp>
    <xdr:clientData/>
  </xdr:twoCellAnchor>
  <xdr:twoCellAnchor>
    <xdr:from>
      <xdr:col>19</xdr:col>
      <xdr:colOff>76003</xdr:colOff>
      <xdr:row>10</xdr:row>
      <xdr:rowOff>202415</xdr:rowOff>
    </xdr:from>
    <xdr:to>
      <xdr:col>21</xdr:col>
      <xdr:colOff>622399</xdr:colOff>
      <xdr:row>13</xdr:row>
      <xdr:rowOff>39972</xdr:rowOff>
    </xdr:to>
    <xdr:sp macro="" textlink="Danceability">
      <xdr:nvSpPr>
        <xdr:cNvPr id="15" name="Rectángulo redondeado 14">
          <a:extLst>
            <a:ext uri="{FF2B5EF4-FFF2-40B4-BE49-F238E27FC236}">
              <a16:creationId xmlns:a16="http://schemas.microsoft.com/office/drawing/2014/main" id="{51963878-CF30-B341-872D-A7DC1711F8DA}"/>
            </a:ext>
          </a:extLst>
        </xdr:cNvPr>
        <xdr:cNvSpPr/>
      </xdr:nvSpPr>
      <xdr:spPr>
        <a:xfrm>
          <a:off x="19790538" y="3067299"/>
          <a:ext cx="2200349" cy="457789"/>
        </a:xfrm>
        <a:prstGeom prst="roundRect">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12F6EA6-F7AA-B443-84A8-983DF93E5C67}" type="TxLink">
            <a:rPr lang="en-US" sz="4400" b="0" i="0" u="none" strike="noStrike">
              <a:solidFill>
                <a:srgbClr val="000000"/>
              </a:solidFill>
              <a:latin typeface="Aptos Narrow"/>
            </a:rPr>
            <a:pPr algn="ctr"/>
            <a:t>65%</a:t>
          </a:fld>
          <a:endParaRPr lang="es-MX" sz="4000"/>
        </a:p>
      </xdr:txBody>
    </xdr:sp>
    <xdr:clientData/>
  </xdr:twoCellAnchor>
  <xdr:twoCellAnchor>
    <xdr:from>
      <xdr:col>19</xdr:col>
      <xdr:colOff>73837</xdr:colOff>
      <xdr:row>13</xdr:row>
      <xdr:rowOff>95105</xdr:rowOff>
    </xdr:from>
    <xdr:to>
      <xdr:col>21</xdr:col>
      <xdr:colOff>620233</xdr:colOff>
      <xdr:row>15</xdr:row>
      <xdr:rowOff>139405</xdr:rowOff>
    </xdr:to>
    <xdr:sp macro="" textlink="Energia">
      <xdr:nvSpPr>
        <xdr:cNvPr id="16" name="Rectángulo redondeado 15">
          <a:extLst>
            <a:ext uri="{FF2B5EF4-FFF2-40B4-BE49-F238E27FC236}">
              <a16:creationId xmlns:a16="http://schemas.microsoft.com/office/drawing/2014/main" id="{BAEBF049-5477-8C40-B667-D9A9DCC2117E}"/>
            </a:ext>
          </a:extLst>
        </xdr:cNvPr>
        <xdr:cNvSpPr/>
      </xdr:nvSpPr>
      <xdr:spPr>
        <a:xfrm>
          <a:off x="19788372" y="3580221"/>
          <a:ext cx="2200349" cy="457789"/>
        </a:xfrm>
        <a:prstGeom prst="roundRect">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1472B6C-2290-D649-9B21-A30E73AE6A37}" type="TxLink">
            <a:rPr lang="en-US" sz="4400" b="0" i="0" u="none" strike="noStrike">
              <a:solidFill>
                <a:srgbClr val="000000"/>
              </a:solidFill>
              <a:latin typeface="Aptos Narrow"/>
            </a:rPr>
            <a:pPr algn="ctr"/>
            <a:t>67%</a:t>
          </a:fld>
          <a:endParaRPr lang="es-MX" sz="4000"/>
        </a:p>
      </xdr:txBody>
    </xdr:sp>
    <xdr:clientData/>
  </xdr:twoCellAnchor>
  <xdr:twoCellAnchor>
    <xdr:from>
      <xdr:col>19</xdr:col>
      <xdr:colOff>73837</xdr:colOff>
      <xdr:row>5</xdr:row>
      <xdr:rowOff>295349</xdr:rowOff>
    </xdr:from>
    <xdr:to>
      <xdr:col>21</xdr:col>
      <xdr:colOff>620233</xdr:colOff>
      <xdr:row>7</xdr:row>
      <xdr:rowOff>206743</xdr:rowOff>
    </xdr:to>
    <xdr:sp macro="" textlink="Valence">
      <xdr:nvSpPr>
        <xdr:cNvPr id="17" name="Rectángulo redondeado 16">
          <a:extLst>
            <a:ext uri="{FF2B5EF4-FFF2-40B4-BE49-F238E27FC236}">
              <a16:creationId xmlns:a16="http://schemas.microsoft.com/office/drawing/2014/main" id="{09E05B7E-73C9-4746-A915-3910744D57F3}"/>
            </a:ext>
          </a:extLst>
        </xdr:cNvPr>
        <xdr:cNvSpPr/>
      </xdr:nvSpPr>
      <xdr:spPr>
        <a:xfrm>
          <a:off x="19788372" y="1993605"/>
          <a:ext cx="2200349" cy="457789"/>
        </a:xfrm>
        <a:prstGeom prst="roundRect">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6EBFE5B-961D-B649-B78D-1AAB5CC6D6CC}" type="TxLink">
            <a:rPr lang="en-US" sz="4400" b="0" i="0" u="none" strike="noStrike">
              <a:solidFill>
                <a:srgbClr val="000000"/>
              </a:solidFill>
              <a:latin typeface="Aptos Narrow"/>
            </a:rPr>
            <a:pPr algn="ctr"/>
            <a:t>52%</a:t>
          </a:fld>
          <a:endParaRPr lang="es-MX" sz="4000"/>
        </a:p>
      </xdr:txBody>
    </xdr:sp>
    <xdr:clientData/>
  </xdr:twoCellAnchor>
  <xdr:twoCellAnchor editAs="oneCell">
    <xdr:from>
      <xdr:col>18</xdr:col>
      <xdr:colOff>236280</xdr:colOff>
      <xdr:row>0</xdr:row>
      <xdr:rowOff>0</xdr:rowOff>
    </xdr:from>
    <xdr:to>
      <xdr:col>18</xdr:col>
      <xdr:colOff>2240131</xdr:colOff>
      <xdr:row>4</xdr:row>
      <xdr:rowOff>251046</xdr:rowOff>
    </xdr:to>
    <xdr:pic>
      <xdr:nvPicPr>
        <xdr:cNvPr id="19" name="Imagen 18">
          <a:extLst>
            <a:ext uri="{FF2B5EF4-FFF2-40B4-BE49-F238E27FC236}">
              <a16:creationId xmlns:a16="http://schemas.microsoft.com/office/drawing/2014/main" id="{89D547BD-45FB-7404-73D8-BC06FD8467DB}"/>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7425582" y="0"/>
          <a:ext cx="2003851" cy="1609651"/>
        </a:xfrm>
        <a:prstGeom prst="rect">
          <a:avLst/>
        </a:prstGeom>
      </xdr:spPr>
    </xdr:pic>
    <xdr:clientData/>
  </xdr:twoCellAnchor>
  <xdr:twoCellAnchor>
    <xdr:from>
      <xdr:col>19</xdr:col>
      <xdr:colOff>103372</xdr:colOff>
      <xdr:row>5</xdr:row>
      <xdr:rowOff>310116</xdr:rowOff>
    </xdr:from>
    <xdr:to>
      <xdr:col>19</xdr:col>
      <xdr:colOff>413487</xdr:colOff>
      <xdr:row>7</xdr:row>
      <xdr:rowOff>73837</xdr:rowOff>
    </xdr:to>
    <xdr:sp macro="" textlink="">
      <xdr:nvSpPr>
        <xdr:cNvPr id="20" name="Cara sonriente 19">
          <a:extLst>
            <a:ext uri="{FF2B5EF4-FFF2-40B4-BE49-F238E27FC236}">
              <a16:creationId xmlns:a16="http://schemas.microsoft.com/office/drawing/2014/main" id="{43016EAC-F00B-14ED-F451-B99945767913}"/>
            </a:ext>
          </a:extLst>
        </xdr:cNvPr>
        <xdr:cNvSpPr/>
      </xdr:nvSpPr>
      <xdr:spPr>
        <a:xfrm>
          <a:off x="19906512" y="2008372"/>
          <a:ext cx="310115" cy="310116"/>
        </a:xfrm>
        <a:prstGeom prst="smileyFace">
          <a:avLst>
            <a:gd name="adj" fmla="val -4653"/>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editAs="oneCell">
    <xdr:from>
      <xdr:col>19</xdr:col>
      <xdr:colOff>339651</xdr:colOff>
      <xdr:row>5</xdr:row>
      <xdr:rowOff>265813</xdr:rowOff>
    </xdr:from>
    <xdr:to>
      <xdr:col>19</xdr:col>
      <xdr:colOff>738372</xdr:colOff>
      <xdr:row>7</xdr:row>
      <xdr:rowOff>118139</xdr:rowOff>
    </xdr:to>
    <xdr:pic>
      <xdr:nvPicPr>
        <xdr:cNvPr id="22" name="Gráfico 21" descr="Angry face with solid fill con relleno sólido">
          <a:extLst>
            <a:ext uri="{FF2B5EF4-FFF2-40B4-BE49-F238E27FC236}">
              <a16:creationId xmlns:a16="http://schemas.microsoft.com/office/drawing/2014/main" id="{0E5A3E87-EF8B-ADA0-715F-DF63860D34F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0142791" y="1964069"/>
          <a:ext cx="398721" cy="398721"/>
        </a:xfrm>
        <a:prstGeom prst="rect">
          <a:avLst/>
        </a:prstGeom>
      </xdr:spPr>
    </xdr:pic>
    <xdr:clientData/>
  </xdr:twoCellAnchor>
  <xdr:twoCellAnchor editAs="oneCell">
    <xdr:from>
      <xdr:col>19</xdr:col>
      <xdr:colOff>29535</xdr:colOff>
      <xdr:row>7</xdr:row>
      <xdr:rowOff>206743</xdr:rowOff>
    </xdr:from>
    <xdr:to>
      <xdr:col>19</xdr:col>
      <xdr:colOff>708838</xdr:colOff>
      <xdr:row>10</xdr:row>
      <xdr:rowOff>191975</xdr:rowOff>
    </xdr:to>
    <xdr:pic>
      <xdr:nvPicPr>
        <xdr:cNvPr id="24" name="Gráfico 23" descr="Ear con relleno sólido">
          <a:extLst>
            <a:ext uri="{FF2B5EF4-FFF2-40B4-BE49-F238E27FC236}">
              <a16:creationId xmlns:a16="http://schemas.microsoft.com/office/drawing/2014/main" id="{CB9194AF-F6AF-AAD6-FD58-51D552B4B2D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9832675" y="2451394"/>
          <a:ext cx="679303" cy="605465"/>
        </a:xfrm>
        <a:prstGeom prst="rect">
          <a:avLst/>
        </a:prstGeom>
      </xdr:spPr>
    </xdr:pic>
    <xdr:clientData/>
  </xdr:twoCellAnchor>
  <xdr:twoCellAnchor editAs="oneCell">
    <xdr:from>
      <xdr:col>19</xdr:col>
      <xdr:colOff>59069</xdr:colOff>
      <xdr:row>10</xdr:row>
      <xdr:rowOff>118140</xdr:rowOff>
    </xdr:from>
    <xdr:to>
      <xdr:col>19</xdr:col>
      <xdr:colOff>694069</xdr:colOff>
      <xdr:row>13</xdr:row>
      <xdr:rowOff>132908</xdr:rowOff>
    </xdr:to>
    <xdr:pic>
      <xdr:nvPicPr>
        <xdr:cNvPr id="26" name="Gráfico 25" descr="Dance con relleno sólido">
          <a:extLst>
            <a:ext uri="{FF2B5EF4-FFF2-40B4-BE49-F238E27FC236}">
              <a16:creationId xmlns:a16="http://schemas.microsoft.com/office/drawing/2014/main" id="{32DD448C-0647-820C-FE5E-BDF3F3087F1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9862209" y="2983024"/>
          <a:ext cx="635000" cy="635000"/>
        </a:xfrm>
        <a:prstGeom prst="rect">
          <a:avLst/>
        </a:prstGeom>
      </xdr:spPr>
    </xdr:pic>
    <xdr:clientData/>
  </xdr:twoCellAnchor>
  <xdr:twoCellAnchor editAs="oneCell">
    <xdr:from>
      <xdr:col>19</xdr:col>
      <xdr:colOff>44302</xdr:colOff>
      <xdr:row>13</xdr:row>
      <xdr:rowOff>88605</xdr:rowOff>
    </xdr:from>
    <xdr:to>
      <xdr:col>19</xdr:col>
      <xdr:colOff>590698</xdr:colOff>
      <xdr:row>15</xdr:row>
      <xdr:rowOff>147674</xdr:rowOff>
    </xdr:to>
    <xdr:pic>
      <xdr:nvPicPr>
        <xdr:cNvPr id="28" name="Gráfico 27" descr="High voltage con relleno sólido">
          <a:extLst>
            <a:ext uri="{FF2B5EF4-FFF2-40B4-BE49-F238E27FC236}">
              <a16:creationId xmlns:a16="http://schemas.microsoft.com/office/drawing/2014/main" id="{3BCFF08C-E8FA-9213-8259-672618ED12B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9847442" y="3573721"/>
          <a:ext cx="546396" cy="472558"/>
        </a:xfrm>
        <a:prstGeom prst="rect">
          <a:avLst/>
        </a:prstGeom>
      </xdr:spPr>
    </xdr:pic>
    <xdr:clientData/>
  </xdr:twoCellAnchor>
  <xdr:twoCellAnchor editAs="oneCell">
    <xdr:from>
      <xdr:col>19</xdr:col>
      <xdr:colOff>440267</xdr:colOff>
      <xdr:row>1</xdr:row>
      <xdr:rowOff>321733</xdr:rowOff>
    </xdr:from>
    <xdr:to>
      <xdr:col>20</xdr:col>
      <xdr:colOff>355600</xdr:colOff>
      <xdr:row>4</xdr:row>
      <xdr:rowOff>317027</xdr:rowOff>
    </xdr:to>
    <xdr:pic>
      <xdr:nvPicPr>
        <xdr:cNvPr id="31" name="Gráfico 30" descr="Arrow: Slight curve con relleno sólido">
          <a:extLst>
            <a:ext uri="{FF2B5EF4-FFF2-40B4-BE49-F238E27FC236}">
              <a16:creationId xmlns:a16="http://schemas.microsoft.com/office/drawing/2014/main" id="{7084669C-5730-2646-861C-3CBF5B7F52FE}"/>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20286134" y="660400"/>
          <a:ext cx="1456266" cy="101129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13</xdr:col>
      <xdr:colOff>25400</xdr:colOff>
      <xdr:row>9</xdr:row>
      <xdr:rowOff>61495</xdr:rowOff>
    </xdr:from>
    <xdr:to>
      <xdr:col>18</xdr:col>
      <xdr:colOff>406400</xdr:colOff>
      <xdr:row>20</xdr:row>
      <xdr:rowOff>162983</xdr:rowOff>
    </xdr:to>
    <xdr:graphicFrame macro="">
      <xdr:nvGraphicFramePr>
        <xdr:cNvPr id="3" name="Gráfico 2">
          <a:extLst>
            <a:ext uri="{FF2B5EF4-FFF2-40B4-BE49-F238E27FC236}">
              <a16:creationId xmlns:a16="http://schemas.microsoft.com/office/drawing/2014/main" id="{0A6572BE-4160-79A8-3FD3-262D5217CD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33867</xdr:colOff>
      <xdr:row>26</xdr:row>
      <xdr:rowOff>14816</xdr:rowOff>
    </xdr:from>
    <xdr:to>
      <xdr:col>16</xdr:col>
      <xdr:colOff>57039</xdr:colOff>
      <xdr:row>39</xdr:row>
      <xdr:rowOff>116416</xdr:rowOff>
    </xdr:to>
    <xdr:graphicFrame macro="">
      <xdr:nvGraphicFramePr>
        <xdr:cNvPr id="4" name="Gráfico 3">
          <a:extLst>
            <a:ext uri="{FF2B5EF4-FFF2-40B4-BE49-F238E27FC236}">
              <a16:creationId xmlns:a16="http://schemas.microsoft.com/office/drawing/2014/main" id="{7124E40E-186B-4351-A98C-178351683D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33423</xdr:colOff>
      <xdr:row>0</xdr:row>
      <xdr:rowOff>19607</xdr:rowOff>
    </xdr:from>
    <xdr:to>
      <xdr:col>15</xdr:col>
      <xdr:colOff>2425924</xdr:colOff>
      <xdr:row>9</xdr:row>
      <xdr:rowOff>43224</xdr:rowOff>
    </xdr:to>
    <xdr:graphicFrame macro="">
      <xdr:nvGraphicFramePr>
        <xdr:cNvPr id="6" name="Gráfico 5">
          <a:extLst>
            <a:ext uri="{FF2B5EF4-FFF2-40B4-BE49-F238E27FC236}">
              <a16:creationId xmlns:a16="http://schemas.microsoft.com/office/drawing/2014/main" id="{61B5AAAF-13FE-C683-B791-F8FE217D90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35425</xdr:colOff>
      <xdr:row>77</xdr:row>
      <xdr:rowOff>37431</xdr:rowOff>
    </xdr:from>
    <xdr:to>
      <xdr:col>15</xdr:col>
      <xdr:colOff>2319867</xdr:colOff>
      <xdr:row>104</xdr:row>
      <xdr:rowOff>33866</xdr:rowOff>
    </xdr:to>
    <xdr:graphicFrame macro="">
      <xdr:nvGraphicFramePr>
        <xdr:cNvPr id="5" name="Gráfico 4">
          <a:extLst>
            <a:ext uri="{FF2B5EF4-FFF2-40B4-BE49-F238E27FC236}">
              <a16:creationId xmlns:a16="http://schemas.microsoft.com/office/drawing/2014/main" id="{D19999DA-2D5E-EDCD-DBE2-3E4D0303CD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11</xdr:col>
      <xdr:colOff>50801</xdr:colOff>
      <xdr:row>30</xdr:row>
      <xdr:rowOff>12700</xdr:rowOff>
    </xdr:from>
    <xdr:to>
      <xdr:col>12</xdr:col>
      <xdr:colOff>474134</xdr:colOff>
      <xdr:row>37</xdr:row>
      <xdr:rowOff>152400</xdr:rowOff>
    </xdr:to>
    <mc:AlternateContent xmlns:mc="http://schemas.openxmlformats.org/markup-compatibility/2006" xmlns:sle15="http://schemas.microsoft.com/office/drawing/2012/slicer">
      <mc:Choice Requires="sle15">
        <xdr:graphicFrame macro="">
          <xdr:nvGraphicFramePr>
            <xdr:cNvPr id="2" name="Popularidad">
              <a:extLst>
                <a:ext uri="{FF2B5EF4-FFF2-40B4-BE49-F238E27FC236}">
                  <a16:creationId xmlns:a16="http://schemas.microsoft.com/office/drawing/2014/main" id="{3ACDBB11-1CE7-40C4-CE64-AD064A0A2481}"/>
                </a:ext>
              </a:extLst>
            </xdr:cNvPr>
            <xdr:cNvGraphicFramePr/>
          </xdr:nvGraphicFramePr>
          <xdr:xfrm>
            <a:off x="0" y="0"/>
            <a:ext cx="0" cy="0"/>
          </xdr:xfrm>
          <a:graphic>
            <a:graphicData uri="http://schemas.microsoft.com/office/drawing/2010/slicer">
              <sle:slicer xmlns:sle="http://schemas.microsoft.com/office/drawing/2010/slicer" name="Popularidad"/>
            </a:graphicData>
          </a:graphic>
        </xdr:graphicFrame>
      </mc:Choice>
      <mc:Fallback xmlns="">
        <xdr:sp macro="" textlink="">
          <xdr:nvSpPr>
            <xdr:cNvPr id="0" name=""/>
            <xdr:cNvSpPr>
              <a:spLocks noTextEdit="1"/>
            </xdr:cNvSpPr>
          </xdr:nvSpPr>
          <xdr:spPr>
            <a:xfrm>
              <a:off x="11345334" y="6278033"/>
              <a:ext cx="1828800" cy="1562100"/>
            </a:xfrm>
            <a:prstGeom prst="rect">
              <a:avLst/>
            </a:prstGeom>
            <a:solidFill>
              <a:prstClr val="white"/>
            </a:solidFill>
            <a:ln w="1">
              <a:solidFill>
                <a:prstClr val="green"/>
              </a:solidFill>
            </a:ln>
          </xdr:spPr>
          <xdr:txBody>
            <a:bodyPr vertOverflow="clip" horzOverflow="clip"/>
            <a:lstStyle/>
            <a:p>
              <a:r>
                <a:rPr lang="es-MX"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twoCellAnchor editAs="oneCell">
    <xdr:from>
      <xdr:col>15</xdr:col>
      <xdr:colOff>2895599</xdr:colOff>
      <xdr:row>5</xdr:row>
      <xdr:rowOff>0</xdr:rowOff>
    </xdr:from>
    <xdr:to>
      <xdr:col>17</xdr:col>
      <xdr:colOff>304799</xdr:colOff>
      <xdr:row>9</xdr:row>
      <xdr:rowOff>50800</xdr:rowOff>
    </xdr:to>
    <xdr:pic>
      <xdr:nvPicPr>
        <xdr:cNvPr id="11" name="Gráfico 10" descr="Arrow: Slight curve con relleno sólido">
          <a:extLst>
            <a:ext uri="{FF2B5EF4-FFF2-40B4-BE49-F238E27FC236}">
              <a16:creationId xmlns:a16="http://schemas.microsoft.com/office/drawing/2014/main" id="{61C0B896-564E-D54C-BD53-8B8C63DD9AA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0726399" y="1151467"/>
          <a:ext cx="1659467" cy="8636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12700</xdr:colOff>
      <xdr:row>6</xdr:row>
      <xdr:rowOff>10160</xdr:rowOff>
    </xdr:from>
    <xdr:to>
      <xdr:col>9</xdr:col>
      <xdr:colOff>7535</xdr:colOff>
      <xdr:row>81</xdr:row>
      <xdr:rowOff>40641</xdr:rowOff>
    </xdr:to>
    <mc:AlternateContent xmlns:mc="http://schemas.openxmlformats.org/markup-compatibility/2006" xmlns:a14="http://schemas.microsoft.com/office/drawing/2010/main">
      <mc:Choice Requires="a14">
        <xdr:graphicFrame macro="">
          <xdr:nvGraphicFramePr>
            <xdr:cNvPr id="2" name="playlist_name">
              <a:extLst>
                <a:ext uri="{FF2B5EF4-FFF2-40B4-BE49-F238E27FC236}">
                  <a16:creationId xmlns:a16="http://schemas.microsoft.com/office/drawing/2014/main" id="{A1CF6E39-4520-E893-B461-1A252704A51F}"/>
                </a:ext>
              </a:extLst>
            </xdr:cNvPr>
            <xdr:cNvGraphicFramePr/>
          </xdr:nvGraphicFramePr>
          <xdr:xfrm>
            <a:off x="0" y="0"/>
            <a:ext cx="0" cy="0"/>
          </xdr:xfrm>
          <a:graphic>
            <a:graphicData uri="http://schemas.microsoft.com/office/drawing/2010/slicer">
              <sle:slicer xmlns:sle="http://schemas.microsoft.com/office/drawing/2010/slicer" name="playlist_name"/>
            </a:graphicData>
          </a:graphic>
        </xdr:graphicFrame>
      </mc:Choice>
      <mc:Fallback xmlns="">
        <xdr:sp macro="" textlink="">
          <xdr:nvSpPr>
            <xdr:cNvPr id="0" name=""/>
            <xdr:cNvSpPr>
              <a:spLocks noTextEdit="1"/>
            </xdr:cNvSpPr>
          </xdr:nvSpPr>
          <xdr:spPr>
            <a:xfrm>
              <a:off x="13961175" y="1667618"/>
              <a:ext cx="1835258" cy="15367345"/>
            </a:xfrm>
            <a:prstGeom prst="rect">
              <a:avLst/>
            </a:prstGeom>
            <a:solidFill>
              <a:prstClr val="white"/>
            </a:solidFill>
            <a:ln w="1">
              <a:solidFill>
                <a:prstClr val="green"/>
              </a:solidFill>
            </a:ln>
          </xdr:spPr>
          <xdr:txBody>
            <a:bodyPr vertOverflow="clip" horzOverflow="clip"/>
            <a:lstStyle/>
            <a:p>
              <a:r>
                <a:rPr lang="es-MX"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5</xdr:col>
      <xdr:colOff>35560</xdr:colOff>
      <xdr:row>6</xdr:row>
      <xdr:rowOff>27940</xdr:rowOff>
    </xdr:from>
    <xdr:to>
      <xdr:col>5</xdr:col>
      <xdr:colOff>1864360</xdr:colOff>
      <xdr:row>60</xdr:row>
      <xdr:rowOff>162561</xdr:rowOff>
    </xdr:to>
    <mc:AlternateContent xmlns:mc="http://schemas.openxmlformats.org/markup-compatibility/2006" xmlns:a14="http://schemas.microsoft.com/office/drawing/2010/main">
      <mc:Choice Requires="a14">
        <xdr:graphicFrame macro="">
          <xdr:nvGraphicFramePr>
            <xdr:cNvPr id="6" name="Playlist_subgenre2">
              <a:extLst>
                <a:ext uri="{FF2B5EF4-FFF2-40B4-BE49-F238E27FC236}">
                  <a16:creationId xmlns:a16="http://schemas.microsoft.com/office/drawing/2014/main" id="{C90744F7-E7ED-2DCF-F957-66DA650EBB56}"/>
                </a:ext>
              </a:extLst>
            </xdr:cNvPr>
            <xdr:cNvGraphicFramePr/>
          </xdr:nvGraphicFramePr>
          <xdr:xfrm>
            <a:off x="0" y="0"/>
            <a:ext cx="0" cy="0"/>
          </xdr:xfrm>
          <a:graphic>
            <a:graphicData uri="http://schemas.microsoft.com/office/drawing/2010/slicer">
              <sle:slicer xmlns:sle="http://schemas.microsoft.com/office/drawing/2010/slicer" name="Playlist_subgenre2"/>
            </a:graphicData>
          </a:graphic>
        </xdr:graphicFrame>
      </mc:Choice>
      <mc:Fallback xmlns="">
        <xdr:sp macro="" textlink="">
          <xdr:nvSpPr>
            <xdr:cNvPr id="0" name=""/>
            <xdr:cNvSpPr>
              <a:spLocks noTextEdit="1"/>
            </xdr:cNvSpPr>
          </xdr:nvSpPr>
          <xdr:spPr>
            <a:xfrm>
              <a:off x="8968611" y="1685398"/>
              <a:ext cx="1828800" cy="11177163"/>
            </a:xfrm>
            <a:prstGeom prst="rect">
              <a:avLst/>
            </a:prstGeom>
            <a:solidFill>
              <a:prstClr val="white"/>
            </a:solidFill>
            <a:ln w="1">
              <a:solidFill>
                <a:prstClr val="green"/>
              </a:solidFill>
            </a:ln>
          </xdr:spPr>
          <xdr:txBody>
            <a:bodyPr vertOverflow="clip" horzOverflow="clip"/>
            <a:lstStyle/>
            <a:p>
              <a:r>
                <a:rPr lang="es-MX"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xdr:from>
      <xdr:col>0</xdr:col>
      <xdr:colOff>0</xdr:colOff>
      <xdr:row>36</xdr:row>
      <xdr:rowOff>106680</xdr:rowOff>
    </xdr:from>
    <xdr:to>
      <xdr:col>3</xdr:col>
      <xdr:colOff>0</xdr:colOff>
      <xdr:row>50</xdr:row>
      <xdr:rowOff>5080</xdr:rowOff>
    </xdr:to>
    <xdr:graphicFrame macro="">
      <xdr:nvGraphicFramePr>
        <xdr:cNvPr id="4" name="Gráfico 3">
          <a:extLst>
            <a:ext uri="{FF2B5EF4-FFF2-40B4-BE49-F238E27FC236}">
              <a16:creationId xmlns:a16="http://schemas.microsoft.com/office/drawing/2014/main" id="{2AA399C1-4051-028F-B817-E3178556CF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22860</xdr:colOff>
      <xdr:row>6</xdr:row>
      <xdr:rowOff>5080</xdr:rowOff>
    </xdr:from>
    <xdr:to>
      <xdr:col>3</xdr:col>
      <xdr:colOff>20320</xdr:colOff>
      <xdr:row>19</xdr:row>
      <xdr:rowOff>43051</xdr:rowOff>
    </xdr:to>
    <mc:AlternateContent xmlns:mc="http://schemas.openxmlformats.org/markup-compatibility/2006" xmlns:a14="http://schemas.microsoft.com/office/drawing/2010/main">
      <mc:Choice Requires="a14">
        <xdr:graphicFrame macro="">
          <xdr:nvGraphicFramePr>
            <xdr:cNvPr id="5" name="Generos Distri">
              <a:extLst>
                <a:ext uri="{FF2B5EF4-FFF2-40B4-BE49-F238E27FC236}">
                  <a16:creationId xmlns:a16="http://schemas.microsoft.com/office/drawing/2014/main" id="{7B14D317-DFB3-CCF0-9A05-A24E307094AB}"/>
                </a:ext>
              </a:extLst>
            </xdr:cNvPr>
            <xdr:cNvGraphicFramePr/>
          </xdr:nvGraphicFramePr>
          <xdr:xfrm>
            <a:off x="0" y="0"/>
            <a:ext cx="0" cy="0"/>
          </xdr:xfrm>
          <a:graphic>
            <a:graphicData uri="http://schemas.microsoft.com/office/drawing/2010/slicer">
              <sle:slicer xmlns:sle="http://schemas.microsoft.com/office/drawing/2010/slicer" name="Generos Distri"/>
            </a:graphicData>
          </a:graphic>
        </xdr:graphicFrame>
      </mc:Choice>
      <mc:Fallback xmlns="">
        <xdr:sp macro="" textlink="">
          <xdr:nvSpPr>
            <xdr:cNvPr id="0" name=""/>
            <xdr:cNvSpPr>
              <a:spLocks noTextEdit="1"/>
            </xdr:cNvSpPr>
          </xdr:nvSpPr>
          <xdr:spPr>
            <a:xfrm>
              <a:off x="3499216" y="1662538"/>
              <a:ext cx="1945511" cy="6221106"/>
            </a:xfrm>
            <a:prstGeom prst="rect">
              <a:avLst/>
            </a:prstGeom>
            <a:solidFill>
              <a:prstClr val="white"/>
            </a:solidFill>
            <a:ln w="1">
              <a:solidFill>
                <a:prstClr val="green"/>
              </a:solidFill>
            </a:ln>
          </xdr:spPr>
          <xdr:txBody>
            <a:bodyPr vertOverflow="clip" horzOverflow="clip"/>
            <a:lstStyle/>
            <a:p>
              <a:r>
                <a:rPr lang="es-MX"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xdr:from>
      <xdr:col>2</xdr:col>
      <xdr:colOff>1955800</xdr:colOff>
      <xdr:row>61</xdr:row>
      <xdr:rowOff>35560</xdr:rowOff>
    </xdr:from>
    <xdr:to>
      <xdr:col>5</xdr:col>
      <xdr:colOff>1889760</xdr:colOff>
      <xdr:row>74</xdr:row>
      <xdr:rowOff>137160</xdr:rowOff>
    </xdr:to>
    <xdr:graphicFrame macro="">
      <xdr:nvGraphicFramePr>
        <xdr:cNvPr id="7" name="Gráfico 6">
          <a:extLst>
            <a:ext uri="{FF2B5EF4-FFF2-40B4-BE49-F238E27FC236}">
              <a16:creationId xmlns:a16="http://schemas.microsoft.com/office/drawing/2014/main" id="{0273EF86-D9B5-31A6-5ECD-85E894DC89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1894237</xdr:colOff>
      <xdr:row>82</xdr:row>
      <xdr:rowOff>109693</xdr:rowOff>
    </xdr:from>
    <xdr:to>
      <xdr:col>10</xdr:col>
      <xdr:colOff>151797</xdr:colOff>
      <xdr:row>89</xdr:row>
      <xdr:rowOff>293865</xdr:rowOff>
    </xdr:to>
    <xdr:graphicFrame macro="">
      <xdr:nvGraphicFramePr>
        <xdr:cNvPr id="8" name="Gráfico 7">
          <a:extLst>
            <a:ext uri="{FF2B5EF4-FFF2-40B4-BE49-F238E27FC236}">
              <a16:creationId xmlns:a16="http://schemas.microsoft.com/office/drawing/2014/main" id="{7E8D8F91-3EA7-8043-DA33-389A24C18B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118391</xdr:colOff>
      <xdr:row>1</xdr:row>
      <xdr:rowOff>43050</xdr:rowOff>
    </xdr:from>
    <xdr:to>
      <xdr:col>8</xdr:col>
      <xdr:colOff>1032791</xdr:colOff>
      <xdr:row>3</xdr:row>
      <xdr:rowOff>75337</xdr:rowOff>
    </xdr:to>
    <xdr:pic>
      <xdr:nvPicPr>
        <xdr:cNvPr id="9" name="Gráfico 8" descr="Arrow: Slight curve con relleno sólido">
          <a:extLst>
            <a:ext uri="{FF2B5EF4-FFF2-40B4-BE49-F238E27FC236}">
              <a16:creationId xmlns:a16="http://schemas.microsoft.com/office/drawing/2014/main" id="{7C03C07F-8BE1-6100-189E-56E728AED73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4066866" y="387457"/>
          <a:ext cx="914400" cy="63499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21</xdr:col>
      <xdr:colOff>0</xdr:colOff>
      <xdr:row>1</xdr:row>
      <xdr:rowOff>0</xdr:rowOff>
    </xdr:from>
    <xdr:to>
      <xdr:col>22</xdr:col>
      <xdr:colOff>88900</xdr:colOff>
      <xdr:row>2</xdr:row>
      <xdr:rowOff>266699</xdr:rowOff>
    </xdr:to>
    <xdr:pic>
      <xdr:nvPicPr>
        <xdr:cNvPr id="2" name="Gráfico 1" descr="Arrow: Slight curve con relleno sólido">
          <a:extLst>
            <a:ext uri="{FF2B5EF4-FFF2-40B4-BE49-F238E27FC236}">
              <a16:creationId xmlns:a16="http://schemas.microsoft.com/office/drawing/2014/main" id="{97E62CC7-A54F-194C-A945-F41A0C3F3BD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335500" y="368300"/>
          <a:ext cx="914400" cy="63499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tiago Florin" refreshedDate="45754.915907407405" createdVersion="8" refreshedVersion="8" minRefreshableVersion="3" recordCount="73" xr:uid="{531771D5-0C9F-5847-827C-92C5A6CFD227}">
  <cacheSource type="worksheet">
    <worksheetSource name="Playlists"/>
  </cacheSource>
  <cacheFields count="3">
    <cacheField name="ID_playlist_name" numFmtId="0">
      <sharedItems containsSemiMixedTypes="0" containsString="0" containsNumber="1" containsInteger="1" minValue="1" maxValue="73"/>
    </cacheField>
    <cacheField name="playlist_name" numFmtId="0">
      <sharedItems count="73">
        <s v="80s Rock Anthems"/>
        <s v="90s Hip-Hop"/>
        <s v="African Heat"/>
        <s v="Afro Hits"/>
        <s v="Afro House"/>
        <s v="Afro-Latin Party"/>
        <s v="Alternative Rock"/>
        <s v="Ambient Chill"/>
        <s v="American Folk"/>
        <s v="Anime Hits"/>
        <s v="Arab X"/>
        <s v="Australian Indie"/>
        <s v="Bedroom Pop"/>
        <s v="Bhangra Bangers"/>
        <s v="Bollywood Butter"/>
        <s v="Bollywood Workout"/>
        <s v="Brazilian Funk"/>
        <s v="Chill Hop"/>
        <s v="Chill Spanish Vibes"/>
        <s v="Classic Blues"/>
        <s v="Classic Country"/>
        <s v="Classical Essentials"/>
        <s v="Cumbia Classics"/>
        <s v="Dark Academia"/>
        <s v="Death Metal Essentials"/>
        <s v="Deep House Relax"/>
        <s v="Desi Hip-Hop"/>
        <s v="EDM Hits"/>
        <s v="Feel Good Indie Rock"/>
        <s v="French Rap Classics"/>
        <s v="French Touch"/>
        <s v="Future Bass"/>
        <s v="Gangster Rap"/>
        <s v="Global Top 50"/>
        <s v="Heavy Metal Classics"/>
        <s v="Hip-Hop Drive"/>
        <s v="Indie Folk"/>
        <s v="Indie Rock Roadtrip"/>
        <s v="Jazz Classics"/>
        <s v="K-Drama OSTs"/>
        <s v="K-Pop Daebak"/>
        <s v="Latino Hip-Hop"/>
        <s v="Lofi Hip Hop"/>
        <s v="Meditative Vibes"/>
        <s v="Melodic Rap"/>
        <s v="Metal Essentials"/>
        <s v="Minimalism"/>
        <s v="Neo-Classical"/>
        <s v="Nordic Folk"/>
        <s v="Pop Punk Powerhouses"/>
        <s v="R&amp;B Hits"/>
        <s v="RapCaviar"/>
        <s v="Reggae Classics"/>
        <s v="Reggae Fusion"/>
        <s v="Reggaeton Hits"/>
        <s v="Rock Classics"/>
        <s v="Rock This"/>
        <s v="Scandi Pop"/>
        <s v="Soft Pop Hits"/>
        <s v="Soul Coffee"/>
        <s v="Southern Rock"/>
        <s v="Spanish Rock Classics"/>
        <s v="Techno Bunker"/>
        <s v="Throwback Party"/>
        <s v="Today's Top Hits"/>
        <s v="Top Gaming Tracks"/>
        <s v="Trap"/>
        <s v="Tropical House"/>
        <s v="Turkish Pop"/>
        <s v="Tuvan Throat Singing"/>
        <s v="UK Drill"/>
        <s v="Vaporwave Essentials"/>
        <s v="Viva Latino"/>
      </sharedItems>
    </cacheField>
    <cacheField name="Canciones por Playlist" numFmtId="0">
      <sharedItems containsSemiMixedTypes="0" containsString="0" containsNumber="1" containsInteger="1" minValue="1" maxValue="150" count="36">
        <n v="44"/>
        <n v="19"/>
        <n v="12"/>
        <n v="8"/>
        <n v="11"/>
        <n v="46"/>
        <n v="1"/>
        <n v="7"/>
        <n v="50"/>
        <n v="4"/>
        <n v="2"/>
        <n v="5"/>
        <n v="14"/>
        <n v="40"/>
        <n v="25"/>
        <n v="45"/>
        <n v="3"/>
        <n v="42"/>
        <n v="16"/>
        <n v="18"/>
        <n v="60"/>
        <n v="22"/>
        <n v="41"/>
        <n v="28"/>
        <n v="6"/>
        <n v="37"/>
        <n v="101"/>
        <n v="91"/>
        <n v="98"/>
        <n v="20"/>
        <n v="39"/>
        <n v="150"/>
        <n v="47"/>
        <n v="100"/>
        <n v="36"/>
        <n v="9"/>
      </sharedItems>
    </cacheField>
  </cacheFields>
  <extLst>
    <ext xmlns:x14="http://schemas.microsoft.com/office/spreadsheetml/2009/9/main" uri="{725AE2AE-9491-48be-B2B4-4EB974FC3084}">
      <x14:pivotCacheDefinition pivotCacheId="47565855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tiago Florin" refreshedDate="45792.515232175923" createdVersion="8" refreshedVersion="8" minRefreshableVersion="3" recordCount="1681" xr:uid="{DE9C2967-2B2F-BD48-9487-01425B359A62}">
  <cacheSource type="worksheet">
    <worksheetSource ref="E3:G1675" sheet="TB_Caracteristicas"/>
  </cacheSource>
  <cacheFields count="3">
    <cacheField name="Track_popularity" numFmtId="0">
      <sharedItems containsSemiMixedTypes="0" containsString="0" containsNumber="1" containsInteger="1" minValue="68" maxValue="100"/>
    </cacheField>
    <cacheField name="Mode" numFmtId="0">
      <sharedItems containsSemiMixedTypes="0" containsString="0" containsNumber="1" containsInteger="1" minValue="0" maxValue="1"/>
    </cacheField>
    <cacheField name="Key" numFmtId="0">
      <sharedItems containsSemiMixedTypes="0" containsString="0" containsNumber="1" containsInteger="1" minValue="0" maxValue="11" count="12">
        <n v="6"/>
        <n v="0"/>
        <n v="2"/>
        <n v="11"/>
        <n v="1"/>
        <n v="3"/>
        <n v="10"/>
        <n v="9"/>
        <n v="7"/>
        <n v="5"/>
        <n v="8"/>
        <n v="4"/>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tiago Florin" refreshedDate="45792.516750925926" createdVersion="8" refreshedVersion="8" minRefreshableVersion="3" recordCount="1681" xr:uid="{238197DA-8FE1-774C-8042-D7B18F58CDC0}">
  <cacheSource type="worksheet">
    <worksheetSource ref="A3:K1675" sheet="TB_Caracteristicas"/>
  </cacheSource>
  <cacheFields count="9">
    <cacheField name="Energy" numFmtId="9">
      <sharedItems containsSemiMixedTypes="0" containsString="0" containsNumber="1" minValue="1.6100000000000001E-3" maxValue="0.99"/>
    </cacheField>
    <cacheField name="Tempo" numFmtId="0">
      <sharedItems containsMixedTypes="1" containsNumber="1" containsInteger="1" minValue="49305" maxValue="209688"/>
    </cacheField>
    <cacheField name="Danceability" numFmtId="9">
      <sharedItems containsSemiMixedTypes="0" containsString="0" containsNumber="1" minValue="0.13600000000000001" maxValue="0.97899999999999998"/>
    </cacheField>
    <cacheField name="Valence" numFmtId="9">
      <sharedItems containsSemiMixedTypes="0" containsString="0" containsNumber="1" minValue="3.4799999999999998E-2" maxValue="0.97799999999999998"/>
    </cacheField>
    <cacheField name="Track_popularity" numFmtId="0">
      <sharedItems containsSemiMixedTypes="0" containsString="0" containsNumber="1" containsInteger="1" minValue="68" maxValue="100"/>
    </cacheField>
    <cacheField name="Mode" numFmtId="0">
      <sharedItems containsSemiMixedTypes="0" containsString="0" containsNumber="1" containsInteger="1" minValue="0" maxValue="1" count="2">
        <n v="0"/>
        <n v="1"/>
      </sharedItems>
    </cacheField>
    <cacheField name="Key" numFmtId="0">
      <sharedItems containsSemiMixedTypes="0" containsString="0" containsNumber="1" containsInteger="1" minValue="0" maxValue="11"/>
    </cacheField>
    <cacheField name="Duration_ms" numFmtId="1">
      <sharedItems containsSemiMixedTypes="0" containsString="0" containsNumber="1" containsInteger="1" minValue="61673" maxValue="547107"/>
    </cacheField>
    <cacheField name="Acousticness" numFmtId="9">
      <sharedItems containsSemiMixedTypes="0" containsString="0" containsNumber="1" minValue="1.33E-5" maxValue="0.995"/>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tiago Florin" refreshedDate="45818.671036921296" createdVersion="8" refreshedVersion="8" minRefreshableVersion="3" recordCount="1676" xr:uid="{DD66FAAC-05D0-1841-B896-6E5673342FB8}">
  <cacheSource type="worksheet">
    <worksheetSource name="Music_Data"/>
  </cacheSource>
  <cacheFields count="15">
    <cacheField name="Energy" numFmtId="9">
      <sharedItems containsSemiMixedTypes="0" containsString="0" containsNumber="1" minValue="1.6100000000000001E-3" maxValue="0.99"/>
    </cacheField>
    <cacheField name="Tempo" numFmtId="0">
      <sharedItems containsSemiMixedTypes="0" containsString="0" containsNumber="1" containsInteger="1" minValue="67" maxValue="999"/>
    </cacheField>
    <cacheField name="Danceability" numFmtId="9">
      <sharedItems containsSemiMixedTypes="0" containsString="0" containsNumber="1" minValue="0.13600000000000001" maxValue="0.97899999999999998"/>
    </cacheField>
    <cacheField name="Playlist_genre2" numFmtId="9">
      <sharedItems count="28">
        <s v="Afrobeats"/>
        <s v="Ambient"/>
        <s v="Arabic"/>
        <s v="Blues"/>
        <s v="Brazilian"/>
        <s v="Classical"/>
        <s v="Country"/>
        <s v="Electronic"/>
        <s v="Folk"/>
        <s v="Gaming"/>
        <s v="Hip-Hop"/>
        <s v="Indian"/>
        <s v="Indie"/>
        <s v="J-Pop"/>
        <s v="Jazz"/>
        <s v="K-Pop"/>
        <s v="Korean"/>
        <s v="Latin"/>
        <s v="Lofi"/>
        <s v="Metal"/>
        <s v="Pop"/>
        <s v="Punk"/>
        <s v="R&amp;B"/>
        <s v="Reggae"/>
        <s v="Rock"/>
        <s v="Soul"/>
        <s v="Turkish"/>
        <s v="World"/>
      </sharedItems>
    </cacheField>
    <cacheField name="Valence" numFmtId="9">
      <sharedItems containsSemiMixedTypes="0" containsString="0" containsNumber="1" minValue="3.4799999999999998E-2" maxValue="0.97799999999999998"/>
    </cacheField>
    <cacheField name="Track_artist" numFmtId="0">
      <sharedItems/>
    </cacheField>
    <cacheField name="Track_popularity" numFmtId="0">
      <sharedItems containsSemiMixedTypes="0" containsString="0" containsNumber="1" containsInteger="1" minValue="68" maxValue="100"/>
    </cacheField>
    <cacheField name="Playlist_name" numFmtId="0">
      <sharedItems/>
    </cacheField>
    <cacheField name="Track_name" numFmtId="0">
      <sharedItems containsDate="1" containsMixedTypes="1" minDate="1899-12-30T06:00:00" maxDate="1899-12-31T06:40:04"/>
    </cacheField>
    <cacheField name="Track_album_release_date" numFmtId="164">
      <sharedItems containsSemiMixedTypes="0" containsNonDate="0" containsDate="1" containsString="0" minDate="1905-05-23T00:00:00" maxDate="2024-11-20T00:00:00"/>
    </cacheField>
    <cacheField name="Mode" numFmtId="0">
      <sharedItems containsSemiMixedTypes="0" containsString="0" containsNumber="1" containsInteger="1" minValue="0" maxValue="1"/>
    </cacheField>
    <cacheField name="Key" numFmtId="0">
      <sharedItems containsSemiMixedTypes="0" containsString="0" containsNumber="1" containsInteger="1" minValue="0" maxValue="11"/>
    </cacheField>
    <cacheField name="Duration_minutes" numFmtId="1">
      <sharedItems containsSemiMixedTypes="0" containsString="0" containsNumber="1" minValue="1.6666666666666667" maxValue="16.649999999999999"/>
    </cacheField>
    <cacheField name="Acousticness" numFmtId="9">
      <sharedItems containsSemiMixedTypes="0" containsString="0" containsNumber="1" minValue="1.33E-5" maxValue="0.995"/>
    </cacheField>
    <cacheField name="Playlist_subgenre2" numFmtId="9">
      <sharedItems count="53">
        <s v="Nigerian"/>
        <s v="African"/>
        <s v="Academic"/>
        <s v="Meditative"/>
        <s v="Chill"/>
        <s v="Modern"/>
        <s v="Classic"/>
        <s v="Funk"/>
        <s v="Essential"/>
        <s v="Neo-Classical"/>
        <s v="Tropical"/>
        <s v="Techno"/>
        <s v="Afro House"/>
        <s v="French"/>
        <s v="Vaporwave"/>
        <s v="Deep House"/>
        <s v="Future Bass"/>
        <s v="Indie"/>
        <s v="American"/>
        <s v="Nordic"/>
        <s v="Gangster"/>
        <s v="Desi"/>
        <s v="Trap"/>
        <s v="Melodic"/>
        <s v="90S"/>
        <s v="Drill"/>
        <s v="Bhangra"/>
        <s v="Bollywood"/>
        <s v="Workout"/>
        <s v="Australian"/>
        <s v="Anime"/>
        <s v="Drama"/>
        <s v="Reggaeton"/>
        <s v="Afro-Latin"/>
        <s v="Cumbia"/>
        <s v="Hip-Hop"/>
        <s v="Death"/>
        <s v="Heavy"/>
        <s v="Mainstream"/>
        <s v="Global"/>
        <s v="Throwback"/>
        <s v="Soft"/>
        <s v="Bedroom"/>
        <s v="Scandi"/>
        <s v="Pop Punk"/>
        <s v="Fusion"/>
        <s v="Alternative"/>
        <s v="80S"/>
        <s v="Feel-Good"/>
        <s v="Spanish"/>
        <s v="Southern"/>
        <s v="Pop"/>
        <s v="Throat Singing"/>
      </sharedItems>
    </cacheField>
  </cacheFields>
  <extLst>
    <ext xmlns:x14="http://schemas.microsoft.com/office/spreadsheetml/2009/9/main" uri="{725AE2AE-9491-48be-B2B4-4EB974FC3084}">
      <x14:pivotCacheDefinition pivotCacheId="177160793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tiago Florin" refreshedDate="45823.489522916665" createdVersion="8" refreshedVersion="8" minRefreshableVersion="3" recordCount="4" xr:uid="{E66C2EA6-8788-D845-A12F-A356EA7C4953}">
  <cacheSource type="worksheet">
    <worksheetSource name="Tabla7"/>
  </cacheSource>
  <cacheFields count="2">
    <cacheField name="Variables" numFmtId="0">
      <sharedItems count="4">
        <s v="Energy"/>
        <s v="Danceability"/>
        <s v="Acousticness"/>
        <s v="Valence"/>
      </sharedItems>
    </cacheField>
    <cacheField name="Promedios de todas las canciones" numFmtId="9">
      <sharedItems containsSemiMixedTypes="0" containsString="0" containsNumber="1" minValue="0.22162031309808583" maxValue="0.66718020334928163"/>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3">
  <r>
    <n v="1"/>
    <x v="0"/>
    <x v="0"/>
  </r>
  <r>
    <n v="2"/>
    <x v="1"/>
    <x v="1"/>
  </r>
  <r>
    <n v="3"/>
    <x v="2"/>
    <x v="2"/>
  </r>
  <r>
    <n v="4"/>
    <x v="3"/>
    <x v="3"/>
  </r>
  <r>
    <n v="5"/>
    <x v="4"/>
    <x v="4"/>
  </r>
  <r>
    <n v="6"/>
    <x v="5"/>
    <x v="4"/>
  </r>
  <r>
    <n v="7"/>
    <x v="6"/>
    <x v="5"/>
  </r>
  <r>
    <n v="8"/>
    <x v="7"/>
    <x v="6"/>
  </r>
  <r>
    <n v="9"/>
    <x v="8"/>
    <x v="7"/>
  </r>
  <r>
    <n v="10"/>
    <x v="9"/>
    <x v="4"/>
  </r>
  <r>
    <n v="11"/>
    <x v="10"/>
    <x v="8"/>
  </r>
  <r>
    <n v="12"/>
    <x v="11"/>
    <x v="9"/>
  </r>
  <r>
    <n v="13"/>
    <x v="12"/>
    <x v="4"/>
  </r>
  <r>
    <n v="14"/>
    <x v="13"/>
    <x v="10"/>
  </r>
  <r>
    <n v="15"/>
    <x v="14"/>
    <x v="11"/>
  </r>
  <r>
    <n v="16"/>
    <x v="15"/>
    <x v="10"/>
  </r>
  <r>
    <n v="17"/>
    <x v="16"/>
    <x v="12"/>
  </r>
  <r>
    <n v="18"/>
    <x v="17"/>
    <x v="13"/>
  </r>
  <r>
    <n v="19"/>
    <x v="18"/>
    <x v="14"/>
  </r>
  <r>
    <n v="20"/>
    <x v="19"/>
    <x v="15"/>
  </r>
  <r>
    <n v="21"/>
    <x v="20"/>
    <x v="16"/>
  </r>
  <r>
    <n v="22"/>
    <x v="21"/>
    <x v="16"/>
  </r>
  <r>
    <n v="23"/>
    <x v="22"/>
    <x v="16"/>
  </r>
  <r>
    <n v="24"/>
    <x v="23"/>
    <x v="17"/>
  </r>
  <r>
    <n v="25"/>
    <x v="24"/>
    <x v="18"/>
  </r>
  <r>
    <n v="26"/>
    <x v="25"/>
    <x v="6"/>
  </r>
  <r>
    <n v="27"/>
    <x v="26"/>
    <x v="19"/>
  </r>
  <r>
    <n v="28"/>
    <x v="27"/>
    <x v="20"/>
  </r>
  <r>
    <n v="29"/>
    <x v="28"/>
    <x v="21"/>
  </r>
  <r>
    <n v="30"/>
    <x v="29"/>
    <x v="16"/>
  </r>
  <r>
    <n v="31"/>
    <x v="30"/>
    <x v="19"/>
  </r>
  <r>
    <n v="32"/>
    <x v="31"/>
    <x v="16"/>
  </r>
  <r>
    <n v="33"/>
    <x v="32"/>
    <x v="22"/>
  </r>
  <r>
    <n v="34"/>
    <x v="33"/>
    <x v="8"/>
  </r>
  <r>
    <n v="35"/>
    <x v="34"/>
    <x v="16"/>
  </r>
  <r>
    <n v="36"/>
    <x v="35"/>
    <x v="6"/>
  </r>
  <r>
    <n v="37"/>
    <x v="36"/>
    <x v="14"/>
  </r>
  <r>
    <n v="38"/>
    <x v="37"/>
    <x v="11"/>
  </r>
  <r>
    <n v="39"/>
    <x v="38"/>
    <x v="6"/>
  </r>
  <r>
    <n v="40"/>
    <x v="39"/>
    <x v="3"/>
  </r>
  <r>
    <n v="41"/>
    <x v="40"/>
    <x v="4"/>
  </r>
  <r>
    <n v="42"/>
    <x v="41"/>
    <x v="10"/>
  </r>
  <r>
    <n v="43"/>
    <x v="42"/>
    <x v="10"/>
  </r>
  <r>
    <n v="44"/>
    <x v="43"/>
    <x v="19"/>
  </r>
  <r>
    <n v="45"/>
    <x v="44"/>
    <x v="23"/>
  </r>
  <r>
    <n v="46"/>
    <x v="45"/>
    <x v="18"/>
  </r>
  <r>
    <n v="47"/>
    <x v="46"/>
    <x v="6"/>
  </r>
  <r>
    <n v="48"/>
    <x v="47"/>
    <x v="24"/>
  </r>
  <r>
    <n v="49"/>
    <x v="48"/>
    <x v="6"/>
  </r>
  <r>
    <n v="50"/>
    <x v="49"/>
    <x v="8"/>
  </r>
  <r>
    <n v="51"/>
    <x v="50"/>
    <x v="8"/>
  </r>
  <r>
    <n v="52"/>
    <x v="51"/>
    <x v="25"/>
  </r>
  <r>
    <n v="53"/>
    <x v="52"/>
    <x v="9"/>
  </r>
  <r>
    <n v="54"/>
    <x v="53"/>
    <x v="6"/>
  </r>
  <r>
    <n v="55"/>
    <x v="54"/>
    <x v="26"/>
  </r>
  <r>
    <n v="56"/>
    <x v="55"/>
    <x v="27"/>
  </r>
  <r>
    <n v="57"/>
    <x v="56"/>
    <x v="9"/>
  </r>
  <r>
    <n v="58"/>
    <x v="57"/>
    <x v="6"/>
  </r>
  <r>
    <n v="59"/>
    <x v="58"/>
    <x v="28"/>
  </r>
  <r>
    <n v="60"/>
    <x v="59"/>
    <x v="10"/>
  </r>
  <r>
    <n v="61"/>
    <x v="60"/>
    <x v="16"/>
  </r>
  <r>
    <n v="62"/>
    <x v="61"/>
    <x v="29"/>
  </r>
  <r>
    <n v="63"/>
    <x v="62"/>
    <x v="30"/>
  </r>
  <r>
    <n v="64"/>
    <x v="63"/>
    <x v="31"/>
  </r>
  <r>
    <n v="65"/>
    <x v="64"/>
    <x v="32"/>
  </r>
  <r>
    <n v="66"/>
    <x v="65"/>
    <x v="33"/>
  </r>
  <r>
    <n v="67"/>
    <x v="66"/>
    <x v="34"/>
  </r>
  <r>
    <n v="68"/>
    <x v="67"/>
    <x v="7"/>
  </r>
  <r>
    <n v="69"/>
    <x v="68"/>
    <x v="7"/>
  </r>
  <r>
    <n v="70"/>
    <x v="69"/>
    <x v="9"/>
  </r>
  <r>
    <n v="71"/>
    <x v="70"/>
    <x v="9"/>
  </r>
  <r>
    <n v="72"/>
    <x v="71"/>
    <x v="35"/>
  </r>
  <r>
    <n v="73"/>
    <x v="72"/>
    <x v="1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81">
  <r>
    <n v="100"/>
    <n v="0"/>
    <x v="0"/>
  </r>
  <r>
    <n v="100"/>
    <n v="0"/>
    <x v="0"/>
  </r>
  <r>
    <n v="100"/>
    <n v="0"/>
    <x v="0"/>
  </r>
  <r>
    <n v="98"/>
    <n v="0"/>
    <x v="1"/>
  </r>
  <r>
    <n v="98"/>
    <n v="0"/>
    <x v="1"/>
  </r>
  <r>
    <n v="97"/>
    <n v="1"/>
    <x v="2"/>
  </r>
  <r>
    <n v="97"/>
    <n v="1"/>
    <x v="2"/>
  </r>
  <r>
    <n v="97"/>
    <n v="1"/>
    <x v="2"/>
  </r>
  <r>
    <n v="94"/>
    <n v="0"/>
    <x v="3"/>
  </r>
  <r>
    <n v="94"/>
    <n v="0"/>
    <x v="3"/>
  </r>
  <r>
    <n v="94"/>
    <n v="0"/>
    <x v="3"/>
  </r>
  <r>
    <n v="93"/>
    <n v="1"/>
    <x v="4"/>
  </r>
  <r>
    <n v="93"/>
    <n v="0"/>
    <x v="0"/>
  </r>
  <r>
    <n v="93"/>
    <n v="1"/>
    <x v="0"/>
  </r>
  <r>
    <n v="93"/>
    <n v="1"/>
    <x v="3"/>
  </r>
  <r>
    <n v="93"/>
    <n v="1"/>
    <x v="0"/>
  </r>
  <r>
    <n v="93"/>
    <n v="1"/>
    <x v="3"/>
  </r>
  <r>
    <n v="93"/>
    <n v="1"/>
    <x v="4"/>
  </r>
  <r>
    <n v="93"/>
    <n v="1"/>
    <x v="3"/>
  </r>
  <r>
    <n v="93"/>
    <n v="1"/>
    <x v="5"/>
  </r>
  <r>
    <n v="93"/>
    <n v="1"/>
    <x v="0"/>
  </r>
  <r>
    <n v="93"/>
    <n v="0"/>
    <x v="0"/>
  </r>
  <r>
    <n v="93"/>
    <n v="1"/>
    <x v="3"/>
  </r>
  <r>
    <n v="93"/>
    <n v="1"/>
    <x v="3"/>
  </r>
  <r>
    <n v="93"/>
    <n v="1"/>
    <x v="3"/>
  </r>
  <r>
    <n v="92"/>
    <n v="0"/>
    <x v="3"/>
  </r>
  <r>
    <n v="92"/>
    <n v="0"/>
    <x v="1"/>
  </r>
  <r>
    <n v="92"/>
    <n v="0"/>
    <x v="3"/>
  </r>
  <r>
    <n v="92"/>
    <n v="0"/>
    <x v="1"/>
  </r>
  <r>
    <n v="92"/>
    <n v="0"/>
    <x v="3"/>
  </r>
  <r>
    <n v="92"/>
    <n v="0"/>
    <x v="3"/>
  </r>
  <r>
    <n v="90"/>
    <n v="1"/>
    <x v="6"/>
  </r>
  <r>
    <n v="90"/>
    <n v="1"/>
    <x v="1"/>
  </r>
  <r>
    <n v="90"/>
    <n v="1"/>
    <x v="1"/>
  </r>
  <r>
    <n v="90"/>
    <n v="1"/>
    <x v="6"/>
  </r>
  <r>
    <n v="90"/>
    <n v="1"/>
    <x v="6"/>
  </r>
  <r>
    <n v="90"/>
    <n v="0"/>
    <x v="1"/>
  </r>
  <r>
    <n v="90"/>
    <n v="1"/>
    <x v="0"/>
  </r>
  <r>
    <n v="90"/>
    <n v="0"/>
    <x v="3"/>
  </r>
  <r>
    <n v="90"/>
    <n v="1"/>
    <x v="0"/>
  </r>
  <r>
    <n v="89"/>
    <n v="0"/>
    <x v="6"/>
  </r>
  <r>
    <n v="89"/>
    <n v="1"/>
    <x v="7"/>
  </r>
  <r>
    <n v="89"/>
    <n v="1"/>
    <x v="2"/>
  </r>
  <r>
    <n v="89"/>
    <n v="0"/>
    <x v="0"/>
  </r>
  <r>
    <n v="89"/>
    <n v="1"/>
    <x v="8"/>
  </r>
  <r>
    <n v="89"/>
    <n v="0"/>
    <x v="0"/>
  </r>
  <r>
    <n v="89"/>
    <n v="0"/>
    <x v="8"/>
  </r>
  <r>
    <n v="89"/>
    <n v="1"/>
    <x v="7"/>
  </r>
  <r>
    <n v="89"/>
    <n v="1"/>
    <x v="6"/>
  </r>
  <r>
    <n v="89"/>
    <n v="1"/>
    <x v="7"/>
  </r>
  <r>
    <n v="89"/>
    <n v="1"/>
    <x v="3"/>
  </r>
  <r>
    <n v="89"/>
    <n v="1"/>
    <x v="9"/>
  </r>
  <r>
    <n v="89"/>
    <n v="1"/>
    <x v="10"/>
  </r>
  <r>
    <n v="89"/>
    <n v="1"/>
    <x v="10"/>
  </r>
  <r>
    <n v="89"/>
    <n v="0"/>
    <x v="8"/>
  </r>
  <r>
    <n v="89"/>
    <n v="1"/>
    <x v="10"/>
  </r>
  <r>
    <n v="89"/>
    <n v="1"/>
    <x v="3"/>
  </r>
  <r>
    <n v="89"/>
    <n v="1"/>
    <x v="2"/>
  </r>
  <r>
    <n v="89"/>
    <n v="1"/>
    <x v="9"/>
  </r>
  <r>
    <n v="89"/>
    <n v="1"/>
    <x v="8"/>
  </r>
  <r>
    <n v="88"/>
    <n v="1"/>
    <x v="6"/>
  </r>
  <r>
    <n v="88"/>
    <n v="1"/>
    <x v="7"/>
  </r>
  <r>
    <n v="88"/>
    <n v="1"/>
    <x v="0"/>
  </r>
  <r>
    <n v="88"/>
    <n v="1"/>
    <x v="4"/>
  </r>
  <r>
    <n v="88"/>
    <n v="0"/>
    <x v="4"/>
  </r>
  <r>
    <n v="88"/>
    <n v="1"/>
    <x v="4"/>
  </r>
  <r>
    <n v="88"/>
    <n v="1"/>
    <x v="4"/>
  </r>
  <r>
    <n v="88"/>
    <n v="1"/>
    <x v="4"/>
  </r>
  <r>
    <n v="88"/>
    <n v="1"/>
    <x v="4"/>
  </r>
  <r>
    <n v="88"/>
    <n v="0"/>
    <x v="8"/>
  </r>
  <r>
    <n v="88"/>
    <n v="1"/>
    <x v="4"/>
  </r>
  <r>
    <n v="88"/>
    <n v="0"/>
    <x v="5"/>
  </r>
  <r>
    <n v="88"/>
    <n v="0"/>
    <x v="4"/>
  </r>
  <r>
    <n v="88"/>
    <n v="1"/>
    <x v="0"/>
  </r>
  <r>
    <n v="88"/>
    <n v="1"/>
    <x v="4"/>
  </r>
  <r>
    <n v="88"/>
    <n v="1"/>
    <x v="7"/>
  </r>
  <r>
    <n v="88"/>
    <n v="1"/>
    <x v="1"/>
  </r>
  <r>
    <n v="88"/>
    <n v="1"/>
    <x v="7"/>
  </r>
  <r>
    <n v="88"/>
    <n v="1"/>
    <x v="4"/>
  </r>
  <r>
    <n v="88"/>
    <n v="1"/>
    <x v="4"/>
  </r>
  <r>
    <n v="88"/>
    <n v="1"/>
    <x v="0"/>
  </r>
  <r>
    <n v="88"/>
    <n v="0"/>
    <x v="5"/>
  </r>
  <r>
    <n v="88"/>
    <n v="1"/>
    <x v="4"/>
  </r>
  <r>
    <n v="88"/>
    <n v="0"/>
    <x v="5"/>
  </r>
  <r>
    <n v="88"/>
    <n v="0"/>
    <x v="5"/>
  </r>
  <r>
    <n v="88"/>
    <n v="0"/>
    <x v="8"/>
  </r>
  <r>
    <n v="88"/>
    <n v="0"/>
    <x v="8"/>
  </r>
  <r>
    <n v="88"/>
    <n v="1"/>
    <x v="7"/>
  </r>
  <r>
    <n v="87"/>
    <n v="1"/>
    <x v="4"/>
  </r>
  <r>
    <n v="87"/>
    <n v="1"/>
    <x v="4"/>
  </r>
  <r>
    <n v="87"/>
    <n v="1"/>
    <x v="7"/>
  </r>
  <r>
    <n v="87"/>
    <n v="1"/>
    <x v="10"/>
  </r>
  <r>
    <n v="87"/>
    <n v="1"/>
    <x v="8"/>
  </r>
  <r>
    <n v="87"/>
    <n v="1"/>
    <x v="7"/>
  </r>
  <r>
    <n v="87"/>
    <n v="0"/>
    <x v="11"/>
  </r>
  <r>
    <n v="87"/>
    <n v="0"/>
    <x v="3"/>
  </r>
  <r>
    <n v="87"/>
    <n v="1"/>
    <x v="9"/>
  </r>
  <r>
    <n v="87"/>
    <n v="0"/>
    <x v="3"/>
  </r>
  <r>
    <n v="87"/>
    <n v="1"/>
    <x v="7"/>
  </r>
  <r>
    <n v="87"/>
    <n v="1"/>
    <x v="1"/>
  </r>
  <r>
    <n v="87"/>
    <n v="1"/>
    <x v="8"/>
  </r>
  <r>
    <n v="87"/>
    <n v="0"/>
    <x v="3"/>
  </r>
  <r>
    <n v="87"/>
    <n v="1"/>
    <x v="7"/>
  </r>
  <r>
    <n v="87"/>
    <n v="0"/>
    <x v="10"/>
  </r>
  <r>
    <n v="87"/>
    <n v="0"/>
    <x v="5"/>
  </r>
  <r>
    <n v="87"/>
    <n v="1"/>
    <x v="9"/>
  </r>
  <r>
    <n v="86"/>
    <n v="1"/>
    <x v="7"/>
  </r>
  <r>
    <n v="86"/>
    <n v="0"/>
    <x v="3"/>
  </r>
  <r>
    <n v="86"/>
    <n v="0"/>
    <x v="9"/>
  </r>
  <r>
    <n v="86"/>
    <n v="0"/>
    <x v="10"/>
  </r>
  <r>
    <n v="86"/>
    <n v="1"/>
    <x v="8"/>
  </r>
  <r>
    <n v="86"/>
    <n v="0"/>
    <x v="0"/>
  </r>
  <r>
    <n v="86"/>
    <n v="1"/>
    <x v="2"/>
  </r>
  <r>
    <n v="86"/>
    <n v="0"/>
    <x v="7"/>
  </r>
  <r>
    <n v="86"/>
    <n v="1"/>
    <x v="9"/>
  </r>
  <r>
    <n v="86"/>
    <n v="1"/>
    <x v="10"/>
  </r>
  <r>
    <n v="86"/>
    <n v="0"/>
    <x v="3"/>
  </r>
  <r>
    <n v="86"/>
    <n v="1"/>
    <x v="7"/>
  </r>
  <r>
    <n v="86"/>
    <n v="0"/>
    <x v="10"/>
  </r>
  <r>
    <n v="86"/>
    <n v="1"/>
    <x v="9"/>
  </r>
  <r>
    <n v="86"/>
    <n v="1"/>
    <x v="5"/>
  </r>
  <r>
    <n v="86"/>
    <n v="0"/>
    <x v="11"/>
  </r>
  <r>
    <n v="86"/>
    <n v="0"/>
    <x v="3"/>
  </r>
  <r>
    <n v="86"/>
    <n v="0"/>
    <x v="11"/>
  </r>
  <r>
    <n v="86"/>
    <n v="1"/>
    <x v="10"/>
  </r>
  <r>
    <n v="86"/>
    <n v="0"/>
    <x v="4"/>
  </r>
  <r>
    <n v="86"/>
    <n v="1"/>
    <x v="10"/>
  </r>
  <r>
    <n v="86"/>
    <n v="1"/>
    <x v="8"/>
  </r>
  <r>
    <n v="86"/>
    <n v="0"/>
    <x v="4"/>
  </r>
  <r>
    <n v="85"/>
    <n v="1"/>
    <x v="8"/>
  </r>
  <r>
    <n v="85"/>
    <n v="0"/>
    <x v="11"/>
  </r>
  <r>
    <n v="85"/>
    <n v="1"/>
    <x v="6"/>
  </r>
  <r>
    <n v="85"/>
    <n v="0"/>
    <x v="9"/>
  </r>
  <r>
    <n v="85"/>
    <n v="1"/>
    <x v="10"/>
  </r>
  <r>
    <n v="85"/>
    <n v="0"/>
    <x v="11"/>
  </r>
  <r>
    <n v="85"/>
    <n v="0"/>
    <x v="6"/>
  </r>
  <r>
    <n v="85"/>
    <n v="0"/>
    <x v="11"/>
  </r>
  <r>
    <n v="85"/>
    <n v="1"/>
    <x v="5"/>
  </r>
  <r>
    <n v="85"/>
    <n v="0"/>
    <x v="3"/>
  </r>
  <r>
    <n v="85"/>
    <n v="0"/>
    <x v="11"/>
  </r>
  <r>
    <n v="85"/>
    <n v="0"/>
    <x v="8"/>
  </r>
  <r>
    <n v="85"/>
    <n v="1"/>
    <x v="0"/>
  </r>
  <r>
    <n v="85"/>
    <n v="1"/>
    <x v="8"/>
  </r>
  <r>
    <n v="85"/>
    <n v="1"/>
    <x v="6"/>
  </r>
  <r>
    <n v="85"/>
    <n v="1"/>
    <x v="8"/>
  </r>
  <r>
    <n v="85"/>
    <n v="1"/>
    <x v="8"/>
  </r>
  <r>
    <n v="85"/>
    <n v="1"/>
    <x v="9"/>
  </r>
  <r>
    <n v="85"/>
    <n v="1"/>
    <x v="4"/>
  </r>
  <r>
    <n v="85"/>
    <n v="0"/>
    <x v="11"/>
  </r>
  <r>
    <n v="85"/>
    <n v="1"/>
    <x v="9"/>
  </r>
  <r>
    <n v="85"/>
    <n v="1"/>
    <x v="6"/>
  </r>
  <r>
    <n v="85"/>
    <n v="0"/>
    <x v="3"/>
  </r>
  <r>
    <n v="85"/>
    <n v="1"/>
    <x v="4"/>
  </r>
  <r>
    <n v="85"/>
    <n v="0"/>
    <x v="9"/>
  </r>
  <r>
    <n v="85"/>
    <n v="1"/>
    <x v="4"/>
  </r>
  <r>
    <n v="85"/>
    <n v="0"/>
    <x v="11"/>
  </r>
  <r>
    <n v="84"/>
    <n v="1"/>
    <x v="8"/>
  </r>
  <r>
    <n v="84"/>
    <n v="1"/>
    <x v="8"/>
  </r>
  <r>
    <n v="84"/>
    <n v="0"/>
    <x v="0"/>
  </r>
  <r>
    <n v="84"/>
    <n v="1"/>
    <x v="3"/>
  </r>
  <r>
    <n v="84"/>
    <n v="0"/>
    <x v="4"/>
  </r>
  <r>
    <n v="84"/>
    <n v="1"/>
    <x v="0"/>
  </r>
  <r>
    <n v="84"/>
    <n v="1"/>
    <x v="1"/>
  </r>
  <r>
    <n v="84"/>
    <n v="1"/>
    <x v="1"/>
  </r>
  <r>
    <n v="84"/>
    <n v="0"/>
    <x v="0"/>
  </r>
  <r>
    <n v="84"/>
    <n v="1"/>
    <x v="2"/>
  </r>
  <r>
    <n v="84"/>
    <n v="1"/>
    <x v="2"/>
  </r>
  <r>
    <n v="84"/>
    <n v="0"/>
    <x v="4"/>
  </r>
  <r>
    <n v="84"/>
    <n v="0"/>
    <x v="2"/>
  </r>
  <r>
    <n v="84"/>
    <n v="0"/>
    <x v="8"/>
  </r>
  <r>
    <n v="84"/>
    <n v="1"/>
    <x v="1"/>
  </r>
  <r>
    <n v="84"/>
    <n v="1"/>
    <x v="8"/>
  </r>
  <r>
    <n v="84"/>
    <n v="1"/>
    <x v="8"/>
  </r>
  <r>
    <n v="84"/>
    <n v="1"/>
    <x v="10"/>
  </r>
  <r>
    <n v="84"/>
    <n v="1"/>
    <x v="10"/>
  </r>
  <r>
    <n v="84"/>
    <n v="1"/>
    <x v="3"/>
  </r>
  <r>
    <n v="84"/>
    <n v="1"/>
    <x v="8"/>
  </r>
  <r>
    <n v="84"/>
    <n v="0"/>
    <x v="8"/>
  </r>
  <r>
    <n v="84"/>
    <n v="0"/>
    <x v="6"/>
  </r>
  <r>
    <n v="84"/>
    <n v="1"/>
    <x v="2"/>
  </r>
  <r>
    <n v="84"/>
    <n v="0"/>
    <x v="6"/>
  </r>
  <r>
    <n v="84"/>
    <n v="1"/>
    <x v="7"/>
  </r>
  <r>
    <n v="84"/>
    <n v="1"/>
    <x v="6"/>
  </r>
  <r>
    <n v="84"/>
    <n v="1"/>
    <x v="9"/>
  </r>
  <r>
    <n v="84"/>
    <n v="1"/>
    <x v="2"/>
  </r>
  <r>
    <n v="84"/>
    <n v="1"/>
    <x v="9"/>
  </r>
  <r>
    <n v="84"/>
    <n v="0"/>
    <x v="1"/>
  </r>
  <r>
    <n v="84"/>
    <n v="1"/>
    <x v="1"/>
  </r>
  <r>
    <n v="84"/>
    <n v="1"/>
    <x v="8"/>
  </r>
  <r>
    <n v="84"/>
    <n v="1"/>
    <x v="11"/>
  </r>
  <r>
    <n v="84"/>
    <n v="1"/>
    <x v="10"/>
  </r>
  <r>
    <n v="84"/>
    <n v="0"/>
    <x v="0"/>
  </r>
  <r>
    <n v="84"/>
    <n v="0"/>
    <x v="6"/>
  </r>
  <r>
    <n v="84"/>
    <n v="1"/>
    <x v="2"/>
  </r>
  <r>
    <n v="84"/>
    <n v="1"/>
    <x v="9"/>
  </r>
  <r>
    <n v="84"/>
    <n v="1"/>
    <x v="0"/>
  </r>
  <r>
    <n v="84"/>
    <n v="1"/>
    <x v="5"/>
  </r>
  <r>
    <n v="84"/>
    <n v="1"/>
    <x v="8"/>
  </r>
  <r>
    <n v="84"/>
    <n v="1"/>
    <x v="2"/>
  </r>
  <r>
    <n v="84"/>
    <n v="1"/>
    <x v="2"/>
  </r>
  <r>
    <n v="84"/>
    <n v="0"/>
    <x v="4"/>
  </r>
  <r>
    <n v="84"/>
    <n v="1"/>
    <x v="9"/>
  </r>
  <r>
    <n v="84"/>
    <n v="1"/>
    <x v="2"/>
  </r>
  <r>
    <n v="84"/>
    <n v="0"/>
    <x v="11"/>
  </r>
  <r>
    <n v="84"/>
    <n v="0"/>
    <x v="3"/>
  </r>
  <r>
    <n v="84"/>
    <n v="0"/>
    <x v="1"/>
  </r>
  <r>
    <n v="83"/>
    <n v="1"/>
    <x v="11"/>
  </r>
  <r>
    <n v="83"/>
    <n v="1"/>
    <x v="7"/>
  </r>
  <r>
    <n v="83"/>
    <n v="1"/>
    <x v="7"/>
  </r>
  <r>
    <n v="83"/>
    <n v="0"/>
    <x v="3"/>
  </r>
  <r>
    <n v="83"/>
    <n v="1"/>
    <x v="10"/>
  </r>
  <r>
    <n v="83"/>
    <n v="0"/>
    <x v="3"/>
  </r>
  <r>
    <n v="83"/>
    <n v="1"/>
    <x v="0"/>
  </r>
  <r>
    <n v="83"/>
    <n v="1"/>
    <x v="1"/>
  </r>
  <r>
    <n v="83"/>
    <n v="1"/>
    <x v="1"/>
  </r>
  <r>
    <n v="83"/>
    <n v="0"/>
    <x v="3"/>
  </r>
  <r>
    <n v="83"/>
    <n v="0"/>
    <x v="8"/>
  </r>
  <r>
    <n v="83"/>
    <n v="1"/>
    <x v="7"/>
  </r>
  <r>
    <n v="83"/>
    <n v="1"/>
    <x v="7"/>
  </r>
  <r>
    <n v="83"/>
    <n v="1"/>
    <x v="10"/>
  </r>
  <r>
    <n v="83"/>
    <n v="1"/>
    <x v="10"/>
  </r>
  <r>
    <n v="83"/>
    <n v="1"/>
    <x v="1"/>
  </r>
  <r>
    <n v="83"/>
    <n v="1"/>
    <x v="10"/>
  </r>
  <r>
    <n v="83"/>
    <n v="1"/>
    <x v="2"/>
  </r>
  <r>
    <n v="83"/>
    <n v="1"/>
    <x v="1"/>
  </r>
  <r>
    <n v="83"/>
    <n v="1"/>
    <x v="9"/>
  </r>
  <r>
    <n v="83"/>
    <n v="1"/>
    <x v="2"/>
  </r>
  <r>
    <n v="83"/>
    <n v="0"/>
    <x v="4"/>
  </r>
  <r>
    <n v="83"/>
    <n v="1"/>
    <x v="4"/>
  </r>
  <r>
    <n v="83"/>
    <n v="1"/>
    <x v="1"/>
  </r>
  <r>
    <n v="83"/>
    <n v="1"/>
    <x v="2"/>
  </r>
  <r>
    <n v="83"/>
    <n v="0"/>
    <x v="9"/>
  </r>
  <r>
    <n v="83"/>
    <n v="0"/>
    <x v="1"/>
  </r>
  <r>
    <n v="83"/>
    <n v="0"/>
    <x v="2"/>
  </r>
  <r>
    <n v="83"/>
    <n v="0"/>
    <x v="1"/>
  </r>
  <r>
    <n v="83"/>
    <n v="0"/>
    <x v="8"/>
  </r>
  <r>
    <n v="83"/>
    <n v="0"/>
    <x v="11"/>
  </r>
  <r>
    <n v="83"/>
    <n v="1"/>
    <x v="6"/>
  </r>
  <r>
    <n v="83"/>
    <n v="1"/>
    <x v="2"/>
  </r>
  <r>
    <n v="83"/>
    <n v="1"/>
    <x v="0"/>
  </r>
  <r>
    <n v="83"/>
    <n v="0"/>
    <x v="3"/>
  </r>
  <r>
    <n v="83"/>
    <n v="1"/>
    <x v="0"/>
  </r>
  <r>
    <n v="83"/>
    <n v="0"/>
    <x v="0"/>
  </r>
  <r>
    <n v="83"/>
    <n v="0"/>
    <x v="8"/>
  </r>
  <r>
    <n v="83"/>
    <n v="1"/>
    <x v="4"/>
  </r>
  <r>
    <n v="83"/>
    <n v="0"/>
    <x v="0"/>
  </r>
  <r>
    <n v="83"/>
    <n v="1"/>
    <x v="7"/>
  </r>
  <r>
    <n v="83"/>
    <n v="0"/>
    <x v="1"/>
  </r>
  <r>
    <n v="83"/>
    <n v="0"/>
    <x v="3"/>
  </r>
  <r>
    <n v="83"/>
    <n v="1"/>
    <x v="9"/>
  </r>
  <r>
    <n v="83"/>
    <n v="1"/>
    <x v="1"/>
  </r>
  <r>
    <n v="83"/>
    <n v="1"/>
    <x v="1"/>
  </r>
  <r>
    <n v="83"/>
    <n v="0"/>
    <x v="3"/>
  </r>
  <r>
    <n v="82"/>
    <n v="0"/>
    <x v="9"/>
  </r>
  <r>
    <n v="82"/>
    <n v="0"/>
    <x v="11"/>
  </r>
  <r>
    <n v="82"/>
    <n v="1"/>
    <x v="2"/>
  </r>
  <r>
    <n v="82"/>
    <n v="0"/>
    <x v="11"/>
  </r>
  <r>
    <n v="82"/>
    <n v="1"/>
    <x v="11"/>
  </r>
  <r>
    <n v="82"/>
    <n v="0"/>
    <x v="8"/>
  </r>
  <r>
    <n v="82"/>
    <n v="0"/>
    <x v="11"/>
  </r>
  <r>
    <n v="82"/>
    <n v="1"/>
    <x v="1"/>
  </r>
  <r>
    <n v="82"/>
    <n v="1"/>
    <x v="10"/>
  </r>
  <r>
    <n v="82"/>
    <n v="1"/>
    <x v="4"/>
  </r>
  <r>
    <n v="82"/>
    <n v="0"/>
    <x v="2"/>
  </r>
  <r>
    <n v="82"/>
    <n v="1"/>
    <x v="0"/>
  </r>
  <r>
    <n v="82"/>
    <n v="1"/>
    <x v="3"/>
  </r>
  <r>
    <n v="82"/>
    <n v="0"/>
    <x v="7"/>
  </r>
  <r>
    <n v="82"/>
    <n v="1"/>
    <x v="9"/>
  </r>
  <r>
    <n v="82"/>
    <n v="1"/>
    <x v="2"/>
  </r>
  <r>
    <n v="82"/>
    <n v="0"/>
    <x v="4"/>
  </r>
  <r>
    <n v="82"/>
    <n v="1"/>
    <x v="2"/>
  </r>
  <r>
    <n v="82"/>
    <n v="1"/>
    <x v="4"/>
  </r>
  <r>
    <n v="82"/>
    <n v="0"/>
    <x v="11"/>
  </r>
  <r>
    <n v="82"/>
    <n v="0"/>
    <x v="4"/>
  </r>
  <r>
    <n v="82"/>
    <n v="0"/>
    <x v="11"/>
  </r>
  <r>
    <n v="82"/>
    <n v="1"/>
    <x v="8"/>
  </r>
  <r>
    <n v="82"/>
    <n v="0"/>
    <x v="4"/>
  </r>
  <r>
    <n v="82"/>
    <n v="0"/>
    <x v="4"/>
  </r>
  <r>
    <n v="82"/>
    <n v="0"/>
    <x v="8"/>
  </r>
  <r>
    <n v="82"/>
    <n v="1"/>
    <x v="4"/>
  </r>
  <r>
    <n v="82"/>
    <n v="1"/>
    <x v="5"/>
  </r>
  <r>
    <n v="82"/>
    <n v="1"/>
    <x v="10"/>
  </r>
  <r>
    <n v="82"/>
    <n v="1"/>
    <x v="3"/>
  </r>
  <r>
    <n v="82"/>
    <n v="0"/>
    <x v="9"/>
  </r>
  <r>
    <n v="82"/>
    <n v="1"/>
    <x v="7"/>
  </r>
  <r>
    <n v="82"/>
    <n v="0"/>
    <x v="2"/>
  </r>
  <r>
    <n v="82"/>
    <n v="1"/>
    <x v="0"/>
  </r>
  <r>
    <n v="82"/>
    <n v="1"/>
    <x v="3"/>
  </r>
  <r>
    <n v="82"/>
    <n v="1"/>
    <x v="0"/>
  </r>
  <r>
    <n v="82"/>
    <n v="1"/>
    <x v="4"/>
  </r>
  <r>
    <n v="82"/>
    <n v="1"/>
    <x v="9"/>
  </r>
  <r>
    <n v="82"/>
    <n v="1"/>
    <x v="1"/>
  </r>
  <r>
    <n v="82"/>
    <n v="1"/>
    <x v="8"/>
  </r>
  <r>
    <n v="82"/>
    <n v="0"/>
    <x v="9"/>
  </r>
  <r>
    <n v="82"/>
    <n v="1"/>
    <x v="4"/>
  </r>
  <r>
    <n v="82"/>
    <n v="0"/>
    <x v="1"/>
  </r>
  <r>
    <n v="82"/>
    <n v="1"/>
    <x v="4"/>
  </r>
  <r>
    <n v="82"/>
    <n v="1"/>
    <x v="4"/>
  </r>
  <r>
    <n v="81"/>
    <n v="0"/>
    <x v="1"/>
  </r>
  <r>
    <n v="81"/>
    <n v="1"/>
    <x v="9"/>
  </r>
  <r>
    <n v="81"/>
    <n v="1"/>
    <x v="2"/>
  </r>
  <r>
    <n v="81"/>
    <n v="0"/>
    <x v="7"/>
  </r>
  <r>
    <n v="81"/>
    <n v="1"/>
    <x v="4"/>
  </r>
  <r>
    <n v="81"/>
    <n v="0"/>
    <x v="3"/>
  </r>
  <r>
    <n v="81"/>
    <n v="1"/>
    <x v="8"/>
  </r>
  <r>
    <n v="81"/>
    <n v="0"/>
    <x v="7"/>
  </r>
  <r>
    <n v="81"/>
    <n v="1"/>
    <x v="3"/>
  </r>
  <r>
    <n v="81"/>
    <n v="1"/>
    <x v="2"/>
  </r>
  <r>
    <n v="81"/>
    <n v="1"/>
    <x v="2"/>
  </r>
  <r>
    <n v="81"/>
    <n v="1"/>
    <x v="10"/>
  </r>
  <r>
    <n v="81"/>
    <n v="0"/>
    <x v="0"/>
  </r>
  <r>
    <n v="81"/>
    <n v="0"/>
    <x v="5"/>
  </r>
  <r>
    <n v="81"/>
    <n v="0"/>
    <x v="4"/>
  </r>
  <r>
    <n v="81"/>
    <n v="1"/>
    <x v="8"/>
  </r>
  <r>
    <n v="81"/>
    <n v="0"/>
    <x v="11"/>
  </r>
  <r>
    <n v="81"/>
    <n v="1"/>
    <x v="7"/>
  </r>
  <r>
    <n v="81"/>
    <n v="1"/>
    <x v="2"/>
  </r>
  <r>
    <n v="81"/>
    <n v="1"/>
    <x v="9"/>
  </r>
  <r>
    <n v="81"/>
    <n v="0"/>
    <x v="7"/>
  </r>
  <r>
    <n v="81"/>
    <n v="0"/>
    <x v="6"/>
  </r>
  <r>
    <n v="81"/>
    <n v="0"/>
    <x v="9"/>
  </r>
  <r>
    <n v="81"/>
    <n v="1"/>
    <x v="3"/>
  </r>
  <r>
    <n v="81"/>
    <n v="1"/>
    <x v="1"/>
  </r>
  <r>
    <n v="81"/>
    <n v="0"/>
    <x v="7"/>
  </r>
  <r>
    <n v="81"/>
    <n v="1"/>
    <x v="9"/>
  </r>
  <r>
    <n v="81"/>
    <n v="0"/>
    <x v="6"/>
  </r>
  <r>
    <n v="81"/>
    <n v="1"/>
    <x v="2"/>
  </r>
  <r>
    <n v="81"/>
    <n v="0"/>
    <x v="3"/>
  </r>
  <r>
    <n v="81"/>
    <n v="1"/>
    <x v="3"/>
  </r>
  <r>
    <n v="81"/>
    <n v="0"/>
    <x v="0"/>
  </r>
  <r>
    <n v="81"/>
    <n v="1"/>
    <x v="3"/>
  </r>
  <r>
    <n v="81"/>
    <n v="1"/>
    <x v="8"/>
  </r>
  <r>
    <n v="81"/>
    <n v="0"/>
    <x v="1"/>
  </r>
  <r>
    <n v="81"/>
    <n v="0"/>
    <x v="3"/>
  </r>
  <r>
    <n v="81"/>
    <n v="1"/>
    <x v="10"/>
  </r>
  <r>
    <n v="81"/>
    <n v="1"/>
    <x v="3"/>
  </r>
  <r>
    <n v="81"/>
    <n v="1"/>
    <x v="5"/>
  </r>
  <r>
    <n v="81"/>
    <n v="1"/>
    <x v="11"/>
  </r>
  <r>
    <n v="81"/>
    <n v="1"/>
    <x v="9"/>
  </r>
  <r>
    <n v="81"/>
    <n v="1"/>
    <x v="9"/>
  </r>
  <r>
    <n v="81"/>
    <n v="1"/>
    <x v="2"/>
  </r>
  <r>
    <n v="81"/>
    <n v="0"/>
    <x v="8"/>
  </r>
  <r>
    <n v="81"/>
    <n v="0"/>
    <x v="1"/>
  </r>
  <r>
    <n v="81"/>
    <n v="0"/>
    <x v="11"/>
  </r>
  <r>
    <n v="81"/>
    <n v="1"/>
    <x v="11"/>
  </r>
  <r>
    <n v="81"/>
    <n v="0"/>
    <x v="11"/>
  </r>
  <r>
    <n v="81"/>
    <n v="1"/>
    <x v="4"/>
  </r>
  <r>
    <n v="81"/>
    <n v="0"/>
    <x v="7"/>
  </r>
  <r>
    <n v="81"/>
    <n v="1"/>
    <x v="1"/>
  </r>
  <r>
    <n v="81"/>
    <n v="1"/>
    <x v="9"/>
  </r>
  <r>
    <n v="81"/>
    <n v="0"/>
    <x v="3"/>
  </r>
  <r>
    <n v="81"/>
    <n v="1"/>
    <x v="7"/>
  </r>
  <r>
    <n v="81"/>
    <n v="1"/>
    <x v="9"/>
  </r>
  <r>
    <n v="81"/>
    <n v="1"/>
    <x v="1"/>
  </r>
  <r>
    <n v="81"/>
    <n v="0"/>
    <x v="9"/>
  </r>
  <r>
    <n v="81"/>
    <n v="0"/>
    <x v="11"/>
  </r>
  <r>
    <n v="81"/>
    <n v="0"/>
    <x v="7"/>
  </r>
  <r>
    <n v="81"/>
    <n v="0"/>
    <x v="4"/>
  </r>
  <r>
    <n v="81"/>
    <n v="0"/>
    <x v="8"/>
  </r>
  <r>
    <n v="81"/>
    <n v="0"/>
    <x v="11"/>
  </r>
  <r>
    <n v="81"/>
    <n v="0"/>
    <x v="9"/>
  </r>
  <r>
    <n v="81"/>
    <n v="0"/>
    <x v="3"/>
  </r>
  <r>
    <n v="80"/>
    <n v="1"/>
    <x v="5"/>
  </r>
  <r>
    <n v="80"/>
    <n v="1"/>
    <x v="2"/>
  </r>
  <r>
    <n v="80"/>
    <n v="1"/>
    <x v="1"/>
  </r>
  <r>
    <n v="80"/>
    <n v="0"/>
    <x v="6"/>
  </r>
  <r>
    <n v="80"/>
    <n v="0"/>
    <x v="9"/>
  </r>
  <r>
    <n v="80"/>
    <n v="0"/>
    <x v="11"/>
  </r>
  <r>
    <n v="80"/>
    <n v="0"/>
    <x v="1"/>
  </r>
  <r>
    <n v="80"/>
    <n v="1"/>
    <x v="2"/>
  </r>
  <r>
    <n v="80"/>
    <n v="1"/>
    <x v="7"/>
  </r>
  <r>
    <n v="80"/>
    <n v="1"/>
    <x v="0"/>
  </r>
  <r>
    <n v="80"/>
    <n v="1"/>
    <x v="7"/>
  </r>
  <r>
    <n v="80"/>
    <n v="0"/>
    <x v="8"/>
  </r>
  <r>
    <n v="80"/>
    <n v="1"/>
    <x v="11"/>
  </r>
  <r>
    <n v="80"/>
    <n v="1"/>
    <x v="0"/>
  </r>
  <r>
    <n v="80"/>
    <n v="1"/>
    <x v="0"/>
  </r>
  <r>
    <n v="80"/>
    <n v="0"/>
    <x v="1"/>
  </r>
  <r>
    <n v="80"/>
    <n v="1"/>
    <x v="3"/>
  </r>
  <r>
    <n v="80"/>
    <n v="0"/>
    <x v="0"/>
  </r>
  <r>
    <n v="80"/>
    <n v="0"/>
    <x v="8"/>
  </r>
  <r>
    <n v="80"/>
    <n v="1"/>
    <x v="4"/>
  </r>
  <r>
    <n v="80"/>
    <n v="1"/>
    <x v="1"/>
  </r>
  <r>
    <n v="80"/>
    <n v="0"/>
    <x v="0"/>
  </r>
  <r>
    <n v="80"/>
    <n v="0"/>
    <x v="11"/>
  </r>
  <r>
    <n v="80"/>
    <n v="1"/>
    <x v="2"/>
  </r>
  <r>
    <n v="80"/>
    <n v="1"/>
    <x v="2"/>
  </r>
  <r>
    <n v="80"/>
    <n v="1"/>
    <x v="2"/>
  </r>
  <r>
    <n v="80"/>
    <n v="0"/>
    <x v="5"/>
  </r>
  <r>
    <n v="80"/>
    <n v="1"/>
    <x v="2"/>
  </r>
  <r>
    <n v="80"/>
    <n v="1"/>
    <x v="9"/>
  </r>
  <r>
    <n v="80"/>
    <n v="0"/>
    <x v="8"/>
  </r>
  <r>
    <n v="80"/>
    <n v="1"/>
    <x v="1"/>
  </r>
  <r>
    <n v="80"/>
    <n v="0"/>
    <x v="3"/>
  </r>
  <r>
    <n v="80"/>
    <n v="0"/>
    <x v="1"/>
  </r>
  <r>
    <n v="80"/>
    <n v="1"/>
    <x v="3"/>
  </r>
  <r>
    <n v="80"/>
    <n v="1"/>
    <x v="2"/>
  </r>
  <r>
    <n v="80"/>
    <n v="1"/>
    <x v="4"/>
  </r>
  <r>
    <n v="80"/>
    <n v="1"/>
    <x v="0"/>
  </r>
  <r>
    <n v="80"/>
    <n v="1"/>
    <x v="2"/>
  </r>
  <r>
    <n v="80"/>
    <n v="1"/>
    <x v="7"/>
  </r>
  <r>
    <n v="80"/>
    <n v="1"/>
    <x v="8"/>
  </r>
  <r>
    <n v="80"/>
    <n v="1"/>
    <x v="8"/>
  </r>
  <r>
    <n v="80"/>
    <n v="0"/>
    <x v="1"/>
  </r>
  <r>
    <n v="80"/>
    <n v="0"/>
    <x v="8"/>
  </r>
  <r>
    <n v="80"/>
    <n v="1"/>
    <x v="1"/>
  </r>
  <r>
    <n v="80"/>
    <n v="1"/>
    <x v="3"/>
  </r>
  <r>
    <n v="80"/>
    <n v="0"/>
    <x v="9"/>
  </r>
  <r>
    <n v="80"/>
    <n v="1"/>
    <x v="0"/>
  </r>
  <r>
    <n v="80"/>
    <n v="0"/>
    <x v="11"/>
  </r>
  <r>
    <n v="80"/>
    <n v="0"/>
    <x v="11"/>
  </r>
  <r>
    <n v="80"/>
    <n v="1"/>
    <x v="2"/>
  </r>
  <r>
    <n v="80"/>
    <n v="0"/>
    <x v="4"/>
  </r>
  <r>
    <n v="80"/>
    <n v="1"/>
    <x v="3"/>
  </r>
  <r>
    <n v="80"/>
    <n v="1"/>
    <x v="7"/>
  </r>
  <r>
    <n v="80"/>
    <n v="1"/>
    <x v="4"/>
  </r>
  <r>
    <n v="79"/>
    <n v="1"/>
    <x v="4"/>
  </r>
  <r>
    <n v="79"/>
    <n v="1"/>
    <x v="8"/>
  </r>
  <r>
    <n v="79"/>
    <n v="1"/>
    <x v="7"/>
  </r>
  <r>
    <n v="79"/>
    <n v="1"/>
    <x v="11"/>
  </r>
  <r>
    <n v="79"/>
    <n v="1"/>
    <x v="6"/>
  </r>
  <r>
    <n v="79"/>
    <n v="1"/>
    <x v="4"/>
  </r>
  <r>
    <n v="79"/>
    <n v="1"/>
    <x v="6"/>
  </r>
  <r>
    <n v="79"/>
    <n v="1"/>
    <x v="8"/>
  </r>
  <r>
    <n v="79"/>
    <n v="0"/>
    <x v="4"/>
  </r>
  <r>
    <n v="79"/>
    <n v="0"/>
    <x v="9"/>
  </r>
  <r>
    <n v="79"/>
    <n v="1"/>
    <x v="4"/>
  </r>
  <r>
    <n v="79"/>
    <n v="0"/>
    <x v="9"/>
  </r>
  <r>
    <n v="79"/>
    <n v="1"/>
    <x v="6"/>
  </r>
  <r>
    <n v="79"/>
    <n v="0"/>
    <x v="0"/>
  </r>
  <r>
    <n v="79"/>
    <n v="1"/>
    <x v="1"/>
  </r>
  <r>
    <n v="79"/>
    <n v="1"/>
    <x v="6"/>
  </r>
  <r>
    <n v="79"/>
    <n v="1"/>
    <x v="6"/>
  </r>
  <r>
    <n v="79"/>
    <n v="1"/>
    <x v="9"/>
  </r>
  <r>
    <n v="79"/>
    <n v="0"/>
    <x v="0"/>
  </r>
  <r>
    <n v="79"/>
    <n v="0"/>
    <x v="8"/>
  </r>
  <r>
    <n v="79"/>
    <n v="0"/>
    <x v="1"/>
  </r>
  <r>
    <n v="79"/>
    <n v="0"/>
    <x v="9"/>
  </r>
  <r>
    <n v="79"/>
    <n v="0"/>
    <x v="6"/>
  </r>
  <r>
    <n v="79"/>
    <n v="1"/>
    <x v="4"/>
  </r>
  <r>
    <n v="79"/>
    <n v="0"/>
    <x v="11"/>
  </r>
  <r>
    <n v="79"/>
    <n v="0"/>
    <x v="6"/>
  </r>
  <r>
    <n v="79"/>
    <n v="0"/>
    <x v="0"/>
  </r>
  <r>
    <n v="79"/>
    <n v="1"/>
    <x v="1"/>
  </r>
  <r>
    <n v="79"/>
    <n v="1"/>
    <x v="2"/>
  </r>
  <r>
    <n v="79"/>
    <n v="1"/>
    <x v="8"/>
  </r>
  <r>
    <n v="79"/>
    <n v="1"/>
    <x v="3"/>
  </r>
  <r>
    <n v="79"/>
    <n v="0"/>
    <x v="4"/>
  </r>
  <r>
    <n v="79"/>
    <n v="1"/>
    <x v="1"/>
  </r>
  <r>
    <n v="79"/>
    <n v="1"/>
    <x v="2"/>
  </r>
  <r>
    <n v="79"/>
    <n v="1"/>
    <x v="6"/>
  </r>
  <r>
    <n v="79"/>
    <n v="1"/>
    <x v="1"/>
  </r>
  <r>
    <n v="79"/>
    <n v="1"/>
    <x v="4"/>
  </r>
  <r>
    <n v="79"/>
    <n v="0"/>
    <x v="9"/>
  </r>
  <r>
    <n v="79"/>
    <n v="0"/>
    <x v="0"/>
  </r>
  <r>
    <n v="79"/>
    <n v="1"/>
    <x v="3"/>
  </r>
  <r>
    <n v="79"/>
    <n v="0"/>
    <x v="3"/>
  </r>
  <r>
    <n v="79"/>
    <n v="0"/>
    <x v="4"/>
  </r>
  <r>
    <n v="79"/>
    <n v="0"/>
    <x v="1"/>
  </r>
  <r>
    <n v="79"/>
    <n v="0"/>
    <x v="4"/>
  </r>
  <r>
    <n v="79"/>
    <n v="0"/>
    <x v="1"/>
  </r>
  <r>
    <n v="79"/>
    <n v="1"/>
    <x v="6"/>
  </r>
  <r>
    <n v="79"/>
    <n v="1"/>
    <x v="4"/>
  </r>
  <r>
    <n v="79"/>
    <n v="1"/>
    <x v="8"/>
  </r>
  <r>
    <n v="79"/>
    <n v="0"/>
    <x v="0"/>
  </r>
  <r>
    <n v="79"/>
    <n v="1"/>
    <x v="4"/>
  </r>
  <r>
    <n v="79"/>
    <n v="1"/>
    <x v="11"/>
  </r>
  <r>
    <n v="79"/>
    <n v="0"/>
    <x v="0"/>
  </r>
  <r>
    <n v="79"/>
    <n v="1"/>
    <x v="1"/>
  </r>
  <r>
    <n v="79"/>
    <n v="0"/>
    <x v="3"/>
  </r>
  <r>
    <n v="79"/>
    <n v="0"/>
    <x v="8"/>
  </r>
  <r>
    <n v="79"/>
    <n v="0"/>
    <x v="9"/>
  </r>
  <r>
    <n v="79"/>
    <n v="0"/>
    <x v="9"/>
  </r>
  <r>
    <n v="79"/>
    <n v="0"/>
    <x v="2"/>
  </r>
  <r>
    <n v="79"/>
    <n v="0"/>
    <x v="5"/>
  </r>
  <r>
    <n v="79"/>
    <n v="1"/>
    <x v="3"/>
  </r>
  <r>
    <n v="79"/>
    <n v="1"/>
    <x v="4"/>
  </r>
  <r>
    <n v="79"/>
    <n v="1"/>
    <x v="4"/>
  </r>
  <r>
    <n v="79"/>
    <n v="0"/>
    <x v="11"/>
  </r>
  <r>
    <n v="79"/>
    <n v="0"/>
    <x v="4"/>
  </r>
  <r>
    <n v="79"/>
    <n v="0"/>
    <x v="6"/>
  </r>
  <r>
    <n v="79"/>
    <n v="0"/>
    <x v="9"/>
  </r>
  <r>
    <n v="78"/>
    <n v="1"/>
    <x v="8"/>
  </r>
  <r>
    <n v="78"/>
    <n v="1"/>
    <x v="10"/>
  </r>
  <r>
    <n v="78"/>
    <n v="1"/>
    <x v="4"/>
  </r>
  <r>
    <n v="78"/>
    <n v="1"/>
    <x v="6"/>
  </r>
  <r>
    <n v="78"/>
    <n v="1"/>
    <x v="4"/>
  </r>
  <r>
    <n v="78"/>
    <n v="0"/>
    <x v="6"/>
  </r>
  <r>
    <n v="78"/>
    <n v="0"/>
    <x v="8"/>
  </r>
  <r>
    <n v="78"/>
    <n v="1"/>
    <x v="2"/>
  </r>
  <r>
    <n v="78"/>
    <n v="1"/>
    <x v="8"/>
  </r>
  <r>
    <n v="78"/>
    <n v="1"/>
    <x v="1"/>
  </r>
  <r>
    <n v="78"/>
    <n v="1"/>
    <x v="10"/>
  </r>
  <r>
    <n v="78"/>
    <n v="0"/>
    <x v="2"/>
  </r>
  <r>
    <n v="78"/>
    <n v="0"/>
    <x v="10"/>
  </r>
  <r>
    <n v="78"/>
    <n v="1"/>
    <x v="2"/>
  </r>
  <r>
    <n v="78"/>
    <n v="1"/>
    <x v="0"/>
  </r>
  <r>
    <n v="78"/>
    <n v="0"/>
    <x v="9"/>
  </r>
  <r>
    <n v="78"/>
    <n v="0"/>
    <x v="0"/>
  </r>
  <r>
    <n v="78"/>
    <n v="0"/>
    <x v="5"/>
  </r>
  <r>
    <n v="78"/>
    <n v="1"/>
    <x v="7"/>
  </r>
  <r>
    <n v="78"/>
    <n v="0"/>
    <x v="7"/>
  </r>
  <r>
    <n v="78"/>
    <n v="1"/>
    <x v="4"/>
  </r>
  <r>
    <n v="78"/>
    <n v="0"/>
    <x v="8"/>
  </r>
  <r>
    <n v="78"/>
    <n v="1"/>
    <x v="10"/>
  </r>
  <r>
    <n v="78"/>
    <n v="1"/>
    <x v="2"/>
  </r>
  <r>
    <n v="78"/>
    <n v="1"/>
    <x v="7"/>
  </r>
  <r>
    <n v="78"/>
    <n v="0"/>
    <x v="9"/>
  </r>
  <r>
    <n v="78"/>
    <n v="1"/>
    <x v="4"/>
  </r>
  <r>
    <n v="78"/>
    <n v="1"/>
    <x v="2"/>
  </r>
  <r>
    <n v="78"/>
    <n v="0"/>
    <x v="0"/>
  </r>
  <r>
    <n v="78"/>
    <n v="1"/>
    <x v="8"/>
  </r>
  <r>
    <n v="78"/>
    <n v="0"/>
    <x v="11"/>
  </r>
  <r>
    <n v="78"/>
    <n v="0"/>
    <x v="9"/>
  </r>
  <r>
    <n v="78"/>
    <n v="1"/>
    <x v="7"/>
  </r>
  <r>
    <n v="78"/>
    <n v="0"/>
    <x v="4"/>
  </r>
  <r>
    <n v="78"/>
    <n v="1"/>
    <x v="2"/>
  </r>
  <r>
    <n v="78"/>
    <n v="1"/>
    <x v="9"/>
  </r>
  <r>
    <n v="78"/>
    <n v="1"/>
    <x v="1"/>
  </r>
  <r>
    <n v="78"/>
    <n v="1"/>
    <x v="6"/>
  </r>
  <r>
    <n v="78"/>
    <n v="1"/>
    <x v="7"/>
  </r>
  <r>
    <n v="78"/>
    <n v="1"/>
    <x v="1"/>
  </r>
  <r>
    <n v="78"/>
    <n v="1"/>
    <x v="4"/>
  </r>
  <r>
    <n v="78"/>
    <n v="1"/>
    <x v="10"/>
  </r>
  <r>
    <n v="78"/>
    <n v="1"/>
    <x v="6"/>
  </r>
  <r>
    <n v="78"/>
    <n v="1"/>
    <x v="4"/>
  </r>
  <r>
    <n v="78"/>
    <n v="1"/>
    <x v="0"/>
  </r>
  <r>
    <n v="78"/>
    <n v="1"/>
    <x v="4"/>
  </r>
  <r>
    <n v="78"/>
    <n v="1"/>
    <x v="3"/>
  </r>
  <r>
    <n v="78"/>
    <n v="1"/>
    <x v="6"/>
  </r>
  <r>
    <n v="78"/>
    <n v="0"/>
    <x v="3"/>
  </r>
  <r>
    <n v="78"/>
    <n v="0"/>
    <x v="9"/>
  </r>
  <r>
    <n v="78"/>
    <n v="0"/>
    <x v="11"/>
  </r>
  <r>
    <n v="78"/>
    <n v="0"/>
    <x v="3"/>
  </r>
  <r>
    <n v="78"/>
    <n v="1"/>
    <x v="0"/>
  </r>
  <r>
    <n v="78"/>
    <n v="1"/>
    <x v="9"/>
  </r>
  <r>
    <n v="78"/>
    <n v="0"/>
    <x v="7"/>
  </r>
  <r>
    <n v="78"/>
    <n v="0"/>
    <x v="1"/>
  </r>
  <r>
    <n v="78"/>
    <n v="1"/>
    <x v="4"/>
  </r>
  <r>
    <n v="78"/>
    <n v="0"/>
    <x v="0"/>
  </r>
  <r>
    <n v="78"/>
    <n v="0"/>
    <x v="5"/>
  </r>
  <r>
    <n v="78"/>
    <n v="1"/>
    <x v="0"/>
  </r>
  <r>
    <n v="78"/>
    <n v="0"/>
    <x v="10"/>
  </r>
  <r>
    <n v="78"/>
    <n v="1"/>
    <x v="8"/>
  </r>
  <r>
    <n v="78"/>
    <n v="1"/>
    <x v="8"/>
  </r>
  <r>
    <n v="78"/>
    <n v="1"/>
    <x v="3"/>
  </r>
  <r>
    <n v="78"/>
    <n v="1"/>
    <x v="4"/>
  </r>
  <r>
    <n v="78"/>
    <n v="1"/>
    <x v="8"/>
  </r>
  <r>
    <n v="78"/>
    <n v="1"/>
    <x v="9"/>
  </r>
  <r>
    <n v="78"/>
    <n v="0"/>
    <x v="9"/>
  </r>
  <r>
    <n v="78"/>
    <n v="0"/>
    <x v="4"/>
  </r>
  <r>
    <n v="78"/>
    <n v="1"/>
    <x v="8"/>
  </r>
  <r>
    <n v="78"/>
    <n v="0"/>
    <x v="4"/>
  </r>
  <r>
    <n v="78"/>
    <n v="0"/>
    <x v="9"/>
  </r>
  <r>
    <n v="78"/>
    <n v="0"/>
    <x v="2"/>
  </r>
  <r>
    <n v="78"/>
    <n v="0"/>
    <x v="3"/>
  </r>
  <r>
    <n v="78"/>
    <n v="0"/>
    <x v="8"/>
  </r>
  <r>
    <n v="78"/>
    <n v="1"/>
    <x v="4"/>
  </r>
  <r>
    <n v="78"/>
    <n v="1"/>
    <x v="3"/>
  </r>
  <r>
    <n v="78"/>
    <n v="1"/>
    <x v="7"/>
  </r>
  <r>
    <n v="78"/>
    <n v="1"/>
    <x v="7"/>
  </r>
  <r>
    <n v="78"/>
    <n v="0"/>
    <x v="4"/>
  </r>
  <r>
    <n v="78"/>
    <n v="0"/>
    <x v="8"/>
  </r>
  <r>
    <n v="78"/>
    <n v="0"/>
    <x v="7"/>
  </r>
  <r>
    <n v="77"/>
    <n v="1"/>
    <x v="6"/>
  </r>
  <r>
    <n v="77"/>
    <n v="1"/>
    <x v="11"/>
  </r>
  <r>
    <n v="77"/>
    <n v="0"/>
    <x v="6"/>
  </r>
  <r>
    <n v="77"/>
    <n v="1"/>
    <x v="5"/>
  </r>
  <r>
    <n v="77"/>
    <n v="1"/>
    <x v="1"/>
  </r>
  <r>
    <n v="77"/>
    <n v="1"/>
    <x v="3"/>
  </r>
  <r>
    <n v="77"/>
    <n v="0"/>
    <x v="4"/>
  </r>
  <r>
    <n v="77"/>
    <n v="0"/>
    <x v="1"/>
  </r>
  <r>
    <n v="77"/>
    <n v="0"/>
    <x v="6"/>
  </r>
  <r>
    <n v="77"/>
    <n v="0"/>
    <x v="1"/>
  </r>
  <r>
    <n v="77"/>
    <n v="1"/>
    <x v="10"/>
  </r>
  <r>
    <n v="77"/>
    <n v="1"/>
    <x v="4"/>
  </r>
  <r>
    <n v="77"/>
    <n v="0"/>
    <x v="8"/>
  </r>
  <r>
    <n v="77"/>
    <n v="0"/>
    <x v="3"/>
  </r>
  <r>
    <n v="77"/>
    <n v="1"/>
    <x v="9"/>
  </r>
  <r>
    <n v="77"/>
    <n v="0"/>
    <x v="8"/>
  </r>
  <r>
    <n v="77"/>
    <n v="1"/>
    <x v="3"/>
  </r>
  <r>
    <n v="77"/>
    <n v="1"/>
    <x v="2"/>
  </r>
  <r>
    <n v="77"/>
    <n v="1"/>
    <x v="1"/>
  </r>
  <r>
    <n v="77"/>
    <n v="1"/>
    <x v="4"/>
  </r>
  <r>
    <n v="77"/>
    <n v="0"/>
    <x v="2"/>
  </r>
  <r>
    <n v="77"/>
    <n v="0"/>
    <x v="11"/>
  </r>
  <r>
    <n v="77"/>
    <n v="0"/>
    <x v="9"/>
  </r>
  <r>
    <n v="77"/>
    <n v="0"/>
    <x v="0"/>
  </r>
  <r>
    <n v="77"/>
    <n v="0"/>
    <x v="9"/>
  </r>
  <r>
    <n v="77"/>
    <n v="0"/>
    <x v="11"/>
  </r>
  <r>
    <n v="77"/>
    <n v="0"/>
    <x v="7"/>
  </r>
  <r>
    <n v="77"/>
    <n v="1"/>
    <x v="8"/>
  </r>
  <r>
    <n v="77"/>
    <n v="0"/>
    <x v="3"/>
  </r>
  <r>
    <n v="77"/>
    <n v="1"/>
    <x v="2"/>
  </r>
  <r>
    <n v="77"/>
    <n v="0"/>
    <x v="3"/>
  </r>
  <r>
    <n v="77"/>
    <n v="1"/>
    <x v="6"/>
  </r>
  <r>
    <n v="77"/>
    <n v="1"/>
    <x v="4"/>
  </r>
  <r>
    <n v="77"/>
    <n v="1"/>
    <x v="4"/>
  </r>
  <r>
    <n v="77"/>
    <n v="0"/>
    <x v="2"/>
  </r>
  <r>
    <n v="77"/>
    <n v="1"/>
    <x v="7"/>
  </r>
  <r>
    <n v="77"/>
    <n v="1"/>
    <x v="0"/>
  </r>
  <r>
    <n v="77"/>
    <n v="1"/>
    <x v="1"/>
  </r>
  <r>
    <n v="77"/>
    <n v="1"/>
    <x v="4"/>
  </r>
  <r>
    <n v="77"/>
    <n v="1"/>
    <x v="6"/>
  </r>
  <r>
    <n v="77"/>
    <n v="1"/>
    <x v="2"/>
  </r>
  <r>
    <n v="77"/>
    <n v="0"/>
    <x v="1"/>
  </r>
  <r>
    <n v="77"/>
    <n v="1"/>
    <x v="4"/>
  </r>
  <r>
    <n v="77"/>
    <n v="1"/>
    <x v="11"/>
  </r>
  <r>
    <n v="77"/>
    <n v="0"/>
    <x v="4"/>
  </r>
  <r>
    <n v="77"/>
    <n v="0"/>
    <x v="6"/>
  </r>
  <r>
    <n v="77"/>
    <n v="0"/>
    <x v="2"/>
  </r>
  <r>
    <n v="77"/>
    <n v="1"/>
    <x v="4"/>
  </r>
  <r>
    <n v="77"/>
    <n v="1"/>
    <x v="4"/>
  </r>
  <r>
    <n v="77"/>
    <n v="1"/>
    <x v="9"/>
  </r>
  <r>
    <n v="77"/>
    <n v="1"/>
    <x v="7"/>
  </r>
  <r>
    <n v="77"/>
    <n v="1"/>
    <x v="8"/>
  </r>
  <r>
    <n v="77"/>
    <n v="1"/>
    <x v="2"/>
  </r>
  <r>
    <n v="77"/>
    <n v="1"/>
    <x v="0"/>
  </r>
  <r>
    <n v="77"/>
    <n v="1"/>
    <x v="3"/>
  </r>
  <r>
    <n v="77"/>
    <n v="0"/>
    <x v="9"/>
  </r>
  <r>
    <n v="77"/>
    <n v="0"/>
    <x v="0"/>
  </r>
  <r>
    <n v="77"/>
    <n v="0"/>
    <x v="4"/>
  </r>
  <r>
    <n v="77"/>
    <n v="0"/>
    <x v="3"/>
  </r>
  <r>
    <n v="77"/>
    <n v="1"/>
    <x v="8"/>
  </r>
  <r>
    <n v="77"/>
    <n v="1"/>
    <x v="11"/>
  </r>
  <r>
    <n v="77"/>
    <n v="0"/>
    <x v="2"/>
  </r>
  <r>
    <n v="77"/>
    <n v="0"/>
    <x v="7"/>
  </r>
  <r>
    <n v="77"/>
    <n v="0"/>
    <x v="1"/>
  </r>
  <r>
    <n v="77"/>
    <n v="0"/>
    <x v="8"/>
  </r>
  <r>
    <n v="77"/>
    <n v="1"/>
    <x v="3"/>
  </r>
  <r>
    <n v="77"/>
    <n v="0"/>
    <x v="6"/>
  </r>
  <r>
    <n v="77"/>
    <n v="1"/>
    <x v="1"/>
  </r>
  <r>
    <n v="77"/>
    <n v="1"/>
    <x v="2"/>
  </r>
  <r>
    <n v="77"/>
    <n v="0"/>
    <x v="1"/>
  </r>
  <r>
    <n v="77"/>
    <n v="1"/>
    <x v="4"/>
  </r>
  <r>
    <n v="77"/>
    <n v="1"/>
    <x v="1"/>
  </r>
  <r>
    <n v="77"/>
    <n v="1"/>
    <x v="8"/>
  </r>
  <r>
    <n v="77"/>
    <n v="0"/>
    <x v="6"/>
  </r>
  <r>
    <n v="77"/>
    <n v="1"/>
    <x v="0"/>
  </r>
  <r>
    <n v="77"/>
    <n v="1"/>
    <x v="9"/>
  </r>
  <r>
    <n v="77"/>
    <n v="1"/>
    <x v="2"/>
  </r>
  <r>
    <n v="77"/>
    <n v="0"/>
    <x v="5"/>
  </r>
  <r>
    <n v="77"/>
    <n v="1"/>
    <x v="5"/>
  </r>
  <r>
    <n v="77"/>
    <n v="1"/>
    <x v="6"/>
  </r>
  <r>
    <n v="77"/>
    <n v="0"/>
    <x v="9"/>
  </r>
  <r>
    <n v="77"/>
    <n v="1"/>
    <x v="9"/>
  </r>
  <r>
    <n v="77"/>
    <n v="1"/>
    <x v="4"/>
  </r>
  <r>
    <n v="77"/>
    <n v="1"/>
    <x v="1"/>
  </r>
  <r>
    <n v="77"/>
    <n v="0"/>
    <x v="6"/>
  </r>
  <r>
    <n v="77"/>
    <n v="0"/>
    <x v="11"/>
  </r>
  <r>
    <n v="77"/>
    <n v="1"/>
    <x v="7"/>
  </r>
  <r>
    <n v="77"/>
    <n v="0"/>
    <x v="7"/>
  </r>
  <r>
    <n v="77"/>
    <n v="1"/>
    <x v="4"/>
  </r>
  <r>
    <n v="77"/>
    <n v="0"/>
    <x v="10"/>
  </r>
  <r>
    <n v="77"/>
    <n v="1"/>
    <x v="4"/>
  </r>
  <r>
    <n v="77"/>
    <n v="1"/>
    <x v="5"/>
  </r>
  <r>
    <n v="77"/>
    <n v="1"/>
    <x v="6"/>
  </r>
  <r>
    <n v="77"/>
    <n v="1"/>
    <x v="4"/>
  </r>
  <r>
    <n v="77"/>
    <n v="0"/>
    <x v="3"/>
  </r>
  <r>
    <n v="77"/>
    <n v="1"/>
    <x v="4"/>
  </r>
  <r>
    <n v="77"/>
    <n v="1"/>
    <x v="9"/>
  </r>
  <r>
    <n v="77"/>
    <n v="1"/>
    <x v="0"/>
  </r>
  <r>
    <n v="77"/>
    <n v="1"/>
    <x v="11"/>
  </r>
  <r>
    <n v="77"/>
    <n v="1"/>
    <x v="4"/>
  </r>
  <r>
    <n v="77"/>
    <n v="0"/>
    <x v="11"/>
  </r>
  <r>
    <n v="77"/>
    <n v="0"/>
    <x v="1"/>
  </r>
  <r>
    <n v="76"/>
    <n v="0"/>
    <x v="11"/>
  </r>
  <r>
    <n v="76"/>
    <n v="1"/>
    <x v="2"/>
  </r>
  <r>
    <n v="76"/>
    <n v="1"/>
    <x v="9"/>
  </r>
  <r>
    <n v="76"/>
    <n v="1"/>
    <x v="1"/>
  </r>
  <r>
    <n v="76"/>
    <n v="1"/>
    <x v="2"/>
  </r>
  <r>
    <n v="76"/>
    <n v="1"/>
    <x v="4"/>
  </r>
  <r>
    <n v="76"/>
    <n v="1"/>
    <x v="11"/>
  </r>
  <r>
    <n v="76"/>
    <n v="1"/>
    <x v="2"/>
  </r>
  <r>
    <n v="76"/>
    <n v="1"/>
    <x v="0"/>
  </r>
  <r>
    <n v="76"/>
    <n v="1"/>
    <x v="6"/>
  </r>
  <r>
    <n v="76"/>
    <n v="0"/>
    <x v="11"/>
  </r>
  <r>
    <n v="76"/>
    <n v="1"/>
    <x v="5"/>
  </r>
  <r>
    <n v="76"/>
    <n v="1"/>
    <x v="4"/>
  </r>
  <r>
    <n v="76"/>
    <n v="1"/>
    <x v="1"/>
  </r>
  <r>
    <n v="76"/>
    <n v="1"/>
    <x v="8"/>
  </r>
  <r>
    <n v="76"/>
    <n v="1"/>
    <x v="9"/>
  </r>
  <r>
    <n v="76"/>
    <n v="1"/>
    <x v="3"/>
  </r>
  <r>
    <n v="76"/>
    <n v="0"/>
    <x v="11"/>
  </r>
  <r>
    <n v="76"/>
    <n v="0"/>
    <x v="0"/>
  </r>
  <r>
    <n v="76"/>
    <n v="0"/>
    <x v="4"/>
  </r>
  <r>
    <n v="76"/>
    <n v="0"/>
    <x v="3"/>
  </r>
  <r>
    <n v="76"/>
    <n v="0"/>
    <x v="4"/>
  </r>
  <r>
    <n v="76"/>
    <n v="1"/>
    <x v="3"/>
  </r>
  <r>
    <n v="76"/>
    <n v="0"/>
    <x v="0"/>
  </r>
  <r>
    <n v="76"/>
    <n v="1"/>
    <x v="7"/>
  </r>
  <r>
    <n v="76"/>
    <n v="0"/>
    <x v="1"/>
  </r>
  <r>
    <n v="76"/>
    <n v="1"/>
    <x v="9"/>
  </r>
  <r>
    <n v="76"/>
    <n v="1"/>
    <x v="1"/>
  </r>
  <r>
    <n v="76"/>
    <n v="1"/>
    <x v="10"/>
  </r>
  <r>
    <n v="76"/>
    <n v="1"/>
    <x v="5"/>
  </r>
  <r>
    <n v="76"/>
    <n v="1"/>
    <x v="4"/>
  </r>
  <r>
    <n v="76"/>
    <n v="1"/>
    <x v="10"/>
  </r>
  <r>
    <n v="76"/>
    <n v="1"/>
    <x v="1"/>
  </r>
  <r>
    <n v="76"/>
    <n v="0"/>
    <x v="10"/>
  </r>
  <r>
    <n v="76"/>
    <n v="0"/>
    <x v="6"/>
  </r>
  <r>
    <n v="76"/>
    <n v="1"/>
    <x v="9"/>
  </r>
  <r>
    <n v="76"/>
    <n v="0"/>
    <x v="3"/>
  </r>
  <r>
    <n v="76"/>
    <n v="0"/>
    <x v="3"/>
  </r>
  <r>
    <n v="76"/>
    <n v="1"/>
    <x v="9"/>
  </r>
  <r>
    <n v="76"/>
    <n v="1"/>
    <x v="10"/>
  </r>
  <r>
    <n v="76"/>
    <n v="1"/>
    <x v="3"/>
  </r>
  <r>
    <n v="76"/>
    <n v="0"/>
    <x v="7"/>
  </r>
  <r>
    <n v="76"/>
    <n v="1"/>
    <x v="8"/>
  </r>
  <r>
    <n v="76"/>
    <n v="1"/>
    <x v="11"/>
  </r>
  <r>
    <n v="76"/>
    <n v="0"/>
    <x v="8"/>
  </r>
  <r>
    <n v="76"/>
    <n v="1"/>
    <x v="0"/>
  </r>
  <r>
    <n v="76"/>
    <n v="1"/>
    <x v="8"/>
  </r>
  <r>
    <n v="76"/>
    <n v="1"/>
    <x v="2"/>
  </r>
  <r>
    <n v="76"/>
    <n v="0"/>
    <x v="3"/>
  </r>
  <r>
    <n v="76"/>
    <n v="0"/>
    <x v="4"/>
  </r>
  <r>
    <n v="76"/>
    <n v="1"/>
    <x v="6"/>
  </r>
  <r>
    <n v="76"/>
    <n v="1"/>
    <x v="1"/>
  </r>
  <r>
    <n v="76"/>
    <n v="1"/>
    <x v="2"/>
  </r>
  <r>
    <n v="76"/>
    <n v="0"/>
    <x v="7"/>
  </r>
  <r>
    <n v="76"/>
    <n v="1"/>
    <x v="1"/>
  </r>
  <r>
    <n v="76"/>
    <n v="0"/>
    <x v="2"/>
  </r>
  <r>
    <n v="76"/>
    <n v="1"/>
    <x v="10"/>
  </r>
  <r>
    <n v="76"/>
    <n v="0"/>
    <x v="10"/>
  </r>
  <r>
    <n v="76"/>
    <n v="0"/>
    <x v="8"/>
  </r>
  <r>
    <n v="76"/>
    <n v="0"/>
    <x v="8"/>
  </r>
  <r>
    <n v="76"/>
    <n v="0"/>
    <x v="4"/>
  </r>
  <r>
    <n v="76"/>
    <n v="1"/>
    <x v="3"/>
  </r>
  <r>
    <n v="76"/>
    <n v="0"/>
    <x v="7"/>
  </r>
  <r>
    <n v="76"/>
    <n v="1"/>
    <x v="1"/>
  </r>
  <r>
    <n v="76"/>
    <n v="1"/>
    <x v="1"/>
  </r>
  <r>
    <n v="76"/>
    <n v="1"/>
    <x v="11"/>
  </r>
  <r>
    <n v="76"/>
    <n v="1"/>
    <x v="8"/>
  </r>
  <r>
    <n v="76"/>
    <n v="1"/>
    <x v="5"/>
  </r>
  <r>
    <n v="76"/>
    <n v="0"/>
    <x v="3"/>
  </r>
  <r>
    <n v="76"/>
    <n v="0"/>
    <x v="1"/>
  </r>
  <r>
    <n v="76"/>
    <n v="1"/>
    <x v="5"/>
  </r>
  <r>
    <n v="76"/>
    <n v="1"/>
    <x v="5"/>
  </r>
  <r>
    <n v="76"/>
    <n v="1"/>
    <x v="1"/>
  </r>
  <r>
    <n v="76"/>
    <n v="0"/>
    <x v="4"/>
  </r>
  <r>
    <n v="76"/>
    <n v="0"/>
    <x v="3"/>
  </r>
  <r>
    <n v="76"/>
    <n v="0"/>
    <x v="10"/>
  </r>
  <r>
    <n v="76"/>
    <n v="1"/>
    <x v="8"/>
  </r>
  <r>
    <n v="76"/>
    <n v="0"/>
    <x v="7"/>
  </r>
  <r>
    <n v="76"/>
    <n v="0"/>
    <x v="5"/>
  </r>
  <r>
    <n v="76"/>
    <n v="0"/>
    <x v="10"/>
  </r>
  <r>
    <n v="76"/>
    <n v="0"/>
    <x v="6"/>
  </r>
  <r>
    <n v="76"/>
    <n v="1"/>
    <x v="11"/>
  </r>
  <r>
    <n v="76"/>
    <n v="1"/>
    <x v="5"/>
  </r>
  <r>
    <n v="76"/>
    <n v="0"/>
    <x v="11"/>
  </r>
  <r>
    <n v="76"/>
    <n v="1"/>
    <x v="2"/>
  </r>
  <r>
    <n v="76"/>
    <n v="0"/>
    <x v="0"/>
  </r>
  <r>
    <n v="76"/>
    <n v="0"/>
    <x v="6"/>
  </r>
  <r>
    <n v="75"/>
    <n v="1"/>
    <x v="3"/>
  </r>
  <r>
    <n v="75"/>
    <n v="0"/>
    <x v="7"/>
  </r>
  <r>
    <n v="75"/>
    <n v="1"/>
    <x v="2"/>
  </r>
  <r>
    <n v="75"/>
    <n v="0"/>
    <x v="4"/>
  </r>
  <r>
    <n v="75"/>
    <n v="1"/>
    <x v="3"/>
  </r>
  <r>
    <n v="75"/>
    <n v="0"/>
    <x v="7"/>
  </r>
  <r>
    <n v="75"/>
    <n v="1"/>
    <x v="8"/>
  </r>
  <r>
    <n v="75"/>
    <n v="1"/>
    <x v="9"/>
  </r>
  <r>
    <n v="75"/>
    <n v="1"/>
    <x v="2"/>
  </r>
  <r>
    <n v="75"/>
    <n v="0"/>
    <x v="3"/>
  </r>
  <r>
    <n v="75"/>
    <n v="1"/>
    <x v="4"/>
  </r>
  <r>
    <n v="75"/>
    <n v="0"/>
    <x v="4"/>
  </r>
  <r>
    <n v="75"/>
    <n v="1"/>
    <x v="4"/>
  </r>
  <r>
    <n v="75"/>
    <n v="0"/>
    <x v="9"/>
  </r>
  <r>
    <n v="75"/>
    <n v="0"/>
    <x v="9"/>
  </r>
  <r>
    <n v="75"/>
    <n v="0"/>
    <x v="10"/>
  </r>
  <r>
    <n v="75"/>
    <n v="0"/>
    <x v="8"/>
  </r>
  <r>
    <n v="75"/>
    <n v="0"/>
    <x v="0"/>
  </r>
  <r>
    <n v="75"/>
    <n v="0"/>
    <x v="4"/>
  </r>
  <r>
    <n v="75"/>
    <n v="0"/>
    <x v="10"/>
  </r>
  <r>
    <n v="75"/>
    <n v="1"/>
    <x v="10"/>
  </r>
  <r>
    <n v="75"/>
    <n v="0"/>
    <x v="8"/>
  </r>
  <r>
    <n v="75"/>
    <n v="1"/>
    <x v="3"/>
  </r>
  <r>
    <n v="75"/>
    <n v="1"/>
    <x v="10"/>
  </r>
  <r>
    <n v="75"/>
    <n v="0"/>
    <x v="4"/>
  </r>
  <r>
    <n v="75"/>
    <n v="1"/>
    <x v="4"/>
  </r>
  <r>
    <n v="75"/>
    <n v="0"/>
    <x v="9"/>
  </r>
  <r>
    <n v="75"/>
    <n v="0"/>
    <x v="6"/>
  </r>
  <r>
    <n v="75"/>
    <n v="0"/>
    <x v="3"/>
  </r>
  <r>
    <n v="75"/>
    <n v="1"/>
    <x v="4"/>
  </r>
  <r>
    <n v="75"/>
    <n v="1"/>
    <x v="4"/>
  </r>
  <r>
    <n v="75"/>
    <n v="0"/>
    <x v="3"/>
  </r>
  <r>
    <n v="75"/>
    <n v="1"/>
    <x v="10"/>
  </r>
  <r>
    <n v="75"/>
    <n v="0"/>
    <x v="11"/>
  </r>
  <r>
    <n v="75"/>
    <n v="0"/>
    <x v="5"/>
  </r>
  <r>
    <n v="75"/>
    <n v="1"/>
    <x v="1"/>
  </r>
  <r>
    <n v="75"/>
    <n v="1"/>
    <x v="9"/>
  </r>
  <r>
    <n v="75"/>
    <n v="0"/>
    <x v="3"/>
  </r>
  <r>
    <n v="75"/>
    <n v="1"/>
    <x v="2"/>
  </r>
  <r>
    <n v="75"/>
    <n v="1"/>
    <x v="6"/>
  </r>
  <r>
    <n v="75"/>
    <n v="0"/>
    <x v="0"/>
  </r>
  <r>
    <n v="75"/>
    <n v="0"/>
    <x v="9"/>
  </r>
  <r>
    <n v="75"/>
    <n v="0"/>
    <x v="9"/>
  </r>
  <r>
    <n v="75"/>
    <n v="1"/>
    <x v="9"/>
  </r>
  <r>
    <n v="75"/>
    <n v="1"/>
    <x v="3"/>
  </r>
  <r>
    <n v="75"/>
    <n v="1"/>
    <x v="2"/>
  </r>
  <r>
    <n v="75"/>
    <n v="0"/>
    <x v="7"/>
  </r>
  <r>
    <n v="75"/>
    <n v="0"/>
    <x v="4"/>
  </r>
  <r>
    <n v="75"/>
    <n v="1"/>
    <x v="4"/>
  </r>
  <r>
    <n v="75"/>
    <n v="1"/>
    <x v="1"/>
  </r>
  <r>
    <n v="75"/>
    <n v="1"/>
    <x v="5"/>
  </r>
  <r>
    <n v="75"/>
    <n v="1"/>
    <x v="7"/>
  </r>
  <r>
    <n v="75"/>
    <n v="0"/>
    <x v="8"/>
  </r>
  <r>
    <n v="75"/>
    <n v="0"/>
    <x v="2"/>
  </r>
  <r>
    <n v="75"/>
    <n v="0"/>
    <x v="8"/>
  </r>
  <r>
    <n v="75"/>
    <n v="1"/>
    <x v="8"/>
  </r>
  <r>
    <n v="75"/>
    <n v="0"/>
    <x v="9"/>
  </r>
  <r>
    <n v="75"/>
    <n v="0"/>
    <x v="3"/>
  </r>
  <r>
    <n v="75"/>
    <n v="1"/>
    <x v="8"/>
  </r>
  <r>
    <n v="75"/>
    <n v="1"/>
    <x v="2"/>
  </r>
  <r>
    <n v="75"/>
    <n v="0"/>
    <x v="11"/>
  </r>
  <r>
    <n v="75"/>
    <n v="0"/>
    <x v="5"/>
  </r>
  <r>
    <n v="75"/>
    <n v="1"/>
    <x v="4"/>
  </r>
  <r>
    <n v="75"/>
    <n v="1"/>
    <x v="3"/>
  </r>
  <r>
    <n v="75"/>
    <n v="0"/>
    <x v="8"/>
  </r>
  <r>
    <n v="75"/>
    <n v="0"/>
    <x v="3"/>
  </r>
  <r>
    <n v="75"/>
    <n v="1"/>
    <x v="0"/>
  </r>
  <r>
    <n v="75"/>
    <n v="1"/>
    <x v="11"/>
  </r>
  <r>
    <n v="75"/>
    <n v="0"/>
    <x v="8"/>
  </r>
  <r>
    <n v="75"/>
    <n v="1"/>
    <x v="3"/>
  </r>
  <r>
    <n v="75"/>
    <n v="0"/>
    <x v="1"/>
  </r>
  <r>
    <n v="75"/>
    <n v="1"/>
    <x v="9"/>
  </r>
  <r>
    <n v="75"/>
    <n v="1"/>
    <x v="7"/>
  </r>
  <r>
    <n v="75"/>
    <n v="1"/>
    <x v="1"/>
  </r>
  <r>
    <n v="75"/>
    <n v="1"/>
    <x v="4"/>
  </r>
  <r>
    <n v="75"/>
    <n v="0"/>
    <x v="8"/>
  </r>
  <r>
    <n v="75"/>
    <n v="0"/>
    <x v="2"/>
  </r>
  <r>
    <n v="75"/>
    <n v="1"/>
    <x v="4"/>
  </r>
  <r>
    <n v="75"/>
    <n v="0"/>
    <x v="11"/>
  </r>
  <r>
    <n v="75"/>
    <n v="0"/>
    <x v="6"/>
  </r>
  <r>
    <n v="75"/>
    <n v="0"/>
    <x v="9"/>
  </r>
  <r>
    <n v="75"/>
    <n v="1"/>
    <x v="7"/>
  </r>
  <r>
    <n v="75"/>
    <n v="1"/>
    <x v="9"/>
  </r>
  <r>
    <n v="75"/>
    <n v="0"/>
    <x v="9"/>
  </r>
  <r>
    <n v="75"/>
    <n v="0"/>
    <x v="1"/>
  </r>
  <r>
    <n v="75"/>
    <n v="0"/>
    <x v="8"/>
  </r>
  <r>
    <n v="75"/>
    <n v="1"/>
    <x v="3"/>
  </r>
  <r>
    <n v="75"/>
    <n v="0"/>
    <x v="6"/>
  </r>
  <r>
    <n v="75"/>
    <n v="1"/>
    <x v="2"/>
  </r>
  <r>
    <n v="75"/>
    <n v="1"/>
    <x v="5"/>
  </r>
  <r>
    <n v="75"/>
    <n v="0"/>
    <x v="4"/>
  </r>
  <r>
    <n v="75"/>
    <n v="1"/>
    <x v="1"/>
  </r>
  <r>
    <n v="75"/>
    <n v="1"/>
    <x v="2"/>
  </r>
  <r>
    <n v="75"/>
    <n v="0"/>
    <x v="3"/>
  </r>
  <r>
    <n v="75"/>
    <n v="0"/>
    <x v="11"/>
  </r>
  <r>
    <n v="75"/>
    <n v="1"/>
    <x v="8"/>
  </r>
  <r>
    <n v="75"/>
    <n v="1"/>
    <x v="4"/>
  </r>
  <r>
    <n v="75"/>
    <n v="0"/>
    <x v="4"/>
  </r>
  <r>
    <n v="75"/>
    <n v="1"/>
    <x v="9"/>
  </r>
  <r>
    <n v="75"/>
    <n v="0"/>
    <x v="4"/>
  </r>
  <r>
    <n v="74"/>
    <n v="1"/>
    <x v="1"/>
  </r>
  <r>
    <n v="74"/>
    <n v="0"/>
    <x v="11"/>
  </r>
  <r>
    <n v="74"/>
    <n v="0"/>
    <x v="11"/>
  </r>
  <r>
    <n v="74"/>
    <n v="1"/>
    <x v="1"/>
  </r>
  <r>
    <n v="74"/>
    <n v="1"/>
    <x v="3"/>
  </r>
  <r>
    <n v="74"/>
    <n v="1"/>
    <x v="10"/>
  </r>
  <r>
    <n v="74"/>
    <n v="0"/>
    <x v="11"/>
  </r>
  <r>
    <n v="74"/>
    <n v="0"/>
    <x v="7"/>
  </r>
  <r>
    <n v="74"/>
    <n v="0"/>
    <x v="6"/>
  </r>
  <r>
    <n v="74"/>
    <n v="1"/>
    <x v="2"/>
  </r>
  <r>
    <n v="74"/>
    <n v="1"/>
    <x v="9"/>
  </r>
  <r>
    <n v="74"/>
    <n v="1"/>
    <x v="5"/>
  </r>
  <r>
    <n v="74"/>
    <n v="0"/>
    <x v="7"/>
  </r>
  <r>
    <n v="74"/>
    <n v="0"/>
    <x v="1"/>
  </r>
  <r>
    <n v="74"/>
    <n v="1"/>
    <x v="1"/>
  </r>
  <r>
    <n v="74"/>
    <n v="1"/>
    <x v="2"/>
  </r>
  <r>
    <n v="74"/>
    <n v="0"/>
    <x v="3"/>
  </r>
  <r>
    <n v="74"/>
    <n v="1"/>
    <x v="4"/>
  </r>
  <r>
    <n v="74"/>
    <n v="0"/>
    <x v="6"/>
  </r>
  <r>
    <n v="74"/>
    <n v="1"/>
    <x v="4"/>
  </r>
  <r>
    <n v="74"/>
    <n v="0"/>
    <x v="4"/>
  </r>
  <r>
    <n v="74"/>
    <n v="1"/>
    <x v="7"/>
  </r>
  <r>
    <n v="74"/>
    <n v="0"/>
    <x v="9"/>
  </r>
  <r>
    <n v="74"/>
    <n v="1"/>
    <x v="10"/>
  </r>
  <r>
    <n v="74"/>
    <n v="0"/>
    <x v="3"/>
  </r>
  <r>
    <n v="74"/>
    <n v="0"/>
    <x v="2"/>
  </r>
  <r>
    <n v="74"/>
    <n v="1"/>
    <x v="4"/>
  </r>
  <r>
    <n v="74"/>
    <n v="0"/>
    <x v="6"/>
  </r>
  <r>
    <n v="74"/>
    <n v="0"/>
    <x v="0"/>
  </r>
  <r>
    <n v="74"/>
    <n v="0"/>
    <x v="7"/>
  </r>
  <r>
    <n v="74"/>
    <n v="1"/>
    <x v="7"/>
  </r>
  <r>
    <n v="74"/>
    <n v="0"/>
    <x v="4"/>
  </r>
  <r>
    <n v="74"/>
    <n v="1"/>
    <x v="4"/>
  </r>
  <r>
    <n v="74"/>
    <n v="1"/>
    <x v="9"/>
  </r>
  <r>
    <n v="74"/>
    <n v="1"/>
    <x v="9"/>
  </r>
  <r>
    <n v="74"/>
    <n v="1"/>
    <x v="3"/>
  </r>
  <r>
    <n v="74"/>
    <n v="1"/>
    <x v="2"/>
  </r>
  <r>
    <n v="74"/>
    <n v="1"/>
    <x v="1"/>
  </r>
  <r>
    <n v="74"/>
    <n v="1"/>
    <x v="7"/>
  </r>
  <r>
    <n v="74"/>
    <n v="1"/>
    <x v="7"/>
  </r>
  <r>
    <n v="74"/>
    <n v="1"/>
    <x v="3"/>
  </r>
  <r>
    <n v="74"/>
    <n v="1"/>
    <x v="2"/>
  </r>
  <r>
    <n v="74"/>
    <n v="1"/>
    <x v="2"/>
  </r>
  <r>
    <n v="74"/>
    <n v="0"/>
    <x v="0"/>
  </r>
  <r>
    <n v="74"/>
    <n v="0"/>
    <x v="4"/>
  </r>
  <r>
    <n v="74"/>
    <n v="1"/>
    <x v="2"/>
  </r>
  <r>
    <n v="74"/>
    <n v="0"/>
    <x v="6"/>
  </r>
  <r>
    <n v="74"/>
    <n v="1"/>
    <x v="9"/>
  </r>
  <r>
    <n v="74"/>
    <n v="1"/>
    <x v="8"/>
  </r>
  <r>
    <n v="74"/>
    <n v="0"/>
    <x v="10"/>
  </r>
  <r>
    <n v="74"/>
    <n v="0"/>
    <x v="3"/>
  </r>
  <r>
    <n v="74"/>
    <n v="1"/>
    <x v="3"/>
  </r>
  <r>
    <n v="74"/>
    <n v="0"/>
    <x v="4"/>
  </r>
  <r>
    <n v="74"/>
    <n v="1"/>
    <x v="10"/>
  </r>
  <r>
    <n v="74"/>
    <n v="1"/>
    <x v="1"/>
  </r>
  <r>
    <n v="74"/>
    <n v="0"/>
    <x v="6"/>
  </r>
  <r>
    <n v="74"/>
    <n v="0"/>
    <x v="11"/>
  </r>
  <r>
    <n v="74"/>
    <n v="1"/>
    <x v="9"/>
  </r>
  <r>
    <n v="74"/>
    <n v="1"/>
    <x v="1"/>
  </r>
  <r>
    <n v="74"/>
    <n v="0"/>
    <x v="4"/>
  </r>
  <r>
    <n v="74"/>
    <n v="1"/>
    <x v="2"/>
  </r>
  <r>
    <n v="74"/>
    <n v="1"/>
    <x v="7"/>
  </r>
  <r>
    <n v="74"/>
    <n v="0"/>
    <x v="3"/>
  </r>
  <r>
    <n v="74"/>
    <n v="1"/>
    <x v="1"/>
  </r>
  <r>
    <n v="74"/>
    <n v="1"/>
    <x v="11"/>
  </r>
  <r>
    <n v="74"/>
    <n v="1"/>
    <x v="11"/>
  </r>
  <r>
    <n v="74"/>
    <n v="1"/>
    <x v="7"/>
  </r>
  <r>
    <n v="74"/>
    <n v="1"/>
    <x v="1"/>
  </r>
  <r>
    <n v="74"/>
    <n v="1"/>
    <x v="1"/>
  </r>
  <r>
    <n v="74"/>
    <n v="1"/>
    <x v="4"/>
  </r>
  <r>
    <n v="74"/>
    <n v="1"/>
    <x v="4"/>
  </r>
  <r>
    <n v="74"/>
    <n v="0"/>
    <x v="9"/>
  </r>
  <r>
    <n v="74"/>
    <n v="1"/>
    <x v="1"/>
  </r>
  <r>
    <n v="74"/>
    <n v="1"/>
    <x v="1"/>
  </r>
  <r>
    <n v="74"/>
    <n v="1"/>
    <x v="1"/>
  </r>
  <r>
    <n v="74"/>
    <n v="0"/>
    <x v="2"/>
  </r>
  <r>
    <n v="74"/>
    <n v="0"/>
    <x v="6"/>
  </r>
  <r>
    <n v="74"/>
    <n v="0"/>
    <x v="8"/>
  </r>
  <r>
    <n v="74"/>
    <n v="0"/>
    <x v="1"/>
  </r>
  <r>
    <n v="74"/>
    <n v="0"/>
    <x v="7"/>
  </r>
  <r>
    <n v="74"/>
    <n v="0"/>
    <x v="4"/>
  </r>
  <r>
    <n v="74"/>
    <n v="1"/>
    <x v="4"/>
  </r>
  <r>
    <n v="74"/>
    <n v="1"/>
    <x v="8"/>
  </r>
  <r>
    <n v="74"/>
    <n v="1"/>
    <x v="10"/>
  </r>
  <r>
    <n v="74"/>
    <n v="1"/>
    <x v="2"/>
  </r>
  <r>
    <n v="74"/>
    <n v="0"/>
    <x v="11"/>
  </r>
  <r>
    <n v="74"/>
    <n v="0"/>
    <x v="3"/>
  </r>
  <r>
    <n v="74"/>
    <n v="1"/>
    <x v="1"/>
  </r>
  <r>
    <n v="74"/>
    <n v="1"/>
    <x v="8"/>
  </r>
  <r>
    <n v="74"/>
    <n v="1"/>
    <x v="4"/>
  </r>
  <r>
    <n v="74"/>
    <n v="1"/>
    <x v="1"/>
  </r>
  <r>
    <n v="74"/>
    <n v="1"/>
    <x v="9"/>
  </r>
  <r>
    <n v="74"/>
    <n v="1"/>
    <x v="9"/>
  </r>
  <r>
    <n v="74"/>
    <n v="1"/>
    <x v="4"/>
  </r>
  <r>
    <n v="74"/>
    <n v="0"/>
    <x v="4"/>
  </r>
  <r>
    <n v="74"/>
    <n v="0"/>
    <x v="8"/>
  </r>
  <r>
    <n v="74"/>
    <n v="1"/>
    <x v="2"/>
  </r>
  <r>
    <n v="74"/>
    <n v="0"/>
    <x v="7"/>
  </r>
  <r>
    <n v="74"/>
    <n v="1"/>
    <x v="3"/>
  </r>
  <r>
    <n v="74"/>
    <n v="0"/>
    <x v="6"/>
  </r>
  <r>
    <n v="74"/>
    <n v="1"/>
    <x v="2"/>
  </r>
  <r>
    <n v="74"/>
    <n v="0"/>
    <x v="1"/>
  </r>
  <r>
    <n v="74"/>
    <n v="0"/>
    <x v="5"/>
  </r>
  <r>
    <n v="73"/>
    <n v="1"/>
    <x v="8"/>
  </r>
  <r>
    <n v="73"/>
    <n v="1"/>
    <x v="8"/>
  </r>
  <r>
    <n v="73"/>
    <n v="0"/>
    <x v="3"/>
  </r>
  <r>
    <n v="73"/>
    <n v="1"/>
    <x v="0"/>
  </r>
  <r>
    <n v="73"/>
    <n v="1"/>
    <x v="11"/>
  </r>
  <r>
    <n v="73"/>
    <n v="0"/>
    <x v="6"/>
  </r>
  <r>
    <n v="73"/>
    <n v="1"/>
    <x v="7"/>
  </r>
  <r>
    <n v="73"/>
    <n v="1"/>
    <x v="7"/>
  </r>
  <r>
    <n v="73"/>
    <n v="1"/>
    <x v="0"/>
  </r>
  <r>
    <n v="73"/>
    <n v="1"/>
    <x v="10"/>
  </r>
  <r>
    <n v="73"/>
    <n v="0"/>
    <x v="4"/>
  </r>
  <r>
    <n v="73"/>
    <n v="0"/>
    <x v="9"/>
  </r>
  <r>
    <n v="73"/>
    <n v="1"/>
    <x v="4"/>
  </r>
  <r>
    <n v="73"/>
    <n v="1"/>
    <x v="4"/>
  </r>
  <r>
    <n v="73"/>
    <n v="0"/>
    <x v="8"/>
  </r>
  <r>
    <n v="73"/>
    <n v="1"/>
    <x v="1"/>
  </r>
  <r>
    <n v="73"/>
    <n v="1"/>
    <x v="0"/>
  </r>
  <r>
    <n v="73"/>
    <n v="1"/>
    <x v="3"/>
  </r>
  <r>
    <n v="73"/>
    <n v="0"/>
    <x v="6"/>
  </r>
  <r>
    <n v="73"/>
    <n v="1"/>
    <x v="8"/>
  </r>
  <r>
    <n v="73"/>
    <n v="1"/>
    <x v="2"/>
  </r>
  <r>
    <n v="73"/>
    <n v="1"/>
    <x v="10"/>
  </r>
  <r>
    <n v="73"/>
    <n v="1"/>
    <x v="2"/>
  </r>
  <r>
    <n v="73"/>
    <n v="1"/>
    <x v="2"/>
  </r>
  <r>
    <n v="73"/>
    <n v="1"/>
    <x v="7"/>
  </r>
  <r>
    <n v="73"/>
    <n v="0"/>
    <x v="5"/>
  </r>
  <r>
    <n v="73"/>
    <n v="1"/>
    <x v="11"/>
  </r>
  <r>
    <n v="73"/>
    <n v="0"/>
    <x v="4"/>
  </r>
  <r>
    <n v="73"/>
    <n v="1"/>
    <x v="10"/>
  </r>
  <r>
    <n v="73"/>
    <n v="0"/>
    <x v="9"/>
  </r>
  <r>
    <n v="73"/>
    <n v="0"/>
    <x v="10"/>
  </r>
  <r>
    <n v="73"/>
    <n v="1"/>
    <x v="7"/>
  </r>
  <r>
    <n v="73"/>
    <n v="0"/>
    <x v="8"/>
  </r>
  <r>
    <n v="73"/>
    <n v="0"/>
    <x v="11"/>
  </r>
  <r>
    <n v="73"/>
    <n v="1"/>
    <x v="10"/>
  </r>
  <r>
    <n v="73"/>
    <n v="1"/>
    <x v="7"/>
  </r>
  <r>
    <n v="73"/>
    <n v="0"/>
    <x v="2"/>
  </r>
  <r>
    <n v="73"/>
    <n v="1"/>
    <x v="3"/>
  </r>
  <r>
    <n v="73"/>
    <n v="0"/>
    <x v="3"/>
  </r>
  <r>
    <n v="73"/>
    <n v="0"/>
    <x v="9"/>
  </r>
  <r>
    <n v="73"/>
    <n v="1"/>
    <x v="10"/>
  </r>
  <r>
    <n v="73"/>
    <n v="1"/>
    <x v="1"/>
  </r>
  <r>
    <n v="73"/>
    <n v="0"/>
    <x v="11"/>
  </r>
  <r>
    <n v="73"/>
    <n v="1"/>
    <x v="3"/>
  </r>
  <r>
    <n v="73"/>
    <n v="1"/>
    <x v="0"/>
  </r>
  <r>
    <n v="73"/>
    <n v="1"/>
    <x v="10"/>
  </r>
  <r>
    <n v="73"/>
    <n v="0"/>
    <x v="5"/>
  </r>
  <r>
    <n v="73"/>
    <n v="1"/>
    <x v="4"/>
  </r>
  <r>
    <n v="73"/>
    <n v="1"/>
    <x v="9"/>
  </r>
  <r>
    <n v="73"/>
    <n v="0"/>
    <x v="4"/>
  </r>
  <r>
    <n v="73"/>
    <n v="0"/>
    <x v="6"/>
  </r>
  <r>
    <n v="73"/>
    <n v="1"/>
    <x v="7"/>
  </r>
  <r>
    <n v="73"/>
    <n v="0"/>
    <x v="11"/>
  </r>
  <r>
    <n v="73"/>
    <n v="1"/>
    <x v="2"/>
  </r>
  <r>
    <n v="73"/>
    <n v="1"/>
    <x v="0"/>
  </r>
  <r>
    <n v="73"/>
    <n v="1"/>
    <x v="8"/>
  </r>
  <r>
    <n v="73"/>
    <n v="0"/>
    <x v="5"/>
  </r>
  <r>
    <n v="73"/>
    <n v="0"/>
    <x v="0"/>
  </r>
  <r>
    <n v="73"/>
    <n v="0"/>
    <x v="0"/>
  </r>
  <r>
    <n v="73"/>
    <n v="0"/>
    <x v="7"/>
  </r>
  <r>
    <n v="73"/>
    <n v="1"/>
    <x v="8"/>
  </r>
  <r>
    <n v="73"/>
    <n v="1"/>
    <x v="6"/>
  </r>
  <r>
    <n v="73"/>
    <n v="1"/>
    <x v="2"/>
  </r>
  <r>
    <n v="73"/>
    <n v="1"/>
    <x v="3"/>
  </r>
  <r>
    <n v="73"/>
    <n v="0"/>
    <x v="8"/>
  </r>
  <r>
    <n v="73"/>
    <n v="0"/>
    <x v="11"/>
  </r>
  <r>
    <n v="73"/>
    <n v="1"/>
    <x v="4"/>
  </r>
  <r>
    <n v="73"/>
    <n v="1"/>
    <x v="8"/>
  </r>
  <r>
    <n v="73"/>
    <n v="0"/>
    <x v="4"/>
  </r>
  <r>
    <n v="73"/>
    <n v="1"/>
    <x v="8"/>
  </r>
  <r>
    <n v="73"/>
    <n v="1"/>
    <x v="2"/>
  </r>
  <r>
    <n v="73"/>
    <n v="1"/>
    <x v="6"/>
  </r>
  <r>
    <n v="73"/>
    <n v="1"/>
    <x v="1"/>
  </r>
  <r>
    <n v="73"/>
    <n v="1"/>
    <x v="8"/>
  </r>
  <r>
    <n v="73"/>
    <n v="1"/>
    <x v="8"/>
  </r>
  <r>
    <n v="73"/>
    <n v="0"/>
    <x v="7"/>
  </r>
  <r>
    <n v="73"/>
    <n v="1"/>
    <x v="8"/>
  </r>
  <r>
    <n v="73"/>
    <n v="1"/>
    <x v="1"/>
  </r>
  <r>
    <n v="73"/>
    <n v="0"/>
    <x v="11"/>
  </r>
  <r>
    <n v="73"/>
    <n v="0"/>
    <x v="11"/>
  </r>
  <r>
    <n v="73"/>
    <n v="1"/>
    <x v="7"/>
  </r>
  <r>
    <n v="73"/>
    <n v="0"/>
    <x v="4"/>
  </r>
  <r>
    <n v="73"/>
    <n v="1"/>
    <x v="4"/>
  </r>
  <r>
    <n v="73"/>
    <n v="1"/>
    <x v="7"/>
  </r>
  <r>
    <n v="73"/>
    <n v="1"/>
    <x v="7"/>
  </r>
  <r>
    <n v="73"/>
    <n v="0"/>
    <x v="9"/>
  </r>
  <r>
    <n v="73"/>
    <n v="0"/>
    <x v="1"/>
  </r>
  <r>
    <n v="73"/>
    <n v="1"/>
    <x v="0"/>
  </r>
  <r>
    <n v="73"/>
    <n v="1"/>
    <x v="3"/>
  </r>
  <r>
    <n v="73"/>
    <n v="1"/>
    <x v="7"/>
  </r>
  <r>
    <n v="73"/>
    <n v="1"/>
    <x v="1"/>
  </r>
  <r>
    <n v="73"/>
    <n v="1"/>
    <x v="11"/>
  </r>
  <r>
    <n v="73"/>
    <n v="1"/>
    <x v="11"/>
  </r>
  <r>
    <n v="73"/>
    <n v="0"/>
    <x v="4"/>
  </r>
  <r>
    <n v="73"/>
    <n v="0"/>
    <x v="4"/>
  </r>
  <r>
    <n v="73"/>
    <n v="0"/>
    <x v="3"/>
  </r>
  <r>
    <n v="73"/>
    <n v="1"/>
    <x v="0"/>
  </r>
  <r>
    <n v="73"/>
    <n v="1"/>
    <x v="6"/>
  </r>
  <r>
    <n v="73"/>
    <n v="0"/>
    <x v="10"/>
  </r>
  <r>
    <n v="73"/>
    <n v="1"/>
    <x v="4"/>
  </r>
  <r>
    <n v="73"/>
    <n v="0"/>
    <x v="5"/>
  </r>
  <r>
    <n v="73"/>
    <n v="0"/>
    <x v="3"/>
  </r>
  <r>
    <n v="73"/>
    <n v="0"/>
    <x v="2"/>
  </r>
  <r>
    <n v="73"/>
    <n v="1"/>
    <x v="0"/>
  </r>
  <r>
    <n v="73"/>
    <n v="1"/>
    <x v="1"/>
  </r>
  <r>
    <n v="73"/>
    <n v="1"/>
    <x v="3"/>
  </r>
  <r>
    <n v="73"/>
    <n v="1"/>
    <x v="4"/>
  </r>
  <r>
    <n v="73"/>
    <n v="1"/>
    <x v="10"/>
  </r>
  <r>
    <n v="73"/>
    <n v="0"/>
    <x v="6"/>
  </r>
  <r>
    <n v="73"/>
    <n v="0"/>
    <x v="1"/>
  </r>
  <r>
    <n v="73"/>
    <n v="0"/>
    <x v="7"/>
  </r>
  <r>
    <n v="73"/>
    <n v="1"/>
    <x v="2"/>
  </r>
  <r>
    <n v="73"/>
    <n v="1"/>
    <x v="7"/>
  </r>
  <r>
    <n v="73"/>
    <n v="1"/>
    <x v="3"/>
  </r>
  <r>
    <n v="73"/>
    <n v="0"/>
    <x v="0"/>
  </r>
  <r>
    <n v="73"/>
    <n v="0"/>
    <x v="2"/>
  </r>
  <r>
    <n v="73"/>
    <n v="0"/>
    <x v="4"/>
  </r>
  <r>
    <n v="73"/>
    <n v="1"/>
    <x v="8"/>
  </r>
  <r>
    <n v="73"/>
    <n v="0"/>
    <x v="7"/>
  </r>
  <r>
    <n v="73"/>
    <n v="1"/>
    <x v="9"/>
  </r>
  <r>
    <n v="73"/>
    <n v="0"/>
    <x v="4"/>
  </r>
  <r>
    <n v="73"/>
    <n v="0"/>
    <x v="0"/>
  </r>
  <r>
    <n v="73"/>
    <n v="0"/>
    <x v="7"/>
  </r>
  <r>
    <n v="73"/>
    <n v="0"/>
    <x v="7"/>
  </r>
  <r>
    <n v="73"/>
    <n v="0"/>
    <x v="0"/>
  </r>
  <r>
    <n v="73"/>
    <n v="0"/>
    <x v="6"/>
  </r>
  <r>
    <n v="72"/>
    <n v="0"/>
    <x v="7"/>
  </r>
  <r>
    <n v="72"/>
    <n v="1"/>
    <x v="7"/>
  </r>
  <r>
    <n v="72"/>
    <n v="1"/>
    <x v="11"/>
  </r>
  <r>
    <n v="72"/>
    <n v="1"/>
    <x v="10"/>
  </r>
  <r>
    <n v="72"/>
    <n v="1"/>
    <x v="8"/>
  </r>
  <r>
    <n v="72"/>
    <n v="1"/>
    <x v="8"/>
  </r>
  <r>
    <n v="72"/>
    <n v="1"/>
    <x v="7"/>
  </r>
  <r>
    <n v="72"/>
    <n v="0"/>
    <x v="4"/>
  </r>
  <r>
    <n v="72"/>
    <n v="1"/>
    <x v="7"/>
  </r>
  <r>
    <n v="72"/>
    <n v="1"/>
    <x v="10"/>
  </r>
  <r>
    <n v="72"/>
    <n v="1"/>
    <x v="0"/>
  </r>
  <r>
    <n v="72"/>
    <n v="1"/>
    <x v="3"/>
  </r>
  <r>
    <n v="72"/>
    <n v="0"/>
    <x v="3"/>
  </r>
  <r>
    <n v="72"/>
    <n v="0"/>
    <x v="3"/>
  </r>
  <r>
    <n v="72"/>
    <n v="0"/>
    <x v="4"/>
  </r>
  <r>
    <n v="72"/>
    <n v="1"/>
    <x v="4"/>
  </r>
  <r>
    <n v="72"/>
    <n v="1"/>
    <x v="4"/>
  </r>
  <r>
    <n v="72"/>
    <n v="1"/>
    <x v="4"/>
  </r>
  <r>
    <n v="72"/>
    <n v="1"/>
    <x v="4"/>
  </r>
  <r>
    <n v="72"/>
    <n v="1"/>
    <x v="8"/>
  </r>
  <r>
    <n v="72"/>
    <n v="0"/>
    <x v="10"/>
  </r>
  <r>
    <n v="72"/>
    <n v="0"/>
    <x v="11"/>
  </r>
  <r>
    <n v="72"/>
    <n v="1"/>
    <x v="1"/>
  </r>
  <r>
    <n v="72"/>
    <n v="0"/>
    <x v="5"/>
  </r>
  <r>
    <n v="72"/>
    <n v="1"/>
    <x v="1"/>
  </r>
  <r>
    <n v="72"/>
    <n v="1"/>
    <x v="2"/>
  </r>
  <r>
    <n v="72"/>
    <n v="1"/>
    <x v="4"/>
  </r>
  <r>
    <n v="72"/>
    <n v="1"/>
    <x v="1"/>
  </r>
  <r>
    <n v="72"/>
    <n v="0"/>
    <x v="9"/>
  </r>
  <r>
    <n v="72"/>
    <n v="0"/>
    <x v="4"/>
  </r>
  <r>
    <n v="72"/>
    <n v="0"/>
    <x v="4"/>
  </r>
  <r>
    <n v="72"/>
    <n v="1"/>
    <x v="11"/>
  </r>
  <r>
    <n v="72"/>
    <n v="1"/>
    <x v="3"/>
  </r>
  <r>
    <n v="72"/>
    <n v="0"/>
    <x v="10"/>
  </r>
  <r>
    <n v="72"/>
    <n v="0"/>
    <x v="10"/>
  </r>
  <r>
    <n v="72"/>
    <n v="0"/>
    <x v="9"/>
  </r>
  <r>
    <n v="72"/>
    <n v="0"/>
    <x v="10"/>
  </r>
  <r>
    <n v="72"/>
    <n v="1"/>
    <x v="4"/>
  </r>
  <r>
    <n v="72"/>
    <n v="1"/>
    <x v="4"/>
  </r>
  <r>
    <n v="72"/>
    <n v="1"/>
    <x v="8"/>
  </r>
  <r>
    <n v="72"/>
    <n v="0"/>
    <x v="11"/>
  </r>
  <r>
    <n v="72"/>
    <n v="0"/>
    <x v="3"/>
  </r>
  <r>
    <n v="72"/>
    <n v="0"/>
    <x v="0"/>
  </r>
  <r>
    <n v="72"/>
    <n v="1"/>
    <x v="11"/>
  </r>
  <r>
    <n v="72"/>
    <n v="1"/>
    <x v="8"/>
  </r>
  <r>
    <n v="72"/>
    <n v="1"/>
    <x v="11"/>
  </r>
  <r>
    <n v="72"/>
    <n v="0"/>
    <x v="4"/>
  </r>
  <r>
    <n v="72"/>
    <n v="1"/>
    <x v="8"/>
  </r>
  <r>
    <n v="72"/>
    <n v="1"/>
    <x v="10"/>
  </r>
  <r>
    <n v="72"/>
    <n v="0"/>
    <x v="7"/>
  </r>
  <r>
    <n v="72"/>
    <n v="0"/>
    <x v="3"/>
  </r>
  <r>
    <n v="72"/>
    <n v="1"/>
    <x v="4"/>
  </r>
  <r>
    <n v="72"/>
    <n v="1"/>
    <x v="2"/>
  </r>
  <r>
    <n v="72"/>
    <n v="1"/>
    <x v="11"/>
  </r>
  <r>
    <n v="72"/>
    <n v="0"/>
    <x v="10"/>
  </r>
  <r>
    <n v="72"/>
    <n v="0"/>
    <x v="6"/>
  </r>
  <r>
    <n v="72"/>
    <n v="1"/>
    <x v="6"/>
  </r>
  <r>
    <n v="72"/>
    <n v="0"/>
    <x v="10"/>
  </r>
  <r>
    <n v="72"/>
    <n v="1"/>
    <x v="4"/>
  </r>
  <r>
    <n v="72"/>
    <n v="1"/>
    <x v="4"/>
  </r>
  <r>
    <n v="72"/>
    <n v="1"/>
    <x v="5"/>
  </r>
  <r>
    <n v="72"/>
    <n v="1"/>
    <x v="0"/>
  </r>
  <r>
    <n v="72"/>
    <n v="1"/>
    <x v="10"/>
  </r>
  <r>
    <n v="72"/>
    <n v="1"/>
    <x v="9"/>
  </r>
  <r>
    <n v="72"/>
    <n v="1"/>
    <x v="4"/>
  </r>
  <r>
    <n v="72"/>
    <n v="1"/>
    <x v="8"/>
  </r>
  <r>
    <n v="72"/>
    <n v="1"/>
    <x v="5"/>
  </r>
  <r>
    <n v="72"/>
    <n v="1"/>
    <x v="9"/>
  </r>
  <r>
    <n v="72"/>
    <n v="0"/>
    <x v="4"/>
  </r>
  <r>
    <n v="72"/>
    <n v="1"/>
    <x v="11"/>
  </r>
  <r>
    <n v="72"/>
    <n v="1"/>
    <x v="11"/>
  </r>
  <r>
    <n v="72"/>
    <n v="1"/>
    <x v="4"/>
  </r>
  <r>
    <n v="72"/>
    <n v="0"/>
    <x v="4"/>
  </r>
  <r>
    <n v="72"/>
    <n v="1"/>
    <x v="2"/>
  </r>
  <r>
    <n v="72"/>
    <n v="0"/>
    <x v="9"/>
  </r>
  <r>
    <n v="72"/>
    <n v="0"/>
    <x v="3"/>
  </r>
  <r>
    <n v="72"/>
    <n v="0"/>
    <x v="9"/>
  </r>
  <r>
    <n v="72"/>
    <n v="1"/>
    <x v="11"/>
  </r>
  <r>
    <n v="72"/>
    <n v="1"/>
    <x v="0"/>
  </r>
  <r>
    <n v="72"/>
    <n v="1"/>
    <x v="8"/>
  </r>
  <r>
    <n v="72"/>
    <n v="0"/>
    <x v="3"/>
  </r>
  <r>
    <n v="72"/>
    <n v="0"/>
    <x v="7"/>
  </r>
  <r>
    <n v="72"/>
    <n v="0"/>
    <x v="2"/>
  </r>
  <r>
    <n v="72"/>
    <n v="0"/>
    <x v="3"/>
  </r>
  <r>
    <n v="72"/>
    <n v="1"/>
    <x v="1"/>
  </r>
  <r>
    <n v="72"/>
    <n v="1"/>
    <x v="2"/>
  </r>
  <r>
    <n v="72"/>
    <n v="1"/>
    <x v="8"/>
  </r>
  <r>
    <n v="72"/>
    <n v="1"/>
    <x v="7"/>
  </r>
  <r>
    <n v="72"/>
    <n v="0"/>
    <x v="7"/>
  </r>
  <r>
    <n v="72"/>
    <n v="0"/>
    <x v="9"/>
  </r>
  <r>
    <n v="72"/>
    <n v="0"/>
    <x v="2"/>
  </r>
  <r>
    <n v="72"/>
    <n v="0"/>
    <x v="6"/>
  </r>
  <r>
    <n v="72"/>
    <n v="0"/>
    <x v="7"/>
  </r>
  <r>
    <n v="72"/>
    <n v="1"/>
    <x v="1"/>
  </r>
  <r>
    <n v="72"/>
    <n v="0"/>
    <x v="6"/>
  </r>
  <r>
    <n v="72"/>
    <n v="1"/>
    <x v="2"/>
  </r>
  <r>
    <n v="72"/>
    <n v="1"/>
    <x v="2"/>
  </r>
  <r>
    <n v="72"/>
    <n v="0"/>
    <x v="10"/>
  </r>
  <r>
    <n v="72"/>
    <n v="1"/>
    <x v="5"/>
  </r>
  <r>
    <n v="72"/>
    <n v="0"/>
    <x v="3"/>
  </r>
  <r>
    <n v="72"/>
    <n v="1"/>
    <x v="4"/>
  </r>
  <r>
    <n v="72"/>
    <n v="0"/>
    <x v="8"/>
  </r>
  <r>
    <n v="72"/>
    <n v="0"/>
    <x v="11"/>
  </r>
  <r>
    <n v="72"/>
    <n v="0"/>
    <x v="10"/>
  </r>
  <r>
    <n v="72"/>
    <n v="0"/>
    <x v="0"/>
  </r>
  <r>
    <n v="72"/>
    <n v="0"/>
    <x v="2"/>
  </r>
  <r>
    <n v="72"/>
    <n v="0"/>
    <x v="7"/>
  </r>
  <r>
    <n v="72"/>
    <n v="1"/>
    <x v="9"/>
  </r>
  <r>
    <n v="72"/>
    <n v="1"/>
    <x v="10"/>
  </r>
  <r>
    <n v="72"/>
    <n v="1"/>
    <x v="8"/>
  </r>
  <r>
    <n v="72"/>
    <n v="0"/>
    <x v="10"/>
  </r>
  <r>
    <n v="72"/>
    <n v="0"/>
    <x v="9"/>
  </r>
  <r>
    <n v="72"/>
    <n v="1"/>
    <x v="0"/>
  </r>
  <r>
    <n v="72"/>
    <n v="1"/>
    <x v="2"/>
  </r>
  <r>
    <n v="72"/>
    <n v="1"/>
    <x v="9"/>
  </r>
  <r>
    <n v="72"/>
    <n v="1"/>
    <x v="8"/>
  </r>
  <r>
    <n v="72"/>
    <n v="1"/>
    <x v="8"/>
  </r>
  <r>
    <n v="72"/>
    <n v="0"/>
    <x v="11"/>
  </r>
  <r>
    <n v="72"/>
    <n v="1"/>
    <x v="5"/>
  </r>
  <r>
    <n v="72"/>
    <n v="0"/>
    <x v="3"/>
  </r>
  <r>
    <n v="72"/>
    <n v="0"/>
    <x v="6"/>
  </r>
  <r>
    <n v="72"/>
    <n v="0"/>
    <x v="3"/>
  </r>
  <r>
    <n v="72"/>
    <n v="0"/>
    <x v="2"/>
  </r>
  <r>
    <n v="72"/>
    <n v="1"/>
    <x v="2"/>
  </r>
  <r>
    <n v="72"/>
    <n v="0"/>
    <x v="2"/>
  </r>
  <r>
    <n v="72"/>
    <n v="0"/>
    <x v="0"/>
  </r>
  <r>
    <n v="72"/>
    <n v="1"/>
    <x v="8"/>
  </r>
  <r>
    <n v="72"/>
    <n v="1"/>
    <x v="2"/>
  </r>
  <r>
    <n v="72"/>
    <n v="0"/>
    <x v="1"/>
  </r>
  <r>
    <n v="71"/>
    <n v="1"/>
    <x v="3"/>
  </r>
  <r>
    <n v="71"/>
    <n v="0"/>
    <x v="3"/>
  </r>
  <r>
    <n v="71"/>
    <n v="0"/>
    <x v="9"/>
  </r>
  <r>
    <n v="71"/>
    <n v="0"/>
    <x v="3"/>
  </r>
  <r>
    <n v="71"/>
    <n v="0"/>
    <x v="0"/>
  </r>
  <r>
    <n v="71"/>
    <n v="1"/>
    <x v="8"/>
  </r>
  <r>
    <n v="71"/>
    <n v="0"/>
    <x v="0"/>
  </r>
  <r>
    <n v="71"/>
    <n v="0"/>
    <x v="3"/>
  </r>
  <r>
    <n v="71"/>
    <n v="1"/>
    <x v="0"/>
  </r>
  <r>
    <n v="71"/>
    <n v="0"/>
    <x v="6"/>
  </r>
  <r>
    <n v="71"/>
    <n v="0"/>
    <x v="0"/>
  </r>
  <r>
    <n v="71"/>
    <n v="0"/>
    <x v="0"/>
  </r>
  <r>
    <n v="71"/>
    <n v="0"/>
    <x v="1"/>
  </r>
  <r>
    <n v="71"/>
    <n v="0"/>
    <x v="6"/>
  </r>
  <r>
    <n v="71"/>
    <n v="1"/>
    <x v="2"/>
  </r>
  <r>
    <n v="71"/>
    <n v="1"/>
    <x v="11"/>
  </r>
  <r>
    <n v="71"/>
    <n v="1"/>
    <x v="9"/>
  </r>
  <r>
    <n v="71"/>
    <n v="1"/>
    <x v="11"/>
  </r>
  <r>
    <n v="71"/>
    <n v="1"/>
    <x v="10"/>
  </r>
  <r>
    <n v="71"/>
    <n v="0"/>
    <x v="10"/>
  </r>
  <r>
    <n v="71"/>
    <n v="1"/>
    <x v="8"/>
  </r>
  <r>
    <n v="71"/>
    <n v="0"/>
    <x v="0"/>
  </r>
  <r>
    <n v="71"/>
    <n v="0"/>
    <x v="0"/>
  </r>
  <r>
    <n v="71"/>
    <n v="0"/>
    <x v="11"/>
  </r>
  <r>
    <n v="71"/>
    <n v="1"/>
    <x v="2"/>
  </r>
  <r>
    <n v="71"/>
    <n v="1"/>
    <x v="11"/>
  </r>
  <r>
    <n v="71"/>
    <n v="0"/>
    <x v="7"/>
  </r>
  <r>
    <n v="71"/>
    <n v="0"/>
    <x v="11"/>
  </r>
  <r>
    <n v="71"/>
    <n v="0"/>
    <x v="9"/>
  </r>
  <r>
    <n v="71"/>
    <n v="1"/>
    <x v="1"/>
  </r>
  <r>
    <n v="71"/>
    <n v="1"/>
    <x v="3"/>
  </r>
  <r>
    <n v="71"/>
    <n v="1"/>
    <x v="1"/>
  </r>
  <r>
    <n v="71"/>
    <n v="1"/>
    <x v="10"/>
  </r>
  <r>
    <n v="71"/>
    <n v="0"/>
    <x v="6"/>
  </r>
  <r>
    <n v="71"/>
    <n v="1"/>
    <x v="4"/>
  </r>
  <r>
    <n v="71"/>
    <n v="1"/>
    <x v="8"/>
  </r>
  <r>
    <n v="71"/>
    <n v="1"/>
    <x v="0"/>
  </r>
  <r>
    <n v="71"/>
    <n v="0"/>
    <x v="6"/>
  </r>
  <r>
    <n v="71"/>
    <n v="1"/>
    <x v="2"/>
  </r>
  <r>
    <n v="71"/>
    <n v="1"/>
    <x v="8"/>
  </r>
  <r>
    <n v="71"/>
    <n v="0"/>
    <x v="0"/>
  </r>
  <r>
    <n v="71"/>
    <n v="0"/>
    <x v="0"/>
  </r>
  <r>
    <n v="71"/>
    <n v="0"/>
    <x v="4"/>
  </r>
  <r>
    <n v="71"/>
    <n v="0"/>
    <x v="3"/>
  </r>
  <r>
    <n v="71"/>
    <n v="1"/>
    <x v="6"/>
  </r>
  <r>
    <n v="71"/>
    <n v="0"/>
    <x v="4"/>
  </r>
  <r>
    <n v="71"/>
    <n v="0"/>
    <x v="7"/>
  </r>
  <r>
    <n v="71"/>
    <n v="0"/>
    <x v="11"/>
  </r>
  <r>
    <n v="71"/>
    <n v="1"/>
    <x v="4"/>
  </r>
  <r>
    <n v="71"/>
    <n v="0"/>
    <x v="3"/>
  </r>
  <r>
    <n v="71"/>
    <n v="1"/>
    <x v="9"/>
  </r>
  <r>
    <n v="71"/>
    <n v="1"/>
    <x v="7"/>
  </r>
  <r>
    <n v="71"/>
    <n v="1"/>
    <x v="3"/>
  </r>
  <r>
    <n v="71"/>
    <n v="1"/>
    <x v="2"/>
  </r>
  <r>
    <n v="71"/>
    <n v="1"/>
    <x v="7"/>
  </r>
  <r>
    <n v="71"/>
    <n v="0"/>
    <x v="6"/>
  </r>
  <r>
    <n v="71"/>
    <n v="1"/>
    <x v="1"/>
  </r>
  <r>
    <n v="71"/>
    <n v="1"/>
    <x v="2"/>
  </r>
  <r>
    <n v="71"/>
    <n v="1"/>
    <x v="2"/>
  </r>
  <r>
    <n v="71"/>
    <n v="0"/>
    <x v="11"/>
  </r>
  <r>
    <n v="71"/>
    <n v="1"/>
    <x v="2"/>
  </r>
  <r>
    <n v="71"/>
    <n v="1"/>
    <x v="7"/>
  </r>
  <r>
    <n v="71"/>
    <n v="0"/>
    <x v="0"/>
  </r>
  <r>
    <n v="71"/>
    <n v="0"/>
    <x v="0"/>
  </r>
  <r>
    <n v="71"/>
    <n v="0"/>
    <x v="6"/>
  </r>
  <r>
    <n v="71"/>
    <n v="1"/>
    <x v="1"/>
  </r>
  <r>
    <n v="71"/>
    <n v="1"/>
    <x v="10"/>
  </r>
  <r>
    <n v="71"/>
    <n v="1"/>
    <x v="5"/>
  </r>
  <r>
    <n v="71"/>
    <n v="0"/>
    <x v="6"/>
  </r>
  <r>
    <n v="71"/>
    <n v="0"/>
    <x v="3"/>
  </r>
  <r>
    <n v="71"/>
    <n v="1"/>
    <x v="11"/>
  </r>
  <r>
    <n v="71"/>
    <n v="0"/>
    <x v="4"/>
  </r>
  <r>
    <n v="71"/>
    <n v="1"/>
    <x v="4"/>
  </r>
  <r>
    <n v="71"/>
    <n v="1"/>
    <x v="9"/>
  </r>
  <r>
    <n v="71"/>
    <n v="1"/>
    <x v="11"/>
  </r>
  <r>
    <n v="71"/>
    <n v="0"/>
    <x v="11"/>
  </r>
  <r>
    <n v="71"/>
    <n v="1"/>
    <x v="8"/>
  </r>
  <r>
    <n v="71"/>
    <n v="1"/>
    <x v="10"/>
  </r>
  <r>
    <n v="71"/>
    <n v="0"/>
    <x v="8"/>
  </r>
  <r>
    <n v="71"/>
    <n v="1"/>
    <x v="4"/>
  </r>
  <r>
    <n v="71"/>
    <n v="0"/>
    <x v="0"/>
  </r>
  <r>
    <n v="71"/>
    <n v="1"/>
    <x v="11"/>
  </r>
  <r>
    <n v="71"/>
    <n v="0"/>
    <x v="3"/>
  </r>
  <r>
    <n v="71"/>
    <n v="1"/>
    <x v="6"/>
  </r>
  <r>
    <n v="71"/>
    <n v="1"/>
    <x v="4"/>
  </r>
  <r>
    <n v="71"/>
    <n v="1"/>
    <x v="9"/>
  </r>
  <r>
    <n v="71"/>
    <n v="0"/>
    <x v="4"/>
  </r>
  <r>
    <n v="71"/>
    <n v="0"/>
    <x v="5"/>
  </r>
  <r>
    <n v="71"/>
    <n v="1"/>
    <x v="0"/>
  </r>
  <r>
    <n v="71"/>
    <n v="0"/>
    <x v="0"/>
  </r>
  <r>
    <n v="71"/>
    <n v="0"/>
    <x v="11"/>
  </r>
  <r>
    <n v="71"/>
    <n v="1"/>
    <x v="0"/>
  </r>
  <r>
    <n v="71"/>
    <n v="1"/>
    <x v="3"/>
  </r>
  <r>
    <n v="71"/>
    <n v="0"/>
    <x v="1"/>
  </r>
  <r>
    <n v="71"/>
    <n v="1"/>
    <x v="7"/>
  </r>
  <r>
    <n v="71"/>
    <n v="0"/>
    <x v="11"/>
  </r>
  <r>
    <n v="71"/>
    <n v="1"/>
    <x v="1"/>
  </r>
  <r>
    <n v="71"/>
    <n v="1"/>
    <x v="0"/>
  </r>
  <r>
    <n v="71"/>
    <n v="1"/>
    <x v="7"/>
  </r>
  <r>
    <n v="71"/>
    <n v="1"/>
    <x v="10"/>
  </r>
  <r>
    <n v="71"/>
    <n v="0"/>
    <x v="11"/>
  </r>
  <r>
    <n v="71"/>
    <n v="1"/>
    <x v="4"/>
  </r>
  <r>
    <n v="71"/>
    <n v="0"/>
    <x v="2"/>
  </r>
  <r>
    <n v="71"/>
    <n v="0"/>
    <x v="0"/>
  </r>
  <r>
    <n v="71"/>
    <n v="0"/>
    <x v="11"/>
  </r>
  <r>
    <n v="71"/>
    <n v="0"/>
    <x v="7"/>
  </r>
  <r>
    <n v="71"/>
    <n v="0"/>
    <x v="10"/>
  </r>
  <r>
    <n v="71"/>
    <n v="0"/>
    <x v="10"/>
  </r>
  <r>
    <n v="71"/>
    <n v="1"/>
    <x v="8"/>
  </r>
  <r>
    <n v="71"/>
    <n v="0"/>
    <x v="8"/>
  </r>
  <r>
    <n v="71"/>
    <n v="0"/>
    <x v="4"/>
  </r>
  <r>
    <n v="71"/>
    <n v="0"/>
    <x v="0"/>
  </r>
  <r>
    <n v="71"/>
    <n v="1"/>
    <x v="6"/>
  </r>
  <r>
    <n v="71"/>
    <n v="0"/>
    <x v="9"/>
  </r>
  <r>
    <n v="71"/>
    <n v="1"/>
    <x v="7"/>
  </r>
  <r>
    <n v="70"/>
    <n v="1"/>
    <x v="4"/>
  </r>
  <r>
    <n v="70"/>
    <n v="1"/>
    <x v="7"/>
  </r>
  <r>
    <n v="70"/>
    <n v="0"/>
    <x v="3"/>
  </r>
  <r>
    <n v="70"/>
    <n v="0"/>
    <x v="11"/>
  </r>
  <r>
    <n v="70"/>
    <n v="0"/>
    <x v="2"/>
  </r>
  <r>
    <n v="70"/>
    <n v="1"/>
    <x v="10"/>
  </r>
  <r>
    <n v="70"/>
    <n v="1"/>
    <x v="11"/>
  </r>
  <r>
    <n v="70"/>
    <n v="1"/>
    <x v="1"/>
  </r>
  <r>
    <n v="70"/>
    <n v="1"/>
    <x v="11"/>
  </r>
  <r>
    <n v="70"/>
    <n v="1"/>
    <x v="2"/>
  </r>
  <r>
    <n v="70"/>
    <n v="1"/>
    <x v="4"/>
  </r>
  <r>
    <n v="70"/>
    <n v="1"/>
    <x v="4"/>
  </r>
  <r>
    <n v="70"/>
    <n v="1"/>
    <x v="6"/>
  </r>
  <r>
    <n v="70"/>
    <n v="0"/>
    <x v="5"/>
  </r>
  <r>
    <n v="70"/>
    <n v="1"/>
    <x v="1"/>
  </r>
  <r>
    <n v="70"/>
    <n v="1"/>
    <x v="8"/>
  </r>
  <r>
    <n v="70"/>
    <n v="0"/>
    <x v="0"/>
  </r>
  <r>
    <n v="70"/>
    <n v="1"/>
    <x v="2"/>
  </r>
  <r>
    <n v="70"/>
    <n v="0"/>
    <x v="0"/>
  </r>
  <r>
    <n v="70"/>
    <n v="1"/>
    <x v="10"/>
  </r>
  <r>
    <n v="70"/>
    <n v="1"/>
    <x v="3"/>
  </r>
  <r>
    <n v="70"/>
    <n v="0"/>
    <x v="7"/>
  </r>
  <r>
    <n v="70"/>
    <n v="1"/>
    <x v="4"/>
  </r>
  <r>
    <n v="70"/>
    <n v="1"/>
    <x v="0"/>
  </r>
  <r>
    <n v="70"/>
    <n v="0"/>
    <x v="2"/>
  </r>
  <r>
    <n v="70"/>
    <n v="1"/>
    <x v="2"/>
  </r>
  <r>
    <n v="70"/>
    <n v="1"/>
    <x v="6"/>
  </r>
  <r>
    <n v="70"/>
    <n v="1"/>
    <x v="5"/>
  </r>
  <r>
    <n v="70"/>
    <n v="1"/>
    <x v="7"/>
  </r>
  <r>
    <n v="70"/>
    <n v="1"/>
    <x v="4"/>
  </r>
  <r>
    <n v="70"/>
    <n v="1"/>
    <x v="10"/>
  </r>
  <r>
    <n v="70"/>
    <n v="1"/>
    <x v="1"/>
  </r>
  <r>
    <n v="70"/>
    <n v="1"/>
    <x v="9"/>
  </r>
  <r>
    <n v="70"/>
    <n v="0"/>
    <x v="6"/>
  </r>
  <r>
    <n v="70"/>
    <n v="0"/>
    <x v="8"/>
  </r>
  <r>
    <n v="70"/>
    <n v="1"/>
    <x v="10"/>
  </r>
  <r>
    <n v="70"/>
    <n v="1"/>
    <x v="2"/>
  </r>
  <r>
    <n v="70"/>
    <n v="1"/>
    <x v="7"/>
  </r>
  <r>
    <n v="70"/>
    <n v="1"/>
    <x v="3"/>
  </r>
  <r>
    <n v="70"/>
    <n v="0"/>
    <x v="3"/>
  </r>
  <r>
    <n v="70"/>
    <n v="0"/>
    <x v="0"/>
  </r>
  <r>
    <n v="70"/>
    <n v="0"/>
    <x v="11"/>
  </r>
  <r>
    <n v="70"/>
    <n v="1"/>
    <x v="7"/>
  </r>
  <r>
    <n v="70"/>
    <n v="1"/>
    <x v="11"/>
  </r>
  <r>
    <n v="70"/>
    <n v="0"/>
    <x v="4"/>
  </r>
  <r>
    <n v="70"/>
    <n v="1"/>
    <x v="1"/>
  </r>
  <r>
    <n v="70"/>
    <n v="1"/>
    <x v="1"/>
  </r>
  <r>
    <n v="70"/>
    <n v="1"/>
    <x v="4"/>
  </r>
  <r>
    <n v="70"/>
    <n v="0"/>
    <x v="0"/>
  </r>
  <r>
    <n v="70"/>
    <n v="1"/>
    <x v="2"/>
  </r>
  <r>
    <n v="70"/>
    <n v="0"/>
    <x v="0"/>
  </r>
  <r>
    <n v="70"/>
    <n v="1"/>
    <x v="10"/>
  </r>
  <r>
    <n v="70"/>
    <n v="1"/>
    <x v="6"/>
  </r>
  <r>
    <n v="70"/>
    <n v="1"/>
    <x v="6"/>
  </r>
  <r>
    <n v="70"/>
    <n v="1"/>
    <x v="4"/>
  </r>
  <r>
    <n v="70"/>
    <n v="1"/>
    <x v="9"/>
  </r>
  <r>
    <n v="70"/>
    <n v="0"/>
    <x v="7"/>
  </r>
  <r>
    <n v="70"/>
    <n v="1"/>
    <x v="9"/>
  </r>
  <r>
    <n v="70"/>
    <n v="1"/>
    <x v="9"/>
  </r>
  <r>
    <n v="70"/>
    <n v="0"/>
    <x v="9"/>
  </r>
  <r>
    <n v="70"/>
    <n v="0"/>
    <x v="3"/>
  </r>
  <r>
    <n v="70"/>
    <n v="1"/>
    <x v="2"/>
  </r>
  <r>
    <n v="70"/>
    <n v="0"/>
    <x v="9"/>
  </r>
  <r>
    <n v="70"/>
    <n v="0"/>
    <x v="9"/>
  </r>
  <r>
    <n v="70"/>
    <n v="1"/>
    <x v="2"/>
  </r>
  <r>
    <n v="70"/>
    <n v="1"/>
    <x v="6"/>
  </r>
  <r>
    <n v="70"/>
    <n v="1"/>
    <x v="2"/>
  </r>
  <r>
    <n v="70"/>
    <n v="1"/>
    <x v="10"/>
  </r>
  <r>
    <n v="70"/>
    <n v="0"/>
    <x v="3"/>
  </r>
  <r>
    <n v="70"/>
    <n v="0"/>
    <x v="9"/>
  </r>
  <r>
    <n v="70"/>
    <n v="0"/>
    <x v="9"/>
  </r>
  <r>
    <n v="70"/>
    <n v="1"/>
    <x v="1"/>
  </r>
  <r>
    <n v="70"/>
    <n v="0"/>
    <x v="9"/>
  </r>
  <r>
    <n v="70"/>
    <n v="1"/>
    <x v="0"/>
  </r>
  <r>
    <n v="70"/>
    <n v="0"/>
    <x v="0"/>
  </r>
  <r>
    <n v="70"/>
    <n v="1"/>
    <x v="11"/>
  </r>
  <r>
    <n v="70"/>
    <n v="0"/>
    <x v="5"/>
  </r>
  <r>
    <n v="70"/>
    <n v="1"/>
    <x v="4"/>
  </r>
  <r>
    <n v="70"/>
    <n v="1"/>
    <x v="1"/>
  </r>
  <r>
    <n v="70"/>
    <n v="0"/>
    <x v="6"/>
  </r>
  <r>
    <n v="70"/>
    <n v="0"/>
    <x v="0"/>
  </r>
  <r>
    <n v="70"/>
    <n v="0"/>
    <x v="10"/>
  </r>
  <r>
    <n v="70"/>
    <n v="1"/>
    <x v="2"/>
  </r>
  <r>
    <n v="70"/>
    <n v="0"/>
    <x v="9"/>
  </r>
  <r>
    <n v="70"/>
    <n v="1"/>
    <x v="8"/>
  </r>
  <r>
    <n v="70"/>
    <n v="1"/>
    <x v="10"/>
  </r>
  <r>
    <n v="70"/>
    <n v="0"/>
    <x v="9"/>
  </r>
  <r>
    <n v="70"/>
    <n v="0"/>
    <x v="6"/>
  </r>
  <r>
    <n v="70"/>
    <n v="0"/>
    <x v="11"/>
  </r>
  <r>
    <n v="70"/>
    <n v="1"/>
    <x v="9"/>
  </r>
  <r>
    <n v="70"/>
    <n v="0"/>
    <x v="1"/>
  </r>
  <r>
    <n v="70"/>
    <n v="1"/>
    <x v="10"/>
  </r>
  <r>
    <n v="70"/>
    <n v="0"/>
    <x v="7"/>
  </r>
  <r>
    <n v="70"/>
    <n v="0"/>
    <x v="4"/>
  </r>
  <r>
    <n v="70"/>
    <n v="1"/>
    <x v="7"/>
  </r>
  <r>
    <n v="70"/>
    <n v="0"/>
    <x v="0"/>
  </r>
  <r>
    <n v="70"/>
    <n v="0"/>
    <x v="8"/>
  </r>
  <r>
    <n v="70"/>
    <n v="0"/>
    <x v="6"/>
  </r>
  <r>
    <n v="70"/>
    <n v="0"/>
    <x v="3"/>
  </r>
  <r>
    <n v="70"/>
    <n v="1"/>
    <x v="8"/>
  </r>
  <r>
    <n v="70"/>
    <n v="0"/>
    <x v="9"/>
  </r>
  <r>
    <n v="70"/>
    <n v="0"/>
    <x v="0"/>
  </r>
  <r>
    <n v="70"/>
    <n v="1"/>
    <x v="1"/>
  </r>
  <r>
    <n v="70"/>
    <n v="0"/>
    <x v="6"/>
  </r>
  <r>
    <n v="70"/>
    <n v="1"/>
    <x v="6"/>
  </r>
  <r>
    <n v="70"/>
    <n v="1"/>
    <x v="7"/>
  </r>
  <r>
    <n v="70"/>
    <n v="1"/>
    <x v="2"/>
  </r>
  <r>
    <n v="70"/>
    <n v="1"/>
    <x v="7"/>
  </r>
  <r>
    <n v="70"/>
    <n v="1"/>
    <x v="10"/>
  </r>
  <r>
    <n v="70"/>
    <n v="0"/>
    <x v="7"/>
  </r>
  <r>
    <n v="70"/>
    <n v="1"/>
    <x v="1"/>
  </r>
  <r>
    <n v="70"/>
    <n v="1"/>
    <x v="6"/>
  </r>
  <r>
    <n v="70"/>
    <n v="1"/>
    <x v="2"/>
  </r>
  <r>
    <n v="70"/>
    <n v="0"/>
    <x v="8"/>
  </r>
  <r>
    <n v="70"/>
    <n v="0"/>
    <x v="6"/>
  </r>
  <r>
    <n v="70"/>
    <n v="0"/>
    <x v="6"/>
  </r>
  <r>
    <n v="70"/>
    <n v="0"/>
    <x v="9"/>
  </r>
  <r>
    <n v="70"/>
    <n v="1"/>
    <x v="10"/>
  </r>
  <r>
    <n v="70"/>
    <n v="0"/>
    <x v="7"/>
  </r>
  <r>
    <n v="70"/>
    <n v="0"/>
    <x v="10"/>
  </r>
  <r>
    <n v="70"/>
    <n v="1"/>
    <x v="9"/>
  </r>
  <r>
    <n v="70"/>
    <n v="0"/>
    <x v="7"/>
  </r>
  <r>
    <n v="70"/>
    <n v="1"/>
    <x v="1"/>
  </r>
  <r>
    <n v="70"/>
    <n v="1"/>
    <x v="8"/>
  </r>
  <r>
    <n v="70"/>
    <n v="1"/>
    <x v="1"/>
  </r>
  <r>
    <n v="70"/>
    <n v="0"/>
    <x v="4"/>
  </r>
  <r>
    <n v="70"/>
    <n v="0"/>
    <x v="6"/>
  </r>
  <r>
    <n v="70"/>
    <n v="0"/>
    <x v="10"/>
  </r>
  <r>
    <n v="70"/>
    <n v="0"/>
    <x v="11"/>
  </r>
  <r>
    <n v="70"/>
    <n v="0"/>
    <x v="6"/>
  </r>
  <r>
    <n v="69"/>
    <n v="1"/>
    <x v="11"/>
  </r>
  <r>
    <n v="69"/>
    <n v="0"/>
    <x v="11"/>
  </r>
  <r>
    <n v="69"/>
    <n v="1"/>
    <x v="1"/>
  </r>
  <r>
    <n v="69"/>
    <n v="0"/>
    <x v="8"/>
  </r>
  <r>
    <n v="69"/>
    <n v="1"/>
    <x v="2"/>
  </r>
  <r>
    <n v="69"/>
    <n v="1"/>
    <x v="1"/>
  </r>
  <r>
    <n v="69"/>
    <n v="1"/>
    <x v="1"/>
  </r>
  <r>
    <n v="69"/>
    <n v="1"/>
    <x v="9"/>
  </r>
  <r>
    <n v="69"/>
    <n v="1"/>
    <x v="4"/>
  </r>
  <r>
    <n v="69"/>
    <n v="1"/>
    <x v="10"/>
  </r>
  <r>
    <n v="69"/>
    <n v="1"/>
    <x v="4"/>
  </r>
  <r>
    <n v="69"/>
    <n v="1"/>
    <x v="9"/>
  </r>
  <r>
    <n v="69"/>
    <n v="1"/>
    <x v="5"/>
  </r>
  <r>
    <n v="69"/>
    <n v="1"/>
    <x v="2"/>
  </r>
  <r>
    <n v="69"/>
    <n v="1"/>
    <x v="4"/>
  </r>
  <r>
    <n v="69"/>
    <n v="0"/>
    <x v="3"/>
  </r>
  <r>
    <n v="69"/>
    <n v="1"/>
    <x v="4"/>
  </r>
  <r>
    <n v="69"/>
    <n v="1"/>
    <x v="10"/>
  </r>
  <r>
    <n v="69"/>
    <n v="0"/>
    <x v="10"/>
  </r>
  <r>
    <n v="69"/>
    <n v="1"/>
    <x v="4"/>
  </r>
  <r>
    <n v="69"/>
    <n v="1"/>
    <x v="7"/>
  </r>
  <r>
    <n v="69"/>
    <n v="1"/>
    <x v="9"/>
  </r>
  <r>
    <n v="69"/>
    <n v="1"/>
    <x v="0"/>
  </r>
  <r>
    <n v="69"/>
    <n v="1"/>
    <x v="4"/>
  </r>
  <r>
    <n v="69"/>
    <n v="1"/>
    <x v="1"/>
  </r>
  <r>
    <n v="69"/>
    <n v="1"/>
    <x v="9"/>
  </r>
  <r>
    <n v="69"/>
    <n v="0"/>
    <x v="3"/>
  </r>
  <r>
    <n v="69"/>
    <n v="1"/>
    <x v="4"/>
  </r>
  <r>
    <n v="69"/>
    <n v="0"/>
    <x v="3"/>
  </r>
  <r>
    <n v="69"/>
    <n v="1"/>
    <x v="1"/>
  </r>
  <r>
    <n v="69"/>
    <n v="1"/>
    <x v="1"/>
  </r>
  <r>
    <n v="69"/>
    <n v="1"/>
    <x v="2"/>
  </r>
  <r>
    <n v="69"/>
    <n v="1"/>
    <x v="7"/>
  </r>
  <r>
    <n v="69"/>
    <n v="1"/>
    <x v="8"/>
  </r>
  <r>
    <n v="69"/>
    <n v="0"/>
    <x v="2"/>
  </r>
  <r>
    <n v="69"/>
    <n v="1"/>
    <x v="4"/>
  </r>
  <r>
    <n v="69"/>
    <n v="1"/>
    <x v="4"/>
  </r>
  <r>
    <n v="69"/>
    <n v="0"/>
    <x v="9"/>
  </r>
  <r>
    <n v="69"/>
    <n v="0"/>
    <x v="0"/>
  </r>
  <r>
    <n v="69"/>
    <n v="1"/>
    <x v="5"/>
  </r>
  <r>
    <n v="69"/>
    <n v="1"/>
    <x v="4"/>
  </r>
  <r>
    <n v="69"/>
    <n v="1"/>
    <x v="11"/>
  </r>
  <r>
    <n v="69"/>
    <n v="1"/>
    <x v="1"/>
  </r>
  <r>
    <n v="69"/>
    <n v="1"/>
    <x v="6"/>
  </r>
  <r>
    <n v="69"/>
    <n v="1"/>
    <x v="6"/>
  </r>
  <r>
    <n v="69"/>
    <n v="0"/>
    <x v="2"/>
  </r>
  <r>
    <n v="69"/>
    <n v="0"/>
    <x v="3"/>
  </r>
  <r>
    <n v="69"/>
    <n v="1"/>
    <x v="11"/>
  </r>
  <r>
    <n v="69"/>
    <n v="1"/>
    <x v="11"/>
  </r>
  <r>
    <n v="69"/>
    <n v="1"/>
    <x v="8"/>
  </r>
  <r>
    <n v="69"/>
    <n v="1"/>
    <x v="7"/>
  </r>
  <r>
    <n v="69"/>
    <n v="1"/>
    <x v="10"/>
  </r>
  <r>
    <n v="69"/>
    <n v="1"/>
    <x v="9"/>
  </r>
  <r>
    <n v="69"/>
    <n v="1"/>
    <x v="10"/>
  </r>
  <r>
    <n v="69"/>
    <n v="1"/>
    <x v="10"/>
  </r>
  <r>
    <n v="69"/>
    <n v="1"/>
    <x v="0"/>
  </r>
  <r>
    <n v="69"/>
    <n v="0"/>
    <x v="9"/>
  </r>
  <r>
    <n v="69"/>
    <n v="0"/>
    <x v="8"/>
  </r>
  <r>
    <n v="69"/>
    <n v="1"/>
    <x v="10"/>
  </r>
  <r>
    <n v="69"/>
    <n v="1"/>
    <x v="7"/>
  </r>
  <r>
    <n v="69"/>
    <n v="1"/>
    <x v="1"/>
  </r>
  <r>
    <n v="69"/>
    <n v="1"/>
    <x v="10"/>
  </r>
  <r>
    <n v="69"/>
    <n v="0"/>
    <x v="0"/>
  </r>
  <r>
    <n v="69"/>
    <n v="1"/>
    <x v="8"/>
  </r>
  <r>
    <n v="69"/>
    <n v="0"/>
    <x v="6"/>
  </r>
  <r>
    <n v="69"/>
    <n v="1"/>
    <x v="8"/>
  </r>
  <r>
    <n v="69"/>
    <n v="0"/>
    <x v="6"/>
  </r>
  <r>
    <n v="69"/>
    <n v="0"/>
    <x v="8"/>
  </r>
  <r>
    <n v="69"/>
    <n v="1"/>
    <x v="10"/>
  </r>
  <r>
    <n v="69"/>
    <n v="1"/>
    <x v="4"/>
  </r>
  <r>
    <n v="69"/>
    <n v="1"/>
    <x v="3"/>
  </r>
  <r>
    <n v="69"/>
    <n v="1"/>
    <x v="0"/>
  </r>
  <r>
    <n v="69"/>
    <n v="0"/>
    <x v="3"/>
  </r>
  <r>
    <n v="69"/>
    <n v="0"/>
    <x v="9"/>
  </r>
  <r>
    <n v="69"/>
    <n v="1"/>
    <x v="3"/>
  </r>
  <r>
    <n v="69"/>
    <n v="1"/>
    <x v="8"/>
  </r>
  <r>
    <n v="69"/>
    <n v="0"/>
    <x v="9"/>
  </r>
  <r>
    <n v="69"/>
    <n v="1"/>
    <x v="8"/>
  </r>
  <r>
    <n v="69"/>
    <n v="0"/>
    <x v="11"/>
  </r>
  <r>
    <n v="69"/>
    <n v="0"/>
    <x v="4"/>
  </r>
  <r>
    <n v="69"/>
    <n v="0"/>
    <x v="4"/>
  </r>
  <r>
    <n v="69"/>
    <n v="1"/>
    <x v="9"/>
  </r>
  <r>
    <n v="69"/>
    <n v="1"/>
    <x v="3"/>
  </r>
  <r>
    <n v="69"/>
    <n v="0"/>
    <x v="5"/>
  </r>
  <r>
    <n v="69"/>
    <n v="0"/>
    <x v="11"/>
  </r>
  <r>
    <n v="69"/>
    <n v="1"/>
    <x v="1"/>
  </r>
  <r>
    <n v="69"/>
    <n v="1"/>
    <x v="10"/>
  </r>
  <r>
    <n v="69"/>
    <n v="0"/>
    <x v="1"/>
  </r>
  <r>
    <n v="69"/>
    <n v="1"/>
    <x v="9"/>
  </r>
  <r>
    <n v="69"/>
    <n v="1"/>
    <x v="9"/>
  </r>
  <r>
    <n v="69"/>
    <n v="1"/>
    <x v="11"/>
  </r>
  <r>
    <n v="69"/>
    <n v="1"/>
    <x v="5"/>
  </r>
  <r>
    <n v="69"/>
    <n v="0"/>
    <x v="9"/>
  </r>
  <r>
    <n v="69"/>
    <n v="1"/>
    <x v="4"/>
  </r>
  <r>
    <n v="69"/>
    <n v="1"/>
    <x v="4"/>
  </r>
  <r>
    <n v="69"/>
    <n v="0"/>
    <x v="10"/>
  </r>
  <r>
    <n v="69"/>
    <n v="1"/>
    <x v="4"/>
  </r>
  <r>
    <n v="69"/>
    <n v="1"/>
    <x v="4"/>
  </r>
  <r>
    <n v="69"/>
    <n v="1"/>
    <x v="7"/>
  </r>
  <r>
    <n v="69"/>
    <n v="1"/>
    <x v="6"/>
  </r>
  <r>
    <n v="69"/>
    <n v="1"/>
    <x v="3"/>
  </r>
  <r>
    <n v="69"/>
    <n v="1"/>
    <x v="2"/>
  </r>
  <r>
    <n v="69"/>
    <n v="0"/>
    <x v="0"/>
  </r>
  <r>
    <n v="69"/>
    <n v="1"/>
    <x v="0"/>
  </r>
  <r>
    <n v="68"/>
    <n v="0"/>
    <x v="4"/>
  </r>
  <r>
    <n v="68"/>
    <n v="1"/>
    <x v="7"/>
  </r>
  <r>
    <n v="68"/>
    <n v="0"/>
    <x v="11"/>
  </r>
  <r>
    <n v="68"/>
    <n v="0"/>
    <x v="4"/>
  </r>
  <r>
    <n v="68"/>
    <n v="0"/>
    <x v="6"/>
  </r>
  <r>
    <n v="68"/>
    <n v="0"/>
    <x v="6"/>
  </r>
  <r>
    <n v="68"/>
    <n v="1"/>
    <x v="2"/>
  </r>
  <r>
    <n v="68"/>
    <n v="1"/>
    <x v="4"/>
  </r>
  <r>
    <n v="68"/>
    <n v="0"/>
    <x v="4"/>
  </r>
  <r>
    <n v="68"/>
    <n v="0"/>
    <x v="10"/>
  </r>
  <r>
    <n v="68"/>
    <n v="1"/>
    <x v="0"/>
  </r>
  <r>
    <n v="68"/>
    <n v="0"/>
    <x v="10"/>
  </r>
  <r>
    <n v="68"/>
    <n v="0"/>
    <x v="6"/>
  </r>
  <r>
    <n v="68"/>
    <n v="1"/>
    <x v="4"/>
  </r>
  <r>
    <n v="68"/>
    <n v="0"/>
    <x v="11"/>
  </r>
  <r>
    <n v="68"/>
    <n v="1"/>
    <x v="1"/>
  </r>
  <r>
    <n v="68"/>
    <n v="0"/>
    <x v="7"/>
  </r>
  <r>
    <n v="68"/>
    <n v="1"/>
    <x v="10"/>
  </r>
  <r>
    <n v="68"/>
    <n v="1"/>
    <x v="10"/>
  </r>
  <r>
    <n v="68"/>
    <n v="0"/>
    <x v="9"/>
  </r>
  <r>
    <n v="68"/>
    <n v="1"/>
    <x v="4"/>
  </r>
  <r>
    <n v="68"/>
    <n v="0"/>
    <x v="10"/>
  </r>
  <r>
    <n v="68"/>
    <n v="1"/>
    <x v="9"/>
  </r>
  <r>
    <n v="68"/>
    <n v="1"/>
    <x v="5"/>
  </r>
  <r>
    <n v="68"/>
    <n v="1"/>
    <x v="7"/>
  </r>
  <r>
    <n v="68"/>
    <n v="0"/>
    <x v="3"/>
  </r>
  <r>
    <n v="68"/>
    <n v="1"/>
    <x v="4"/>
  </r>
  <r>
    <n v="68"/>
    <n v="1"/>
    <x v="2"/>
  </r>
  <r>
    <n v="68"/>
    <n v="1"/>
    <x v="3"/>
  </r>
  <r>
    <n v="68"/>
    <n v="0"/>
    <x v="3"/>
  </r>
  <r>
    <n v="68"/>
    <n v="1"/>
    <x v="3"/>
  </r>
  <r>
    <n v="68"/>
    <n v="1"/>
    <x v="4"/>
  </r>
  <r>
    <n v="68"/>
    <n v="1"/>
    <x v="2"/>
  </r>
  <r>
    <n v="68"/>
    <n v="0"/>
    <x v="7"/>
  </r>
  <r>
    <n v="68"/>
    <n v="0"/>
    <x v="8"/>
  </r>
  <r>
    <n v="68"/>
    <n v="0"/>
    <x v="3"/>
  </r>
  <r>
    <n v="68"/>
    <n v="1"/>
    <x v="0"/>
  </r>
  <r>
    <n v="68"/>
    <n v="0"/>
    <x v="3"/>
  </r>
  <r>
    <n v="68"/>
    <n v="1"/>
    <x v="1"/>
  </r>
  <r>
    <n v="68"/>
    <n v="1"/>
    <x v="11"/>
  </r>
  <r>
    <n v="68"/>
    <n v="1"/>
    <x v="10"/>
  </r>
  <r>
    <n v="68"/>
    <n v="1"/>
    <x v="0"/>
  </r>
  <r>
    <n v="68"/>
    <n v="0"/>
    <x v="9"/>
  </r>
  <r>
    <n v="68"/>
    <n v="0"/>
    <x v="0"/>
  </r>
  <r>
    <n v="68"/>
    <n v="1"/>
    <x v="7"/>
  </r>
  <r>
    <n v="68"/>
    <n v="0"/>
    <x v="3"/>
  </r>
  <r>
    <n v="68"/>
    <n v="1"/>
    <x v="10"/>
  </r>
  <r>
    <n v="68"/>
    <n v="0"/>
    <x v="10"/>
  </r>
  <r>
    <n v="68"/>
    <n v="0"/>
    <x v="11"/>
  </r>
  <r>
    <n v="68"/>
    <n v="1"/>
    <x v="3"/>
  </r>
  <r>
    <n v="68"/>
    <n v="0"/>
    <x v="10"/>
  </r>
  <r>
    <n v="68"/>
    <n v="1"/>
    <x v="3"/>
  </r>
  <r>
    <n v="68"/>
    <n v="0"/>
    <x v="9"/>
  </r>
  <r>
    <n v="68"/>
    <n v="0"/>
    <x v="3"/>
  </r>
  <r>
    <n v="68"/>
    <n v="1"/>
    <x v="2"/>
  </r>
  <r>
    <n v="68"/>
    <n v="1"/>
    <x v="2"/>
  </r>
  <r>
    <n v="68"/>
    <n v="1"/>
    <x v="2"/>
  </r>
  <r>
    <n v="68"/>
    <n v="1"/>
    <x v="8"/>
  </r>
  <r>
    <n v="68"/>
    <n v="1"/>
    <x v="7"/>
  </r>
  <r>
    <n v="68"/>
    <n v="1"/>
    <x v="2"/>
  </r>
  <r>
    <n v="68"/>
    <n v="0"/>
    <x v="7"/>
  </r>
  <r>
    <n v="68"/>
    <n v="1"/>
    <x v="9"/>
  </r>
  <r>
    <n v="68"/>
    <n v="1"/>
    <x v="8"/>
  </r>
  <r>
    <n v="68"/>
    <n v="1"/>
    <x v="10"/>
  </r>
  <r>
    <n v="68"/>
    <n v="0"/>
    <x v="10"/>
  </r>
  <r>
    <n v="68"/>
    <n v="0"/>
    <x v="0"/>
  </r>
  <r>
    <n v="68"/>
    <n v="1"/>
    <x v="3"/>
  </r>
  <r>
    <n v="68"/>
    <n v="0"/>
    <x v="0"/>
  </r>
  <r>
    <n v="68"/>
    <n v="1"/>
    <x v="4"/>
  </r>
  <r>
    <n v="68"/>
    <n v="1"/>
    <x v="4"/>
  </r>
  <r>
    <n v="68"/>
    <n v="1"/>
    <x v="3"/>
  </r>
  <r>
    <n v="68"/>
    <n v="1"/>
    <x v="3"/>
  </r>
  <r>
    <n v="68"/>
    <n v="0"/>
    <x v="10"/>
  </r>
  <r>
    <n v="68"/>
    <n v="0"/>
    <x v="6"/>
  </r>
  <r>
    <n v="68"/>
    <n v="0"/>
    <x v="9"/>
  </r>
  <r>
    <n v="68"/>
    <n v="0"/>
    <x v="7"/>
  </r>
  <r>
    <n v="68"/>
    <n v="1"/>
    <x v="8"/>
  </r>
  <r>
    <n v="68"/>
    <n v="1"/>
    <x v="1"/>
  </r>
  <r>
    <n v="68"/>
    <n v="0"/>
    <x v="9"/>
  </r>
  <r>
    <n v="68"/>
    <n v="1"/>
    <x v="2"/>
  </r>
  <r>
    <n v="68"/>
    <n v="1"/>
    <x v="1"/>
  </r>
  <r>
    <n v="68"/>
    <n v="0"/>
    <x v="4"/>
  </r>
  <r>
    <n v="68"/>
    <n v="0"/>
    <x v="4"/>
  </r>
  <r>
    <n v="68"/>
    <n v="0"/>
    <x v="3"/>
  </r>
  <r>
    <n v="68"/>
    <n v="1"/>
    <x v="10"/>
  </r>
  <r>
    <n v="68"/>
    <n v="0"/>
    <x v="1"/>
  </r>
  <r>
    <n v="68"/>
    <n v="1"/>
    <x v="0"/>
  </r>
  <r>
    <n v="68"/>
    <n v="1"/>
    <x v="3"/>
  </r>
  <r>
    <n v="68"/>
    <n v="0"/>
    <x v="10"/>
  </r>
  <r>
    <n v="68"/>
    <n v="1"/>
    <x v="2"/>
  </r>
  <r>
    <n v="68"/>
    <n v="1"/>
    <x v="0"/>
  </r>
  <r>
    <n v="68"/>
    <n v="0"/>
    <x v="0"/>
  </r>
  <r>
    <n v="68"/>
    <n v="1"/>
    <x v="3"/>
  </r>
  <r>
    <n v="68"/>
    <n v="1"/>
    <x v="4"/>
  </r>
  <r>
    <n v="68"/>
    <n v="0"/>
    <x v="1"/>
  </r>
  <r>
    <n v="68"/>
    <n v="1"/>
    <x v="6"/>
  </r>
  <r>
    <n v="68"/>
    <n v="1"/>
    <x v="4"/>
  </r>
  <r>
    <n v="68"/>
    <n v="1"/>
    <x v="2"/>
  </r>
  <r>
    <n v="68"/>
    <n v="1"/>
    <x v="6"/>
  </r>
  <r>
    <n v="68"/>
    <n v="1"/>
    <x v="1"/>
  </r>
  <r>
    <n v="68"/>
    <n v="0"/>
    <x v="2"/>
  </r>
  <r>
    <n v="68"/>
    <n v="1"/>
    <x v="7"/>
  </r>
  <r>
    <n v="68"/>
    <n v="1"/>
    <x v="9"/>
  </r>
  <r>
    <n v="68"/>
    <n v="0"/>
    <x v="6"/>
  </r>
  <r>
    <n v="68"/>
    <n v="0"/>
    <x v="8"/>
  </r>
  <r>
    <n v="68"/>
    <n v="0"/>
    <x v="10"/>
  </r>
  <r>
    <n v="68"/>
    <n v="0"/>
    <x v="4"/>
  </r>
  <r>
    <n v="68"/>
    <n v="1"/>
    <x v="10"/>
  </r>
  <r>
    <n v="68"/>
    <n v="1"/>
    <x v="8"/>
  </r>
  <r>
    <n v="68"/>
    <n v="1"/>
    <x v="2"/>
  </r>
  <r>
    <n v="68"/>
    <n v="0"/>
    <x v="11"/>
  </r>
  <r>
    <n v="68"/>
    <n v="1"/>
    <x v="9"/>
  </r>
  <r>
    <n v="68"/>
    <n v="1"/>
    <x v="2"/>
  </r>
  <r>
    <n v="68"/>
    <n v="1"/>
    <x v="9"/>
  </r>
  <r>
    <n v="68"/>
    <n v="0"/>
    <x v="2"/>
  </r>
  <r>
    <n v="68"/>
    <n v="0"/>
    <x v="9"/>
  </r>
  <r>
    <n v="68"/>
    <n v="0"/>
    <x v="4"/>
  </r>
  <r>
    <n v="68"/>
    <n v="1"/>
    <x v="1"/>
  </r>
  <r>
    <n v="68"/>
    <n v="1"/>
    <x v="4"/>
  </r>
  <r>
    <n v="68"/>
    <n v="0"/>
    <x v="1"/>
  </r>
  <r>
    <n v="68"/>
    <n v="0"/>
    <x v="6"/>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81">
  <r>
    <n v="0.59199999999999997"/>
    <n v="157969"/>
    <n v="0.52100000000000002"/>
    <n v="0.53500000000000003"/>
    <n v="100"/>
    <x v="0"/>
    <n v="6"/>
    <n v="251668"/>
    <n v="0.308"/>
  </r>
  <r>
    <n v="0.59199999999999997"/>
    <n v="157969"/>
    <n v="0.52100000000000002"/>
    <n v="0.53500000000000003"/>
    <n v="100"/>
    <x v="0"/>
    <n v="6"/>
    <n v="251668"/>
    <n v="0.308"/>
  </r>
  <r>
    <n v="0.59199999999999997"/>
    <n v="157969"/>
    <n v="0.52100000000000002"/>
    <n v="0.53500000000000003"/>
    <n v="100"/>
    <x v="0"/>
    <n v="6"/>
    <n v="251668"/>
    <n v="0.308"/>
  </r>
  <r>
    <n v="0.78300000000000003"/>
    <n v="149027"/>
    <n v="0.77700000000000002"/>
    <n v="0.93899999999999995"/>
    <n v="98"/>
    <x v="0"/>
    <n v="0"/>
    <n v="169917"/>
    <n v="2.8299999999999999E-2"/>
  </r>
  <r>
    <n v="0.78300000000000003"/>
    <n v="149027"/>
    <n v="0.77700000000000002"/>
    <n v="0.93899999999999995"/>
    <n v="98"/>
    <x v="0"/>
    <n v="0"/>
    <n v="169917"/>
    <n v="2.8299999999999999E-2"/>
  </r>
  <r>
    <n v="0.50700000000000001"/>
    <n v="104978"/>
    <n v="0.747"/>
    <n v="0.438"/>
    <n v="97"/>
    <x v="1"/>
    <n v="2"/>
    <n v="210373"/>
    <n v="0.2"/>
  </r>
  <r>
    <n v="0.50700000000000001"/>
    <n v="104978"/>
    <n v="0.747"/>
    <n v="0.438"/>
    <n v="97"/>
    <x v="1"/>
    <n v="2"/>
    <n v="210373"/>
    <n v="0.2"/>
  </r>
  <r>
    <n v="0.50700000000000001"/>
    <n v="104978"/>
    <n v="0.747"/>
    <n v="0.438"/>
    <n v="97"/>
    <x v="1"/>
    <n v="2"/>
    <n v="210373"/>
    <n v="0.2"/>
  </r>
  <r>
    <n v="0.58199999999999996"/>
    <n v="116712"/>
    <n v="0.7"/>
    <n v="0.78500000000000003"/>
    <n v="94"/>
    <x v="0"/>
    <n v="11"/>
    <n v="218424"/>
    <n v="5.0200000000000002E-2"/>
  </r>
  <r>
    <n v="0.58199999999999996"/>
    <n v="116712"/>
    <n v="0.7"/>
    <n v="0.78500000000000003"/>
    <n v="94"/>
    <x v="0"/>
    <n v="11"/>
    <n v="218424"/>
    <n v="5.0200000000000002E-2"/>
  </r>
  <r>
    <n v="0.58199999999999996"/>
    <n v="116712"/>
    <n v="0.7"/>
    <n v="0.78500000000000003"/>
    <n v="94"/>
    <x v="0"/>
    <n v="11"/>
    <n v="218424"/>
    <n v="5.0200000000000002E-2"/>
  </r>
  <r>
    <n v="0.80800000000000005"/>
    <n v="108548"/>
    <n v="0.55400000000000005"/>
    <n v="0.372"/>
    <n v="93"/>
    <x v="1"/>
    <n v="1"/>
    <n v="166300"/>
    <n v="0.214"/>
  </r>
  <r>
    <n v="0.247"/>
    <n v="148101"/>
    <n v="0.46700000000000003"/>
    <n v="0.126"/>
    <n v="93"/>
    <x v="0"/>
    <n v="6"/>
    <n v="261467"/>
    <n v="0.61199999999999999"/>
  </r>
  <r>
    <n v="0.65100000000000002"/>
    <n v="112648"/>
    <n v="0.69399999999999995"/>
    <n v="0.47099999999999997"/>
    <n v="93"/>
    <x v="1"/>
    <n v="6"/>
    <n v="225881"/>
    <n v="0.496"/>
  </r>
  <r>
    <n v="0.66800000000000004"/>
    <n v="128027"/>
    <n v="0.92400000000000004"/>
    <n v="0.78700000000000003"/>
    <n v="93"/>
    <x v="1"/>
    <n v="11"/>
    <n v="195824"/>
    <n v="0.44600000000000001"/>
  </r>
  <r>
    <n v="0.65100000000000002"/>
    <n v="112648"/>
    <n v="0.69399999999999995"/>
    <n v="0.47099999999999997"/>
    <n v="93"/>
    <x v="1"/>
    <n v="6"/>
    <n v="225881"/>
    <n v="0.496"/>
  </r>
  <r>
    <n v="0.66800000000000004"/>
    <n v="128027"/>
    <n v="0.92400000000000004"/>
    <n v="0.78700000000000003"/>
    <n v="93"/>
    <x v="1"/>
    <n v="11"/>
    <n v="195824"/>
    <n v="0.44600000000000001"/>
  </r>
  <r>
    <n v="0.80800000000000005"/>
    <n v="108548"/>
    <n v="0.55400000000000005"/>
    <n v="0.372"/>
    <n v="93"/>
    <x v="1"/>
    <n v="1"/>
    <n v="166300"/>
    <n v="0.214"/>
  </r>
  <r>
    <n v="0.41299999999999998"/>
    <n v="94938"/>
    <n v="0.49399999999999999"/>
    <n v="0.27300000000000002"/>
    <n v="93"/>
    <x v="1"/>
    <n v="11"/>
    <n v="211979"/>
    <n v="0.68200000000000005"/>
  </r>
  <r>
    <n v="0.90700000000000003"/>
    <n v="112964"/>
    <n v="0.67400000000000004"/>
    <n v="0.72099999999999997"/>
    <n v="93"/>
    <x v="1"/>
    <n v="3"/>
    <n v="157280"/>
    <n v="0.10100000000000001"/>
  </r>
  <r>
    <n v="0.65100000000000002"/>
    <n v="112648"/>
    <n v="0.69399999999999995"/>
    <n v="0.47099999999999997"/>
    <n v="93"/>
    <x v="1"/>
    <n v="6"/>
    <n v="225881"/>
    <n v="0.496"/>
  </r>
  <r>
    <n v="0.247"/>
    <n v="148101"/>
    <n v="0.46700000000000003"/>
    <n v="0.126"/>
    <n v="93"/>
    <x v="0"/>
    <n v="6"/>
    <n v="261467"/>
    <n v="0.61199999999999999"/>
  </r>
  <r>
    <n v="0.66800000000000004"/>
    <n v="128027"/>
    <n v="0.92400000000000004"/>
    <n v="0.78700000000000003"/>
    <n v="93"/>
    <x v="1"/>
    <n v="11"/>
    <n v="195824"/>
    <n v="0.44600000000000001"/>
  </r>
  <r>
    <n v="0.41299999999999998"/>
    <n v="94938"/>
    <n v="0.49399999999999999"/>
    <n v="0.27300000000000002"/>
    <n v="93"/>
    <x v="1"/>
    <n v="11"/>
    <n v="211979"/>
    <n v="0.68200000000000005"/>
  </r>
  <r>
    <n v="0.66800000000000004"/>
    <n v="128027"/>
    <n v="0.92400000000000004"/>
    <n v="0.78700000000000003"/>
    <n v="93"/>
    <x v="1"/>
    <n v="11"/>
    <n v="195824"/>
    <n v="0.44600000000000001"/>
  </r>
  <r>
    <n v="0.72199999999999998"/>
    <n v="119973"/>
    <n v="0.76900000000000002"/>
    <n v="0.56999999999999995"/>
    <n v="92"/>
    <x v="0"/>
    <n v="11"/>
    <n v="256000"/>
    <n v="5.8400000000000001E-2"/>
  </r>
  <r>
    <n v="0.75600000000000001"/>
    <n v="116034"/>
    <n v="0.66"/>
    <n v="0.83799999999999997"/>
    <n v="92"/>
    <x v="0"/>
    <n v="0"/>
    <n v="170888"/>
    <n v="2.8900000000000002E-3"/>
  </r>
  <r>
    <n v="0.72199999999999998"/>
    <n v="119973"/>
    <n v="0.76900000000000002"/>
    <n v="0.56999999999999995"/>
    <n v="92"/>
    <x v="0"/>
    <n v="11"/>
    <n v="256000"/>
    <n v="5.8400000000000001E-2"/>
  </r>
  <r>
    <n v="0.75600000000000001"/>
    <n v="116034"/>
    <n v="0.66"/>
    <n v="0.83799999999999997"/>
    <n v="92"/>
    <x v="0"/>
    <n v="0"/>
    <n v="170888"/>
    <n v="2.8900000000000002E-3"/>
  </r>
  <r>
    <n v="0.72199999999999998"/>
    <n v="119973"/>
    <n v="0.76900000000000002"/>
    <n v="0.56999999999999995"/>
    <n v="92"/>
    <x v="0"/>
    <n v="11"/>
    <n v="256000"/>
    <n v="5.8400000000000001E-2"/>
  </r>
  <r>
    <n v="0.72199999999999998"/>
    <n v="119973"/>
    <n v="0.76900000000000002"/>
    <n v="0.56999999999999995"/>
    <n v="92"/>
    <x v="0"/>
    <n v="11"/>
    <n v="256000"/>
    <n v="5.8400000000000001E-2"/>
  </r>
  <r>
    <n v="0.40600000000000003"/>
    <s v="115.94"/>
    <n v="0.53"/>
    <n v="0.33800000000000002"/>
    <n v="90"/>
    <x v="1"/>
    <n v="10"/>
    <n v="157147"/>
    <n v="0.65600000000000003"/>
  </r>
  <r>
    <n v="0.76"/>
    <n v="103969"/>
    <n v="0.70099999999999996"/>
    <n v="0.69"/>
    <n v="90"/>
    <x v="1"/>
    <n v="0"/>
    <n v="175459"/>
    <n v="0.107"/>
  </r>
  <r>
    <n v="0.76"/>
    <n v="103969"/>
    <n v="0.70099999999999996"/>
    <n v="0.69"/>
    <n v="90"/>
    <x v="1"/>
    <n v="0"/>
    <n v="175459"/>
    <n v="0.107"/>
  </r>
  <r>
    <n v="0.40600000000000003"/>
    <s v="115.94"/>
    <n v="0.53"/>
    <n v="0.33800000000000002"/>
    <n v="90"/>
    <x v="1"/>
    <n v="10"/>
    <n v="157147"/>
    <n v="0.65600000000000003"/>
  </r>
  <r>
    <n v="0.80700000000000005"/>
    <n v="124053"/>
    <n v="0.61199999999999999"/>
    <n v="0.39800000000000002"/>
    <n v="90"/>
    <x v="1"/>
    <n v="10"/>
    <n v="240400"/>
    <n v="4.9500000000000002E-2"/>
  </r>
  <r>
    <n v="0.41699999999999998"/>
    <n v="67528"/>
    <n v="0.46400000000000002"/>
    <n v="0.47899999999999998"/>
    <n v="90"/>
    <x v="0"/>
    <n v="0"/>
    <n v="183956"/>
    <n v="0.13600000000000001"/>
  </r>
  <r>
    <n v="0.55900000000000005"/>
    <n v="78558"/>
    <n v="0.55800000000000005"/>
    <n v="0.62"/>
    <n v="90"/>
    <x v="1"/>
    <n v="6"/>
    <n v="180387"/>
    <n v="0.371"/>
  </r>
  <r>
    <n v="0.72699999999999998"/>
    <s v="94.99"/>
    <n v="0.73899999999999999"/>
    <n v="0.67600000000000005"/>
    <n v="90"/>
    <x v="0"/>
    <n v="11"/>
    <n v="171870"/>
    <n v="6.7799999999999999E-2"/>
  </r>
  <r>
    <n v="0.55900000000000005"/>
    <n v="78558"/>
    <n v="0.55800000000000005"/>
    <n v="0.62"/>
    <n v="90"/>
    <x v="1"/>
    <n v="6"/>
    <n v="180387"/>
    <n v="0.371"/>
  </r>
  <r>
    <n v="0.72499999999999998"/>
    <n v="116988"/>
    <n v="0.89400000000000002"/>
    <n v="0.83799999999999997"/>
    <n v="89"/>
    <x v="0"/>
    <n v="10"/>
    <n v="136627"/>
    <n v="4.3400000000000001E-3"/>
  </r>
  <r>
    <n v="0.60399999999999998"/>
    <s v="159.92"/>
    <n v="0.56100000000000005"/>
    <n v="0.24199999999999999"/>
    <n v="89"/>
    <x v="1"/>
    <n v="9"/>
    <n v="210689"/>
    <n v="0.19900000000000001"/>
  </r>
  <r>
    <n v="0.45400000000000001"/>
    <n v="159982"/>
    <n v="0.68899999999999995"/>
    <n v="0.91200000000000003"/>
    <n v="89"/>
    <x v="1"/>
    <n v="2"/>
    <n v="159246"/>
    <n v="3.5099999999999999E-2"/>
  </r>
  <r>
    <n v="0.68100000000000005"/>
    <n v="155079"/>
    <n v="0.56000000000000005"/>
    <n v="0.38800000000000001"/>
    <n v="89"/>
    <x v="0"/>
    <n v="6"/>
    <n v="223320"/>
    <n v="0.10299999999999999"/>
  </r>
  <r>
    <n v="0.872"/>
    <n v="184115"/>
    <n v="0.46600000000000003"/>
    <n v="0.80600000000000005"/>
    <n v="89"/>
    <x v="1"/>
    <n v="7"/>
    <n v="190428"/>
    <n v="1.5599999999999999E-2"/>
  </r>
  <r>
    <n v="0.68100000000000005"/>
    <n v="155079"/>
    <n v="0.56000000000000005"/>
    <n v="0.38800000000000001"/>
    <n v="89"/>
    <x v="0"/>
    <n v="6"/>
    <n v="223320"/>
    <n v="0.10299999999999999"/>
  </r>
  <r>
    <n v="0.68899999999999995"/>
    <n v="120208"/>
    <n v="0.72399999999999998"/>
    <n v="0.93600000000000005"/>
    <n v="89"/>
    <x v="0"/>
    <n v="7"/>
    <n v="146141"/>
    <n v="0.57299999999999995"/>
  </r>
  <r>
    <n v="0.60399999999999998"/>
    <s v="159.92"/>
    <n v="0.56100000000000005"/>
    <n v="0.24199999999999999"/>
    <n v="89"/>
    <x v="1"/>
    <n v="9"/>
    <n v="210689"/>
    <n v="0.19900000000000001"/>
  </r>
  <r>
    <n v="0.47099999999999997"/>
    <n v="105029"/>
    <n v="0.47199999999999998"/>
    <n v="0.219"/>
    <n v="89"/>
    <x v="1"/>
    <n v="10"/>
    <n v="180304"/>
    <n v="0.151"/>
  </r>
  <r>
    <n v="0.60399999999999998"/>
    <s v="159.92"/>
    <n v="0.56100000000000005"/>
    <n v="0.24199999999999999"/>
    <n v="89"/>
    <x v="1"/>
    <n v="9"/>
    <n v="210689"/>
    <n v="0.19900000000000001"/>
  </r>
  <r>
    <n v="0.66100000000000003"/>
    <n v="173372"/>
    <n v="0.42899999999999999"/>
    <n v="0.28499999999999998"/>
    <n v="89"/>
    <x v="1"/>
    <n v="11"/>
    <n v="266773"/>
    <n v="2.3900000000000002E-3"/>
  </r>
  <r>
    <n v="0.69799999999999995"/>
    <n v="143994"/>
    <n v="0.72599999999999998"/>
    <n v="0.86699999999999999"/>
    <n v="89"/>
    <x v="1"/>
    <n v="5"/>
    <n v="233478"/>
    <n v="4.9000000000000002E-2"/>
  </r>
  <r>
    <n v="0.52"/>
    <n v="120001"/>
    <n v="0.67200000000000004"/>
    <n v="0.37"/>
    <n v="89"/>
    <x v="1"/>
    <n v="8"/>
    <n v="226600"/>
    <n v="0.85899999999999999"/>
  </r>
  <r>
    <n v="0.64"/>
    <n v="84828"/>
    <n v="0.26400000000000001"/>
    <n v="0.19"/>
    <n v="89"/>
    <x v="1"/>
    <n v="8"/>
    <n v="244685"/>
    <n v="3.9300000000000002E-2"/>
  </r>
  <r>
    <n v="0.68899999999999995"/>
    <n v="120208"/>
    <n v="0.72399999999999998"/>
    <n v="0.93600000000000005"/>
    <n v="89"/>
    <x v="0"/>
    <n v="7"/>
    <n v="146141"/>
    <n v="0.57299999999999995"/>
  </r>
  <r>
    <n v="0.52"/>
    <n v="120001"/>
    <n v="0.67200000000000004"/>
    <n v="0.37"/>
    <n v="89"/>
    <x v="1"/>
    <n v="8"/>
    <n v="226600"/>
    <n v="0.85899999999999999"/>
  </r>
  <r>
    <n v="0.66100000000000003"/>
    <n v="173372"/>
    <n v="0.42899999999999999"/>
    <n v="0.28499999999999998"/>
    <n v="89"/>
    <x v="1"/>
    <n v="11"/>
    <n v="266773"/>
    <n v="2.3900000000000002E-3"/>
  </r>
  <r>
    <n v="0.45400000000000001"/>
    <n v="159982"/>
    <n v="0.68899999999999995"/>
    <n v="0.91200000000000003"/>
    <n v="89"/>
    <x v="1"/>
    <n v="2"/>
    <n v="159246"/>
    <n v="3.5099999999999999E-2"/>
  </r>
  <r>
    <n v="0.69799999999999995"/>
    <n v="143994"/>
    <n v="0.72599999999999998"/>
    <n v="0.86699999999999999"/>
    <n v="89"/>
    <x v="1"/>
    <n v="5"/>
    <n v="233478"/>
    <n v="4.9000000000000002E-2"/>
  </r>
  <r>
    <n v="0.872"/>
    <n v="184115"/>
    <n v="0.46600000000000003"/>
    <n v="0.80600000000000005"/>
    <n v="89"/>
    <x v="1"/>
    <n v="7"/>
    <n v="190428"/>
    <n v="1.5599999999999999E-2"/>
  </r>
  <r>
    <n v="0.56100000000000005"/>
    <n v="150069"/>
    <n v="0.66900000000000004"/>
    <n v="0.84099999999999997"/>
    <n v="88"/>
    <x v="1"/>
    <n v="10"/>
    <n v="169698"/>
    <n v="0.495"/>
  </r>
  <r>
    <n v="0.58599999999999997"/>
    <n v="107071"/>
    <n v="0.66900000000000004"/>
    <n v="0.57899999999999996"/>
    <n v="88"/>
    <x v="1"/>
    <n v="9"/>
    <n v="186365"/>
    <n v="0.27400000000000002"/>
  </r>
  <r>
    <n v="0.75700000000000001"/>
    <n v="139982"/>
    <n v="0.74199999999999999"/>
    <n v="0.95699999999999996"/>
    <n v="88"/>
    <x v="1"/>
    <n v="6"/>
    <n v="184841"/>
    <n v="1.8700000000000001E-2"/>
  </r>
  <r>
    <n v="0.81200000000000006"/>
    <s v="80.09"/>
    <n v="0.505"/>
    <n v="0.66400000000000003"/>
    <n v="88"/>
    <x v="1"/>
    <n v="1"/>
    <n v="255916"/>
    <n v="0.28499999999999998"/>
  </r>
  <r>
    <n v="0.60099999999999998"/>
    <n v="123994"/>
    <n v="0.63500000000000001"/>
    <n v="0.33200000000000002"/>
    <n v="88"/>
    <x v="0"/>
    <n v="1"/>
    <n v="172533"/>
    <n v="0.246"/>
  </r>
  <r>
    <n v="0.47199999999999998"/>
    <n v="101061"/>
    <n v="0.89800000000000002"/>
    <n v="0.214"/>
    <n v="88"/>
    <x v="1"/>
    <n v="1"/>
    <n v="274192"/>
    <n v="1.0699999999999999E-2"/>
  </r>
  <r>
    <n v="0.81200000000000006"/>
    <s v="80.09"/>
    <n v="0.505"/>
    <n v="0.66400000000000003"/>
    <n v="88"/>
    <x v="1"/>
    <n v="1"/>
    <n v="255916"/>
    <n v="0.28499999999999998"/>
  </r>
  <r>
    <n v="0.47199999999999998"/>
    <n v="101061"/>
    <n v="0.89800000000000002"/>
    <n v="0.214"/>
    <n v="88"/>
    <x v="1"/>
    <n v="1"/>
    <n v="274192"/>
    <n v="1.0699999999999999E-2"/>
  </r>
  <r>
    <n v="0.47199999999999998"/>
    <n v="101061"/>
    <n v="0.89800000000000002"/>
    <n v="0.214"/>
    <n v="88"/>
    <x v="1"/>
    <n v="1"/>
    <n v="274192"/>
    <n v="1.0699999999999999E-2"/>
  </r>
  <r>
    <n v="0.48199999999999998"/>
    <n v="100029"/>
    <n v="0.69"/>
    <n v="0.35599999999999998"/>
    <n v="88"/>
    <x v="0"/>
    <n v="7"/>
    <n v="149074"/>
    <n v="0.52300000000000002"/>
  </r>
  <r>
    <n v="0.51300000000000001"/>
    <n v="109935"/>
    <n v="0.745"/>
    <n v="0.92900000000000005"/>
    <n v="88"/>
    <x v="1"/>
    <n v="1"/>
    <n v="154620"/>
    <n v="0.78300000000000003"/>
  </r>
  <r>
    <n v="0.88200000000000001"/>
    <n v="148038"/>
    <n v="0.56899999999999995"/>
    <n v="0.20100000000000001"/>
    <n v="88"/>
    <x v="0"/>
    <n v="3"/>
    <n v="191701"/>
    <n v="3.1600000000000003E-2"/>
  </r>
  <r>
    <n v="0.60099999999999998"/>
    <n v="123994"/>
    <n v="0.63500000000000001"/>
    <n v="0.33200000000000002"/>
    <n v="88"/>
    <x v="0"/>
    <n v="1"/>
    <n v="172533"/>
    <n v="0.246"/>
  </r>
  <r>
    <n v="0.75700000000000001"/>
    <n v="139982"/>
    <n v="0.74199999999999999"/>
    <n v="0.95699999999999996"/>
    <n v="88"/>
    <x v="1"/>
    <n v="6"/>
    <n v="184841"/>
    <n v="1.8700000000000001E-2"/>
  </r>
  <r>
    <n v="0.47199999999999998"/>
    <n v="101061"/>
    <n v="0.89800000000000002"/>
    <n v="0.214"/>
    <n v="88"/>
    <x v="1"/>
    <n v="1"/>
    <n v="274192"/>
    <n v="1.0699999999999999E-2"/>
  </r>
  <r>
    <n v="0.58599999999999997"/>
    <n v="107071"/>
    <n v="0.66900000000000004"/>
    <n v="0.57899999999999996"/>
    <n v="88"/>
    <x v="1"/>
    <n v="9"/>
    <n v="186365"/>
    <n v="0.27400000000000002"/>
  </r>
  <r>
    <n v="0.77600000000000002"/>
    <n v="103963"/>
    <n v="0.69899999999999995"/>
    <n v="0.70799999999999996"/>
    <n v="88"/>
    <x v="1"/>
    <n v="0"/>
    <n v="175459"/>
    <n v="0.13100000000000001"/>
  </r>
  <r>
    <n v="0.36899999999999999"/>
    <n v="174097"/>
    <n v="0.44800000000000001"/>
    <n v="9.98E-2"/>
    <n v="88"/>
    <x v="1"/>
    <n v="9"/>
    <n v="208212"/>
    <n v="0.96799999999999997"/>
  </r>
  <r>
    <n v="0.81200000000000006"/>
    <s v="80.09"/>
    <n v="0.505"/>
    <n v="0.66400000000000003"/>
    <n v="88"/>
    <x v="1"/>
    <n v="1"/>
    <n v="255916"/>
    <n v="0.28499999999999998"/>
  </r>
  <r>
    <n v="0.56000000000000005"/>
    <n v="134066"/>
    <n v="0.85299999999999998"/>
    <n v="0.86"/>
    <n v="88"/>
    <x v="1"/>
    <n v="1"/>
    <n v="206693"/>
    <n v="1.2999999999999999E-2"/>
  </r>
  <r>
    <n v="0.75700000000000001"/>
    <n v="142579"/>
    <n v="0.48199999999999998"/>
    <n v="0.12"/>
    <n v="88"/>
    <x v="1"/>
    <n v="6"/>
    <n v="86984"/>
    <n v="1.37E-2"/>
  </r>
  <r>
    <n v="0.86399999999999999"/>
    <n v="105143"/>
    <n v="0.55600000000000005"/>
    <n v="0.4"/>
    <n v="88"/>
    <x v="0"/>
    <n v="3"/>
    <n v="216880"/>
    <n v="9.58E-3"/>
  </r>
  <r>
    <n v="0.51300000000000001"/>
    <n v="109935"/>
    <n v="0.745"/>
    <n v="0.92900000000000005"/>
    <n v="88"/>
    <x v="1"/>
    <n v="1"/>
    <n v="154620"/>
    <n v="0.78300000000000003"/>
  </r>
  <r>
    <n v="0.88200000000000001"/>
    <n v="148038"/>
    <n v="0.56899999999999995"/>
    <n v="0.20100000000000001"/>
    <n v="88"/>
    <x v="0"/>
    <n v="3"/>
    <n v="191701"/>
    <n v="3.1600000000000003E-2"/>
  </r>
  <r>
    <n v="0.86399999999999999"/>
    <n v="105143"/>
    <n v="0.55600000000000005"/>
    <n v="0.4"/>
    <n v="88"/>
    <x v="0"/>
    <n v="3"/>
    <n v="216880"/>
    <n v="9.58E-3"/>
  </r>
  <r>
    <n v="0.48199999999999998"/>
    <n v="100029"/>
    <n v="0.69"/>
    <n v="0.35599999999999998"/>
    <n v="88"/>
    <x v="0"/>
    <n v="7"/>
    <n v="149074"/>
    <n v="0.52300000000000002"/>
  </r>
  <r>
    <n v="0.86"/>
    <n v="100019"/>
    <n v="0.77400000000000002"/>
    <n v="0.44600000000000001"/>
    <n v="88"/>
    <x v="0"/>
    <n v="7"/>
    <n v="196800"/>
    <n v="0.13100000000000001"/>
  </r>
  <r>
    <n v="0.308"/>
    <s v="113.95"/>
    <n v="0.504"/>
    <n v="0.121"/>
    <n v="88"/>
    <x v="1"/>
    <n v="9"/>
    <n v="137773"/>
    <n v="0.86799999999999999"/>
  </r>
  <r>
    <n v="0.64500000000000002"/>
    <n v="114933"/>
    <n v="0.88200000000000001"/>
    <n v="0.78800000000000003"/>
    <n v="87"/>
    <x v="1"/>
    <n v="1"/>
    <n v="104419"/>
    <n v="0.47499999999999998"/>
  </r>
  <r>
    <n v="0.878"/>
    <n v="82557"/>
    <n v="0.66100000000000003"/>
    <n v="0.51400000000000001"/>
    <n v="87"/>
    <x v="1"/>
    <n v="1"/>
    <n v="165413"/>
    <n v="2.8900000000000002E-3"/>
  </r>
  <r>
    <n v="0.54500000000000004"/>
    <s v="159.94"/>
    <n v="0.54500000000000004"/>
    <n v="0.54900000000000004"/>
    <n v="87"/>
    <x v="1"/>
    <n v="9"/>
    <n v="184516"/>
    <n v="0.66700000000000004"/>
  </r>
  <r>
    <n v="0.58299999999999996"/>
    <n v="181489"/>
    <n v="0.432"/>
    <n v="0.54400000000000004"/>
    <n v="87"/>
    <x v="1"/>
    <n v="8"/>
    <n v="161831"/>
    <n v="0.17399999999999999"/>
  </r>
  <r>
    <n v="0.627"/>
    <n v="150273"/>
    <n v="0.33600000000000002"/>
    <n v="0.35"/>
    <n v="87"/>
    <x v="1"/>
    <n v="7"/>
    <n v="241107"/>
    <n v="0.16400000000000001"/>
  </r>
  <r>
    <n v="0.58599999999999997"/>
    <n v="107015"/>
    <n v="0.67500000000000004"/>
    <n v="0.621"/>
    <n v="87"/>
    <x v="1"/>
    <n v="9"/>
    <n v="186365"/>
    <n v="0.25700000000000001"/>
  </r>
  <r>
    <n v="0.55500000000000005"/>
    <n v="96063"/>
    <n v="0.39200000000000002"/>
    <n v="0.191"/>
    <n v="87"/>
    <x v="0"/>
    <n v="4"/>
    <n v="278015"/>
    <n v="0.28699999999999998"/>
  </r>
  <r>
    <n v="0.71499999999999997"/>
    <n v="155925"/>
    <n v="0.315"/>
    <n v="0.497"/>
    <n v="87"/>
    <x v="0"/>
    <n v="11"/>
    <n v="289533"/>
    <n v="1.25E-3"/>
  </r>
  <r>
    <n v="0.72499999999999998"/>
    <n v="130504"/>
    <n v="0.63300000000000001"/>
    <n v="0.64"/>
    <n v="87"/>
    <x v="1"/>
    <n v="5"/>
    <n v="223192"/>
    <n v="4.6100000000000002E-2"/>
  </r>
  <r>
    <n v="0.71499999999999997"/>
    <n v="155925"/>
    <n v="0.315"/>
    <n v="0.497"/>
    <n v="87"/>
    <x v="0"/>
    <n v="11"/>
    <n v="289533"/>
    <n v="1.25E-3"/>
  </r>
  <r>
    <n v="0.5"/>
    <n v="117896"/>
    <n v="0.66400000000000003"/>
    <n v="0.80100000000000005"/>
    <n v="87"/>
    <x v="1"/>
    <n v="9"/>
    <n v="182347"/>
    <n v="0.79900000000000004"/>
  </r>
  <r>
    <n v="0.28000000000000003"/>
    <n v="72795"/>
    <n v="0.61199999999999999"/>
    <n v="0.38700000000000001"/>
    <n v="87"/>
    <x v="1"/>
    <n v="0"/>
    <n v="213827"/>
    <n v="0.93200000000000005"/>
  </r>
  <r>
    <n v="0.58699999999999997"/>
    <n v="186003"/>
    <n v="0.67900000000000005"/>
    <n v="0.48599999999999999"/>
    <n v="87"/>
    <x v="1"/>
    <n v="7"/>
    <n v="230453"/>
    <n v="0.14099999999999999"/>
  </r>
  <r>
    <n v="0.71499999999999997"/>
    <n v="155925"/>
    <n v="0.315"/>
    <n v="0.497"/>
    <n v="87"/>
    <x v="0"/>
    <n v="11"/>
    <n v="289533"/>
    <n v="1.25E-3"/>
  </r>
  <r>
    <n v="0.5"/>
    <n v="117896"/>
    <n v="0.66400000000000003"/>
    <n v="0.80100000000000005"/>
    <n v="87"/>
    <x v="1"/>
    <n v="9"/>
    <n v="182347"/>
    <n v="0.79900000000000004"/>
  </r>
  <r>
    <n v="0.499"/>
    <n v="99986"/>
    <n v="0.79100000000000004"/>
    <n v="0.66900000000000004"/>
    <n v="87"/>
    <x v="0"/>
    <n v="8"/>
    <n v="222000"/>
    <n v="0.44600000000000001"/>
  </r>
  <r>
    <n v="0.81799999999999995"/>
    <n v="97571"/>
    <n v="0.373"/>
    <n v="0.36099999999999999"/>
    <n v="87"/>
    <x v="0"/>
    <n v="3"/>
    <n v="253834"/>
    <n v="0.36"/>
  </r>
  <r>
    <n v="0.46800000000000003"/>
    <n v="94434"/>
    <n v="0.36899999999999999"/>
    <n v="0.18"/>
    <n v="87"/>
    <x v="1"/>
    <n v="5"/>
    <n v="290617"/>
    <n v="2.0500000000000001E-2"/>
  </r>
  <r>
    <n v="0.70899999999999996"/>
    <n v="81012"/>
    <n v="0.72199999999999998"/>
    <n v="0.60399999999999998"/>
    <n v="86"/>
    <x v="1"/>
    <n v="9"/>
    <n v="171292"/>
    <n v="6.3299999999999995E-2"/>
  </r>
  <r>
    <n v="0.91700000000000004"/>
    <n v="100987"/>
    <n v="0.56200000000000006"/>
    <n v="0.501"/>
    <n v="86"/>
    <x v="0"/>
    <n v="11"/>
    <n v="229997"/>
    <n v="5.1299999999999998E-2"/>
  </r>
  <r>
    <n v="0.84299999999999997"/>
    <n v="122064"/>
    <n v="0.61899999999999999"/>
    <n v="0.746"/>
    <n v="86"/>
    <x v="0"/>
    <n v="5"/>
    <n v="204829"/>
    <n v="9.4800000000000006E-3"/>
  </r>
  <r>
    <n v="0.78200000000000003"/>
    <n v="119992"/>
    <n v="0.72699999999999998"/>
    <n v="0.65500000000000003"/>
    <n v="86"/>
    <x v="0"/>
    <n v="8"/>
    <n v="177599"/>
    <n v="5.6300000000000003E-2"/>
  </r>
  <r>
    <n v="0.43"/>
    <n v="91844"/>
    <n v="0.51500000000000001"/>
    <n v="0.104"/>
    <n v="86"/>
    <x v="1"/>
    <n v="7"/>
    <n v="238640"/>
    <n v="9.7000000000000003E-3"/>
  </r>
  <r>
    <n v="0.58099999999999996"/>
    <n v="99973"/>
    <n v="0.80500000000000005"/>
    <n v="0.52800000000000002"/>
    <n v="86"/>
    <x v="0"/>
    <n v="6"/>
    <n v="177600"/>
    <n v="3.0300000000000001E-2"/>
  </r>
  <r>
    <n v="0.752"/>
    <n v="100076"/>
    <n v="0.84099999999999997"/>
    <n v="0.67"/>
    <n v="86"/>
    <x v="1"/>
    <n v="2"/>
    <n v="214643"/>
    <n v="0.16700000000000001"/>
  </r>
  <r>
    <n v="0.78300000000000003"/>
    <n v="103001"/>
    <n v="0.70499999999999996"/>
    <n v="0.45400000000000001"/>
    <n v="86"/>
    <x v="0"/>
    <n v="9"/>
    <n v="172427"/>
    <n v="0.13800000000000001"/>
  </r>
  <r>
    <n v="0.55100000000000005"/>
    <n v="143008"/>
    <n v="0.55900000000000005"/>
    <n v="0.39200000000000002"/>
    <n v="86"/>
    <x v="1"/>
    <n v="5"/>
    <n v="201800"/>
    <n v="0.14099999999999999"/>
  </r>
  <r>
    <n v="0.73499999999999999"/>
    <s v="88.98"/>
    <n v="0.64400000000000002"/>
    <n v="0.41799999999999998"/>
    <n v="86"/>
    <x v="1"/>
    <n v="8"/>
    <n v="153947"/>
    <n v="5.21E-2"/>
  </r>
  <r>
    <n v="0.63500000000000001"/>
    <n v="103019"/>
    <n v="0.61699999999999999"/>
    <n v="0.44600000000000001"/>
    <n v="86"/>
    <x v="0"/>
    <n v="11"/>
    <n v="247160"/>
    <n v="4.9799999999999997E-2"/>
  </r>
  <r>
    <n v="0.70899999999999996"/>
    <n v="81012"/>
    <n v="0.72199999999999998"/>
    <n v="0.60399999999999998"/>
    <n v="86"/>
    <x v="1"/>
    <n v="9"/>
    <n v="171292"/>
    <n v="6.3299999999999995E-2"/>
  </r>
  <r>
    <n v="0.78200000000000003"/>
    <n v="119992"/>
    <n v="0.72699999999999998"/>
    <n v="0.65500000000000003"/>
    <n v="86"/>
    <x v="0"/>
    <n v="8"/>
    <n v="177599"/>
    <n v="5.6300000000000003E-2"/>
  </r>
  <r>
    <n v="0.64600000000000002"/>
    <n v="115842"/>
    <n v="0.64500000000000002"/>
    <n v="0.29499999999999998"/>
    <n v="86"/>
    <x v="1"/>
    <n v="5"/>
    <n v="228639"/>
    <n v="6.1499999999999999E-2"/>
  </r>
  <r>
    <n v="0.66300000000000003"/>
    <s v="121.07"/>
    <n v="0.6"/>
    <n v="0.28599999999999998"/>
    <n v="86"/>
    <x v="1"/>
    <n v="3"/>
    <n v="245493"/>
    <n v="0.22500000000000001"/>
  </r>
  <r>
    <n v="0.53700000000000003"/>
    <n v="122769"/>
    <n v="0.44500000000000001"/>
    <n v="0.13100000000000001"/>
    <n v="86"/>
    <x v="0"/>
    <n v="4"/>
    <n v="244360"/>
    <n v="0.69499999999999995"/>
  </r>
  <r>
    <n v="0.63500000000000001"/>
    <n v="103019"/>
    <n v="0.61699999999999999"/>
    <n v="0.44600000000000001"/>
    <n v="86"/>
    <x v="0"/>
    <n v="11"/>
    <n v="247160"/>
    <n v="4.9799999999999997E-2"/>
  </r>
  <r>
    <n v="0.29599999999999999"/>
    <n v="115284"/>
    <n v="0.35099999999999998"/>
    <n v="0.12"/>
    <n v="86"/>
    <x v="0"/>
    <n v="4"/>
    <n v="200186"/>
    <n v="0.93400000000000005"/>
  </r>
  <r>
    <n v="0.69699999999999995"/>
    <n v="138992"/>
    <n v="0.74"/>
    <n v="0.73199999999999998"/>
    <n v="86"/>
    <x v="1"/>
    <n v="8"/>
    <n v="163648"/>
    <n v="2.6800000000000001E-2"/>
  </r>
  <r>
    <n v="0.65200000000000002"/>
    <n v="95977"/>
    <n v="0.82499999999999996"/>
    <n v="0.93100000000000005"/>
    <n v="86"/>
    <x v="0"/>
    <n v="1"/>
    <n v="233713"/>
    <n v="0.58099999999999996"/>
  </r>
  <r>
    <n v="0.44800000000000001"/>
    <s v="95.05"/>
    <n v="0.59899999999999998"/>
    <n v="0.16800000000000001"/>
    <n v="86"/>
    <x v="1"/>
    <n v="8"/>
    <n v="263400"/>
    <n v="0.16300000000000001"/>
  </r>
  <r>
    <n v="0.66900000000000004"/>
    <n v="112238"/>
    <n v="0.90800000000000003"/>
    <n v="0.66200000000000003"/>
    <n v="86"/>
    <x v="1"/>
    <n v="7"/>
    <n v="290320"/>
    <n v="2.8600000000000001E-3"/>
  </r>
  <r>
    <n v="0.65200000000000002"/>
    <n v="95977"/>
    <n v="0.82499999999999996"/>
    <n v="0.93100000000000005"/>
    <n v="86"/>
    <x v="0"/>
    <n v="1"/>
    <n v="233713"/>
    <n v="0.58099999999999996"/>
  </r>
  <r>
    <n v="0.66700000000000004"/>
    <n v="130019"/>
    <n v="0.77600000000000002"/>
    <n v="0.61799999999999999"/>
    <n v="85"/>
    <x v="1"/>
    <n v="7"/>
    <n v="145219"/>
    <n v="1.46E-2"/>
  </r>
  <r>
    <n v="0.628"/>
    <s v="119.98"/>
    <n v="0.75700000000000001"/>
    <n v="0.32100000000000001"/>
    <n v="85"/>
    <x v="0"/>
    <n v="4"/>
    <n v="217333"/>
    <n v="0.189"/>
  </r>
  <r>
    <n v="0.47099999999999997"/>
    <n v="105029"/>
    <n v="0.47199999999999998"/>
    <n v="0.219"/>
    <n v="85"/>
    <x v="1"/>
    <n v="10"/>
    <n v="180304"/>
    <n v="0.151"/>
  </r>
  <r>
    <n v="0.90400000000000003"/>
    <n v="167033"/>
    <n v="0.73899999999999999"/>
    <n v="0.78800000000000003"/>
    <n v="85"/>
    <x v="0"/>
    <n v="5"/>
    <n v="129883"/>
    <n v="0.54900000000000004"/>
  </r>
  <r>
    <n v="0.71099999999999997"/>
    <n v="146921"/>
    <n v="0.48699999999999999"/>
    <n v="0.317"/>
    <n v="85"/>
    <x v="1"/>
    <n v="8"/>
    <n v="151647"/>
    <n v="1.75E-4"/>
  </r>
  <r>
    <n v="0.628"/>
    <s v="119.98"/>
    <n v="0.75700000000000001"/>
    <n v="0.32100000000000001"/>
    <n v="85"/>
    <x v="0"/>
    <n v="4"/>
    <n v="217333"/>
    <n v="0.189"/>
  </r>
  <r>
    <n v="0.85899999999999999"/>
    <s v="129.77"/>
    <n v="0.77"/>
    <n v="0.64"/>
    <n v="85"/>
    <x v="0"/>
    <n v="10"/>
    <n v="207273"/>
    <n v="0.36199999999999999"/>
  </r>
  <r>
    <n v="0.76400000000000001"/>
    <n v="148853"/>
    <n v="0.66600000000000004"/>
    <n v="0.72899999999999998"/>
    <n v="85"/>
    <x v="0"/>
    <n v="4"/>
    <n v="163115"/>
    <n v="0.36599999999999999"/>
  </r>
  <r>
    <n v="0.35599999999999998"/>
    <n v="169653"/>
    <n v="0.52900000000000003"/>
    <n v="0.65900000000000003"/>
    <n v="85"/>
    <x v="1"/>
    <n v="3"/>
    <n v="150523"/>
    <n v="0.28999999999999998"/>
  </r>
  <r>
    <n v="0.60699999999999998"/>
    <n v="81001"/>
    <n v="0.68400000000000005"/>
    <n v="0.498"/>
    <n v="85"/>
    <x v="0"/>
    <n v="11"/>
    <n v="195373"/>
    <n v="2.6700000000000002E-2"/>
  </r>
  <r>
    <n v="0.745"/>
    <n v="180098"/>
    <n v="0.46400000000000002"/>
    <n v="0.26200000000000001"/>
    <n v="85"/>
    <x v="0"/>
    <n v="4"/>
    <n v="190667"/>
    <n v="2.35E-2"/>
  </r>
  <r>
    <n v="0.96499999999999997"/>
    <s v="128.04"/>
    <n v="0.56100000000000005"/>
    <n v="0.30399999999999999"/>
    <n v="85"/>
    <x v="0"/>
    <n v="7"/>
    <n v="175238"/>
    <n v="3.8300000000000001E-3"/>
  </r>
  <r>
    <n v="0.54400000000000004"/>
    <n v="132052"/>
    <n v="0.57099999999999995"/>
    <n v="0.216"/>
    <n v="85"/>
    <x v="1"/>
    <n v="6"/>
    <n v="132631"/>
    <n v="0.45300000000000001"/>
  </r>
  <r>
    <n v="0.85399999999999998"/>
    <n v="140515"/>
    <n v="0.47699999999999998"/>
    <n v="0.314"/>
    <n v="85"/>
    <x v="1"/>
    <n v="7"/>
    <n v="179790"/>
    <n v="8.5800000000000001E-2"/>
  </r>
  <r>
    <n v="0.47099999999999997"/>
    <n v="105029"/>
    <n v="0.47199999999999998"/>
    <n v="0.219"/>
    <n v="85"/>
    <x v="1"/>
    <n v="10"/>
    <n v="180304"/>
    <n v="0.151"/>
  </r>
  <r>
    <n v="0.66700000000000004"/>
    <n v="130019"/>
    <n v="0.77600000000000002"/>
    <n v="0.61799999999999999"/>
    <n v="85"/>
    <x v="1"/>
    <n v="7"/>
    <n v="145219"/>
    <n v="1.46E-2"/>
  </r>
  <r>
    <n v="0.79500000000000004"/>
    <n v="112067"/>
    <n v="0.64500000000000002"/>
    <n v="0.53500000000000003"/>
    <n v="85"/>
    <x v="1"/>
    <n v="7"/>
    <n v="251489"/>
    <n v="0.34699999999999998"/>
  </r>
  <r>
    <n v="0.84099999999999997"/>
    <n v="109021"/>
    <n v="0.63500000000000001"/>
    <n v="0.42399999999999999"/>
    <n v="85"/>
    <x v="1"/>
    <n v="5"/>
    <n v="220734"/>
    <n v="1.34E-2"/>
  </r>
  <r>
    <n v="0.73099999999999998"/>
    <n v="101654"/>
    <n v="0.48299999999999998"/>
    <n v="0.48399999999999999"/>
    <n v="85"/>
    <x v="1"/>
    <n v="1"/>
    <n v="204280"/>
    <n v="0.436"/>
  </r>
  <r>
    <n v="0.192"/>
    <n v="175212"/>
    <n v="0.36899999999999999"/>
    <n v="0.14799999999999999"/>
    <n v="85"/>
    <x v="0"/>
    <n v="4"/>
    <n v="228013"/>
    <n v="0.55500000000000005"/>
  </r>
  <r>
    <n v="0.84099999999999997"/>
    <n v="109021"/>
    <n v="0.63500000000000001"/>
    <n v="0.42399999999999999"/>
    <n v="85"/>
    <x v="1"/>
    <n v="5"/>
    <n v="220734"/>
    <n v="1.34E-2"/>
  </r>
  <r>
    <n v="0.55700000000000005"/>
    <n v="85043"/>
    <n v="0.35799999999999998"/>
    <n v="0.49399999999999999"/>
    <n v="85"/>
    <x v="1"/>
    <n v="10"/>
    <n v="211467"/>
    <n v="0.69499999999999995"/>
  </r>
  <r>
    <n v="0.60699999999999998"/>
    <n v="81001"/>
    <n v="0.68400000000000005"/>
    <n v="0.498"/>
    <n v="85"/>
    <x v="0"/>
    <n v="11"/>
    <n v="195373"/>
    <n v="2.6700000000000002E-2"/>
  </r>
  <r>
    <n v="0.73099999999999998"/>
    <n v="101654"/>
    <n v="0.48299999999999998"/>
    <n v="0.48399999999999999"/>
    <n v="85"/>
    <x v="1"/>
    <n v="1"/>
    <n v="204280"/>
    <n v="0.436"/>
  </r>
  <r>
    <n v="0.626"/>
    <s v="100.02"/>
    <n v="0.76300000000000001"/>
    <n v="0.78"/>
    <n v="85"/>
    <x v="0"/>
    <n v="5"/>
    <n v="156171"/>
    <n v="8.5900000000000004E-2"/>
  </r>
  <r>
    <n v="0.26800000000000002"/>
    <n v="102617"/>
    <n v="0.371"/>
    <n v="0.16500000000000001"/>
    <n v="85"/>
    <x v="1"/>
    <n v="1"/>
    <n v="227093"/>
    <n v="0.748"/>
  </r>
  <r>
    <n v="0.745"/>
    <n v="180098"/>
    <n v="0.46400000000000002"/>
    <n v="0.26200000000000001"/>
    <n v="85"/>
    <x v="0"/>
    <n v="4"/>
    <n v="190667"/>
    <n v="2.35E-2"/>
  </r>
  <r>
    <n v="0.85499999999999998"/>
    <n v="127986"/>
    <n v="0.63800000000000001"/>
    <n v="0.73099999999999998"/>
    <n v="84"/>
    <x v="1"/>
    <n v="7"/>
    <n v="178206"/>
    <n v="7.5700000000000003E-3"/>
  </r>
  <r>
    <n v="0.33900000000000002"/>
    <n v="97989"/>
    <n v="0.70499999999999996"/>
    <n v="0.45700000000000002"/>
    <n v="84"/>
    <x v="1"/>
    <n v="7"/>
    <n v="236907"/>
    <n v="0.55200000000000005"/>
  </r>
  <r>
    <n v="0.70899999999999996"/>
    <n v="194055"/>
    <n v="0.74399999999999999"/>
    <n v="0.71199999999999997"/>
    <n v="84"/>
    <x v="0"/>
    <n v="6"/>
    <n v="130880"/>
    <n v="5.0099999999999999E-2"/>
  </r>
  <r>
    <n v="0.38600000000000001"/>
    <n v="192004"/>
    <n v="0.504"/>
    <n v="0.28100000000000003"/>
    <n v="84"/>
    <x v="1"/>
    <n v="11"/>
    <n v="228965"/>
    <n v="0.502"/>
  </r>
  <r>
    <n v="0.71199999999999997"/>
    <s v="91.98"/>
    <n v="0.84799999999999998"/>
    <n v="0.69199999999999995"/>
    <n v="84"/>
    <x v="0"/>
    <n v="1"/>
    <n v="298131"/>
    <n v="0.221"/>
  </r>
  <r>
    <n v="0.95199999999999996"/>
    <n v="125304"/>
    <n v="0.44500000000000001"/>
    <n v="0.624"/>
    <n v="84"/>
    <x v="1"/>
    <n v="6"/>
    <n v="356067"/>
    <n v="0.09"/>
  </r>
  <r>
    <n v="0.49199999999999999"/>
    <n v="120151"/>
    <n v="0.82799999999999996"/>
    <n v="0.78900000000000003"/>
    <n v="84"/>
    <x v="1"/>
    <n v="0"/>
    <n v="257800"/>
    <n v="6.4399999999999999E-2"/>
  </r>
  <r>
    <n v="0.69699999999999995"/>
    <n v="116109"/>
    <n v="0.74099999999999999"/>
    <n v="0.77400000000000002"/>
    <n v="84"/>
    <x v="1"/>
    <n v="0"/>
    <n v="160133"/>
    <n v="6.6400000000000001E-2"/>
  </r>
  <r>
    <n v="0.91300000000000003"/>
    <n v="115728"/>
    <n v="0.57399999999999995"/>
    <n v="0.42299999999999999"/>
    <n v="84"/>
    <x v="0"/>
    <n v="6"/>
    <n v="208400"/>
    <n v="6.0999999999999999E-2"/>
  </r>
  <r>
    <n v="0.55200000000000005"/>
    <n v="144941"/>
    <n v="0.64"/>
    <n v="0.112"/>
    <n v="84"/>
    <x v="1"/>
    <n v="2"/>
    <n v="228267"/>
    <n v="2.1499999999999998E-2"/>
  </r>
  <r>
    <n v="0.55200000000000005"/>
    <n v="144941"/>
    <n v="0.64"/>
    <n v="0.112"/>
    <n v="84"/>
    <x v="1"/>
    <n v="2"/>
    <n v="228267"/>
    <n v="2.1499999999999998E-2"/>
  </r>
  <r>
    <n v="0.71199999999999997"/>
    <s v="91.98"/>
    <n v="0.84799999999999998"/>
    <n v="0.69199999999999995"/>
    <n v="84"/>
    <x v="0"/>
    <n v="1"/>
    <n v="298131"/>
    <n v="0.221"/>
  </r>
  <r>
    <n v="0.53600000000000003"/>
    <n v="97541"/>
    <n v="0.71599999999999997"/>
    <n v="0.35899999999999999"/>
    <n v="84"/>
    <x v="0"/>
    <n v="2"/>
    <n v="240669"/>
    <n v="0.45200000000000001"/>
  </r>
  <r>
    <n v="0.70699999999999996"/>
    <n v="82045"/>
    <n v="0.78600000000000003"/>
    <n v="0.69099999999999995"/>
    <n v="84"/>
    <x v="0"/>
    <n v="7"/>
    <n v="225373"/>
    <n v="3.9899999999999998E-2"/>
  </r>
  <r>
    <n v="0.86599999999999999"/>
    <n v="140266"/>
    <n v="0.52600000000000002"/>
    <n v="0.248"/>
    <n v="84"/>
    <x v="1"/>
    <n v="0"/>
    <n v="253587"/>
    <n v="2.8700000000000002E-3"/>
  </r>
  <r>
    <n v="0.36399999999999999"/>
    <s v="75.24"/>
    <n v="0.52400000000000002"/>
    <n v="0.436"/>
    <n v="84"/>
    <x v="1"/>
    <n v="7"/>
    <n v="209831"/>
    <n v="0.80800000000000005"/>
  </r>
  <r>
    <n v="0.28399999999999997"/>
    <n v="99796"/>
    <n v="0.35799999999999998"/>
    <n v="0.27600000000000002"/>
    <n v="84"/>
    <x v="1"/>
    <n v="7"/>
    <n v="180853"/>
    <n v="0.80500000000000005"/>
  </r>
  <r>
    <n v="0.93899999999999995"/>
    <n v="129024"/>
    <n v="0.67100000000000004"/>
    <n v="0.53"/>
    <n v="84"/>
    <x v="1"/>
    <n v="8"/>
    <n v="252307"/>
    <n v="0.191"/>
  </r>
  <r>
    <n v="0.52400000000000002"/>
    <s v="95.01"/>
    <n v="0.748"/>
    <n v="0.66100000000000003"/>
    <n v="84"/>
    <x v="1"/>
    <n v="8"/>
    <n v="244960"/>
    <n v="0.41399999999999998"/>
  </r>
  <r>
    <n v="0.94599999999999995"/>
    <n v="151647"/>
    <n v="0.59899999999999998"/>
    <n v="0.747"/>
    <n v="84"/>
    <x v="1"/>
    <n v="11"/>
    <n v="142515"/>
    <n v="9.3800000000000003E-4"/>
  </r>
  <r>
    <n v="0.85499999999999998"/>
    <n v="127986"/>
    <n v="0.63800000000000001"/>
    <n v="0.73099999999999998"/>
    <n v="84"/>
    <x v="1"/>
    <n v="7"/>
    <n v="178206"/>
    <n v="7.5700000000000003E-3"/>
  </r>
  <r>
    <n v="0.64200000000000002"/>
    <n v="179974"/>
    <n v="0.745"/>
    <n v="0.22600000000000001"/>
    <n v="84"/>
    <x v="0"/>
    <n v="7"/>
    <n v="131240"/>
    <n v="2.0400000000000001E-2"/>
  </r>
  <r>
    <n v="0.82899999999999996"/>
    <n v="139198"/>
    <n v="0.47599999999999998"/>
    <n v="0.505"/>
    <n v="84"/>
    <x v="0"/>
    <n v="10"/>
    <n v="133227"/>
    <n v="1.72E-2"/>
  </r>
  <r>
    <n v="0.55200000000000005"/>
    <n v="144941"/>
    <n v="0.64"/>
    <n v="0.112"/>
    <n v="84"/>
    <x v="1"/>
    <n v="2"/>
    <n v="228267"/>
    <n v="2.1499999999999998E-2"/>
  </r>
  <r>
    <n v="0.45300000000000001"/>
    <n v="139943"/>
    <n v="0.91500000000000004"/>
    <n v="0.28699999999999998"/>
    <n v="84"/>
    <x v="0"/>
    <n v="10"/>
    <n v="144000"/>
    <n v="8.72E-2"/>
  </r>
  <r>
    <n v="0.70599999999999996"/>
    <n v="80969"/>
    <n v="0.72199999999999998"/>
    <n v="0.59899999999999998"/>
    <n v="84"/>
    <x v="1"/>
    <n v="9"/>
    <n v="171292"/>
    <n v="7.1999999999999995E-2"/>
  </r>
  <r>
    <n v="0.64300000000000002"/>
    <n v="117025"/>
    <n v="0.74"/>
    <n v="0.96"/>
    <n v="84"/>
    <x v="1"/>
    <n v="10"/>
    <n v="251424"/>
    <n v="4.1000000000000002E-2"/>
  </r>
  <r>
    <n v="0.77800000000000002"/>
    <n v="96057"/>
    <n v="0.91100000000000003"/>
    <n v="0.34499999999999997"/>
    <n v="84"/>
    <x v="1"/>
    <n v="5"/>
    <n v="162768"/>
    <n v="8.8700000000000001E-2"/>
  </r>
  <r>
    <n v="0.55200000000000005"/>
    <n v="144941"/>
    <n v="0.64"/>
    <n v="0.112"/>
    <n v="84"/>
    <x v="1"/>
    <n v="2"/>
    <n v="228267"/>
    <n v="2.1499999999999998E-2"/>
  </r>
  <r>
    <n v="0.442"/>
    <n v="146277"/>
    <n v="0.55700000000000005"/>
    <n v="0.21299999999999999"/>
    <n v="84"/>
    <x v="1"/>
    <n v="5"/>
    <n v="309600"/>
    <n v="0.73099999999999998"/>
  </r>
  <r>
    <n v="0.55200000000000005"/>
    <n v="75881"/>
    <n v="0.34599999999999997"/>
    <n v="7.8899999999999998E-2"/>
    <n v="84"/>
    <x v="0"/>
    <n v="0"/>
    <n v="286480"/>
    <n v="0.41699999999999998"/>
  </r>
  <r>
    <n v="0.82199999999999995"/>
    <n v="167997"/>
    <n v="0.60399999999999998"/>
    <n v="0.28799999999999998"/>
    <n v="84"/>
    <x v="1"/>
    <n v="0"/>
    <n v="187147"/>
    <n v="6.7200000000000003E-3"/>
  </r>
  <r>
    <n v="0.54300000000000004"/>
    <n v="68534"/>
    <n v="0.35899999999999999"/>
    <n v="0.45300000000000001"/>
    <n v="84"/>
    <x v="1"/>
    <n v="7"/>
    <n v="221307"/>
    <n v="0.49199999999999999"/>
  </r>
  <r>
    <n v="0.379"/>
    <n v="107989"/>
    <n v="0.61399999999999999"/>
    <n v="0.20100000000000001"/>
    <n v="84"/>
    <x v="1"/>
    <n v="4"/>
    <n v="258987"/>
    <n v="0.60699999999999998"/>
  </r>
  <r>
    <n v="0.93899999999999995"/>
    <n v="129024"/>
    <n v="0.67100000000000004"/>
    <n v="0.53"/>
    <n v="84"/>
    <x v="1"/>
    <n v="8"/>
    <n v="252307"/>
    <n v="0.191"/>
  </r>
  <r>
    <n v="0.90200000000000002"/>
    <n v="84412"/>
    <n v="0.57299999999999995"/>
    <n v="0.876"/>
    <n v="84"/>
    <x v="0"/>
    <n v="6"/>
    <n v="225280"/>
    <n v="1.7999999999999999E-2"/>
  </r>
  <r>
    <n v="0.82399999999999995"/>
    <n v="100024"/>
    <n v="0.77800000000000002"/>
    <n v="0.75800000000000001"/>
    <n v="84"/>
    <x v="0"/>
    <n v="10"/>
    <n v="218093"/>
    <n v="0.28399999999999997"/>
  </r>
  <r>
    <n v="0.79100000000000004"/>
    <n v="105018"/>
    <n v="0.89400000000000002"/>
    <n v="0.58299999999999996"/>
    <n v="84"/>
    <x v="1"/>
    <n v="2"/>
    <n v="250373"/>
    <n v="1.83E-2"/>
  </r>
  <r>
    <n v="0.53200000000000003"/>
    <s v="85.03"/>
    <n v="0.54800000000000004"/>
    <n v="0.40500000000000003"/>
    <n v="84"/>
    <x v="1"/>
    <n v="5"/>
    <n v="272394"/>
    <n v="0.186"/>
  </r>
  <r>
    <n v="0.70499999999999996"/>
    <n v="138559"/>
    <n v="0.81799999999999995"/>
    <n v="0.77200000000000002"/>
    <n v="84"/>
    <x v="1"/>
    <n v="6"/>
    <n v="222640"/>
    <n v="8.3599999999999994E-3"/>
  </r>
  <r>
    <n v="0.216"/>
    <n v="79109"/>
    <n v="0.55500000000000005"/>
    <n v="0.504"/>
    <n v="84"/>
    <x v="1"/>
    <n v="3"/>
    <n v="87000"/>
    <n v="0.55700000000000005"/>
  </r>
  <r>
    <n v="0.55100000000000005"/>
    <n v="148035"/>
    <n v="0.52700000000000002"/>
    <n v="0.443"/>
    <n v="84"/>
    <x v="1"/>
    <n v="7"/>
    <n v="159636"/>
    <n v="0.38400000000000001"/>
  </r>
  <r>
    <n v="0.51800000000000002"/>
    <n v="126089"/>
    <n v="0.875"/>
    <n v="0.37"/>
    <n v="84"/>
    <x v="1"/>
    <n v="2"/>
    <n v="213364"/>
    <n v="6.3799999999999996E-2"/>
  </r>
  <r>
    <n v="0.51800000000000002"/>
    <n v="126089"/>
    <n v="0.875"/>
    <n v="0.37"/>
    <n v="84"/>
    <x v="1"/>
    <n v="2"/>
    <n v="213364"/>
    <n v="6.3799999999999996E-2"/>
  </r>
  <r>
    <n v="0.71199999999999997"/>
    <s v="91.98"/>
    <n v="0.84799999999999998"/>
    <n v="0.69199999999999995"/>
    <n v="84"/>
    <x v="0"/>
    <n v="1"/>
    <n v="298131"/>
    <n v="0.221"/>
  </r>
  <r>
    <n v="0.77800000000000002"/>
    <n v="96057"/>
    <n v="0.91100000000000003"/>
    <n v="0.34499999999999997"/>
    <n v="84"/>
    <x v="1"/>
    <n v="5"/>
    <n v="162768"/>
    <n v="8.8700000000000001E-2"/>
  </r>
  <r>
    <n v="0.65200000000000002"/>
    <n v="141981"/>
    <n v="0.47"/>
    <n v="0.104"/>
    <n v="84"/>
    <x v="1"/>
    <n v="2"/>
    <n v="190286"/>
    <n v="8.3099999999999993E-2"/>
  </r>
  <r>
    <n v="0.57399999999999995"/>
    <n v="120013"/>
    <n v="0.66900000000000004"/>
    <n v="0.27300000000000002"/>
    <n v="84"/>
    <x v="0"/>
    <n v="4"/>
    <n v="196400"/>
    <n v="1.7500000000000002E-2"/>
  </r>
  <r>
    <n v="0.251"/>
    <n v="139999"/>
    <n v="0.746"/>
    <n v="0.18"/>
    <n v="84"/>
    <x v="0"/>
    <n v="11"/>
    <n v="120027"/>
    <n v="0.78200000000000003"/>
  </r>
  <r>
    <n v="0.53300000000000003"/>
    <n v="131036"/>
    <n v="0.79700000000000004"/>
    <n v="0.32900000000000001"/>
    <n v="84"/>
    <x v="0"/>
    <n v="0"/>
    <n v="146520"/>
    <n v="1.72E-2"/>
  </r>
  <r>
    <n v="0.89"/>
    <s v="133.52"/>
    <n v="0.502"/>
    <n v="0.25900000000000001"/>
    <n v="83"/>
    <x v="1"/>
    <n v="4"/>
    <n v="292880"/>
    <n v="1.47E-4"/>
  </r>
  <r>
    <n v="0.7"/>
    <n v="188386"/>
    <n v="0.31"/>
    <n v="0.76300000000000001"/>
    <n v="83"/>
    <x v="1"/>
    <n v="9"/>
    <n v="255493"/>
    <n v="1.0999999999999999E-2"/>
  </r>
  <r>
    <n v="0.373"/>
    <n v="92718"/>
    <n v="0.67100000000000004"/>
    <n v="0.73199999999999998"/>
    <n v="83"/>
    <x v="1"/>
    <n v="9"/>
    <n v="295893"/>
    <n v="0.25700000000000001"/>
  </r>
  <r>
    <n v="0.67600000000000005"/>
    <n v="162012"/>
    <n v="0.81399999999999995"/>
    <n v="0.312"/>
    <n v="83"/>
    <x v="0"/>
    <n v="11"/>
    <n v="267707"/>
    <n v="7.0899999999999999E-3"/>
  </r>
  <r>
    <n v="0.71499999999999997"/>
    <n v="199892"/>
    <n v="0.47499999999999998"/>
    <n v="0.159"/>
    <n v="83"/>
    <x v="1"/>
    <n v="8"/>
    <n v="205947"/>
    <n v="8.6300000000000002E-2"/>
  </r>
  <r>
    <n v="0.78700000000000003"/>
    <n v="119996"/>
    <n v="0.70399999999999996"/>
    <n v="0.31"/>
    <n v="83"/>
    <x v="0"/>
    <n v="11"/>
    <n v="214000"/>
    <n v="9.2599999999999991E-3"/>
  </r>
  <r>
    <n v="0.61799999999999999"/>
    <n v="126031"/>
    <n v="0.85299999999999998"/>
    <n v="0.32"/>
    <n v="83"/>
    <x v="1"/>
    <n v="6"/>
    <n v="145599"/>
    <n v="0.63300000000000001"/>
  </r>
  <r>
    <n v="0.751"/>
    <n v="129994"/>
    <n v="0.70099999999999996"/>
    <n v="0.22"/>
    <n v="83"/>
    <x v="1"/>
    <n v="0"/>
    <n v="218005"/>
    <n v="0.123"/>
  </r>
  <r>
    <n v="0.95699999999999996"/>
    <n v="126035"/>
    <n v="0.80400000000000005"/>
    <n v="0.96199999999999997"/>
    <n v="83"/>
    <x v="1"/>
    <n v="0"/>
    <n v="151740"/>
    <n v="0.125"/>
  </r>
  <r>
    <n v="0.67600000000000005"/>
    <n v="162012"/>
    <n v="0.81399999999999995"/>
    <n v="0.312"/>
    <n v="83"/>
    <x v="0"/>
    <n v="11"/>
    <n v="267707"/>
    <n v="7.0899999999999999E-3"/>
  </r>
  <r>
    <n v="0.93400000000000005"/>
    <n v="127066"/>
    <n v="0.41699999999999998"/>
    <n v="0.28699999999999998"/>
    <n v="83"/>
    <x v="0"/>
    <n v="7"/>
    <n v="210240"/>
    <n v="2.7799999999999998E-4"/>
  </r>
  <r>
    <n v="0.373"/>
    <n v="92718"/>
    <n v="0.67100000000000004"/>
    <n v="0.73199999999999998"/>
    <n v="83"/>
    <x v="1"/>
    <n v="9"/>
    <n v="295893"/>
    <n v="0.25700000000000001"/>
  </r>
  <r>
    <n v="0.7"/>
    <n v="188386"/>
    <n v="0.31"/>
    <n v="0.76300000000000001"/>
    <n v="83"/>
    <x v="1"/>
    <n v="9"/>
    <n v="255493"/>
    <n v="1.0999999999999999E-2"/>
  </r>
  <r>
    <n v="0.628"/>
    <n v="140053"/>
    <n v="0.66800000000000004"/>
    <n v="0.56799999999999995"/>
    <n v="83"/>
    <x v="1"/>
    <n v="8"/>
    <n v="138213"/>
    <n v="0.129"/>
  </r>
  <r>
    <n v="0.47"/>
    <n v="67086"/>
    <n v="0.59799999999999998"/>
    <n v="0.879"/>
    <n v="83"/>
    <x v="1"/>
    <n v="8"/>
    <n v="126267"/>
    <n v="0.61699999999999999"/>
  </r>
  <r>
    <n v="0.52900000000000003"/>
    <n v="161989"/>
    <n v="0.67100000000000004"/>
    <n v="0.20300000000000001"/>
    <n v="83"/>
    <x v="1"/>
    <n v="0"/>
    <n v="165820"/>
    <n v="7.6899999999999996E-2"/>
  </r>
  <r>
    <n v="0.26400000000000001"/>
    <s v="119.93"/>
    <n v="0.42199999999999999"/>
    <n v="0.33100000000000002"/>
    <n v="83"/>
    <x v="1"/>
    <n v="8"/>
    <n v="269560"/>
    <n v="0.92200000000000004"/>
  </r>
  <r>
    <n v="0.54700000000000004"/>
    <s v="95.0"/>
    <n v="0.77800000000000002"/>
    <n v="0.442"/>
    <n v="83"/>
    <x v="1"/>
    <n v="2"/>
    <n v="242733"/>
    <n v="0.34399999999999997"/>
  </r>
  <r>
    <n v="0.76300000000000001"/>
    <n v="120042"/>
    <n v="0.69499999999999995"/>
    <n v="0.55100000000000005"/>
    <n v="83"/>
    <x v="1"/>
    <n v="0"/>
    <n v="215280"/>
    <n v="0.189"/>
  </r>
  <r>
    <n v="0.42499999999999999"/>
    <n v="102078"/>
    <n v="0.35699999999999998"/>
    <n v="0.27"/>
    <n v="83"/>
    <x v="1"/>
    <n v="5"/>
    <n v="198040"/>
    <n v="0.58399999999999996"/>
  </r>
  <r>
    <n v="0.74099999999999999"/>
    <s v="153.96"/>
    <n v="0.60099999999999998"/>
    <n v="0.441"/>
    <n v="83"/>
    <x v="1"/>
    <n v="2"/>
    <n v="153190"/>
    <n v="0.185"/>
  </r>
  <r>
    <n v="0.71299999999999997"/>
    <n v="120032"/>
    <n v="0.74199999999999999"/>
    <n v="0.879"/>
    <n v="83"/>
    <x v="0"/>
    <n v="1"/>
    <n v="189960"/>
    <n v="2.0500000000000001E-2"/>
  </r>
  <r>
    <n v="0.86599999999999999"/>
    <n v="128038"/>
    <n v="0.57799999999999996"/>
    <n v="0.61899999999999999"/>
    <n v="83"/>
    <x v="1"/>
    <n v="1"/>
    <n v="199080"/>
    <n v="7.0099999999999997E-3"/>
  </r>
  <r>
    <n v="0.88700000000000001"/>
    <n v="122509"/>
    <n v="0.53200000000000003"/>
    <n v="0.79400000000000004"/>
    <n v="83"/>
    <x v="1"/>
    <n v="0"/>
    <n v="249293"/>
    <n v="7.7799999999999994E-2"/>
  </r>
  <r>
    <n v="0.78300000000000003"/>
    <s v="124.08"/>
    <n v="0.53200000000000003"/>
    <n v="0.64300000000000002"/>
    <n v="83"/>
    <x v="1"/>
    <n v="2"/>
    <n v="247427"/>
    <n v="3.8E-3"/>
  </r>
  <r>
    <n v="0.83799999999999997"/>
    <s v="143.04"/>
    <n v="0.77400000000000002"/>
    <n v="0.92400000000000004"/>
    <n v="83"/>
    <x v="0"/>
    <n v="5"/>
    <n v="198800"/>
    <n v="2.4899999999999999E-2"/>
  </r>
  <r>
    <n v="0.71099999999999997"/>
    <n v="125135"/>
    <n v="0.69199999999999995"/>
    <n v="0.875"/>
    <n v="83"/>
    <x v="0"/>
    <n v="0"/>
    <n v="216933"/>
    <n v="0.22500000000000001"/>
  </r>
  <r>
    <n v="0.83699999999999997"/>
    <n v="120028"/>
    <n v="0.755"/>
    <n v="0.71399999999999997"/>
    <n v="83"/>
    <x v="0"/>
    <n v="2"/>
    <n v="199693"/>
    <n v="9.9099999999999994E-2"/>
  </r>
  <r>
    <n v="0.76"/>
    <n v="99947"/>
    <n v="0.65500000000000003"/>
    <n v="0.40899999999999997"/>
    <n v="83"/>
    <x v="0"/>
    <n v="0"/>
    <n v="200787"/>
    <n v="7.9699999999999993E-2"/>
  </r>
  <r>
    <n v="0.93400000000000005"/>
    <n v="127066"/>
    <n v="0.41699999999999998"/>
    <n v="0.28699999999999998"/>
    <n v="83"/>
    <x v="0"/>
    <n v="7"/>
    <n v="210240"/>
    <n v="2.7799999999999998E-4"/>
  </r>
  <r>
    <n v="0.94299999999999995"/>
    <n v="94612"/>
    <n v="0.33100000000000002"/>
    <n v="0.29599999999999999"/>
    <n v="83"/>
    <x v="0"/>
    <n v="4"/>
    <n v="235893"/>
    <n v="7.2100000000000003E-3"/>
  </r>
  <r>
    <n v="0.92500000000000004"/>
    <n v="86989"/>
    <n v="0.749"/>
    <n v="0.64100000000000001"/>
    <n v="83"/>
    <x v="1"/>
    <n v="10"/>
    <n v="263373"/>
    <n v="0.24099999999999999"/>
  </r>
  <r>
    <n v="0.187"/>
    <n v="132679"/>
    <n v="0.30299999999999999"/>
    <n v="0.21199999999999999"/>
    <n v="83"/>
    <x v="1"/>
    <n v="2"/>
    <n v="160853"/>
    <n v="0.98899999999999999"/>
  </r>
  <r>
    <n v="0.61799999999999999"/>
    <n v="126031"/>
    <n v="0.85299999999999998"/>
    <n v="0.32"/>
    <n v="83"/>
    <x v="1"/>
    <n v="6"/>
    <n v="145599"/>
    <n v="0.63300000000000001"/>
  </r>
  <r>
    <n v="0.78700000000000003"/>
    <n v="119996"/>
    <n v="0.70399999999999996"/>
    <n v="0.31"/>
    <n v="83"/>
    <x v="0"/>
    <n v="11"/>
    <n v="214000"/>
    <n v="9.2599999999999991E-3"/>
  </r>
  <r>
    <n v="0.61799999999999999"/>
    <n v="126031"/>
    <n v="0.85299999999999998"/>
    <n v="0.32"/>
    <n v="83"/>
    <x v="1"/>
    <n v="6"/>
    <n v="145599"/>
    <n v="0.63300000000000001"/>
  </r>
  <r>
    <n v="0.51900000000000002"/>
    <n v="100025"/>
    <n v="0.76300000000000001"/>
    <n v="0.80400000000000005"/>
    <n v="83"/>
    <x v="0"/>
    <n v="6"/>
    <n v="134930"/>
    <n v="0.22"/>
  </r>
  <r>
    <n v="0.73799999999999999"/>
    <n v="169918"/>
    <n v="0.84099999999999997"/>
    <n v="0.48399999999999999"/>
    <n v="83"/>
    <x v="0"/>
    <n v="7"/>
    <n v="172798"/>
    <n v="0.52"/>
  </r>
  <r>
    <n v="0.58299999999999996"/>
    <n v="115221"/>
    <n v="0.66900000000000004"/>
    <n v="0.27100000000000002"/>
    <n v="83"/>
    <x v="1"/>
    <n v="1"/>
    <n v="234716"/>
    <n v="0.60299999999999998"/>
  </r>
  <r>
    <n v="0.628"/>
    <n v="90482"/>
    <n v="0.63900000000000001"/>
    <n v="0.43"/>
    <n v="83"/>
    <x v="0"/>
    <n v="6"/>
    <n v="237507"/>
    <n v="3.8100000000000002E-2"/>
  </r>
  <r>
    <n v="0.67800000000000005"/>
    <n v="117067"/>
    <n v="0.59499999999999997"/>
    <n v="0.25900000000000001"/>
    <n v="83"/>
    <x v="1"/>
    <n v="9"/>
    <n v="99213"/>
    <n v="1.9900000000000001E-2"/>
  </r>
  <r>
    <n v="0.58099999999999996"/>
    <n v="130033"/>
    <n v="0.61299999999999999"/>
    <n v="0.55100000000000005"/>
    <n v="83"/>
    <x v="0"/>
    <n v="0"/>
    <n v="239560"/>
    <n v="0.53700000000000003"/>
  </r>
  <r>
    <n v="0.41599999999999998"/>
    <n v="113986"/>
    <n v="0.32400000000000001"/>
    <n v="0.151"/>
    <n v="83"/>
    <x v="0"/>
    <n v="11"/>
    <n v="236053"/>
    <n v="0.26200000000000001"/>
  </r>
  <r>
    <n v="0.42499999999999999"/>
    <n v="102078"/>
    <n v="0.35699999999999998"/>
    <n v="0.27"/>
    <n v="83"/>
    <x v="1"/>
    <n v="5"/>
    <n v="198040"/>
    <n v="0.58399999999999996"/>
  </r>
  <r>
    <n v="0.52900000000000003"/>
    <n v="161989"/>
    <n v="0.67100000000000004"/>
    <n v="0.20300000000000001"/>
    <n v="83"/>
    <x v="1"/>
    <n v="0"/>
    <n v="165820"/>
    <n v="7.6899999999999996E-2"/>
  </r>
  <r>
    <n v="0.76300000000000001"/>
    <n v="120042"/>
    <n v="0.69499999999999995"/>
    <n v="0.55100000000000005"/>
    <n v="83"/>
    <x v="1"/>
    <n v="0"/>
    <n v="215280"/>
    <n v="0.189"/>
  </r>
  <r>
    <n v="0.78700000000000003"/>
    <n v="119996"/>
    <n v="0.70399999999999996"/>
    <n v="0.31"/>
    <n v="83"/>
    <x v="0"/>
    <n v="11"/>
    <n v="214000"/>
    <n v="9.2599999999999991E-3"/>
  </r>
  <r>
    <n v="0.78700000000000003"/>
    <n v="109939"/>
    <n v="0.73399999999999999"/>
    <n v="0.67200000000000004"/>
    <n v="82"/>
    <x v="0"/>
    <n v="5"/>
    <n v="155757"/>
    <n v="0.126"/>
  </r>
  <r>
    <n v="0.56299999999999994"/>
    <n v="105008"/>
    <n v="0.83299999999999996"/>
    <n v="0.34300000000000003"/>
    <n v="82"/>
    <x v="0"/>
    <n v="4"/>
    <n v="182857"/>
    <n v="0.52800000000000002"/>
  </r>
  <r>
    <n v="0.66800000000000004"/>
    <n v="90969"/>
    <n v="0.64600000000000002"/>
    <n v="0.64"/>
    <n v="82"/>
    <x v="1"/>
    <n v="2"/>
    <n v="148318"/>
    <n v="0.49099999999999999"/>
  </r>
  <r>
    <n v="0.44600000000000001"/>
    <n v="123596"/>
    <n v="0.74299999999999999"/>
    <n v="0.27800000000000002"/>
    <n v="82"/>
    <x v="0"/>
    <n v="4"/>
    <n v="232107"/>
    <n v="3.8999999999999998E-3"/>
  </r>
  <r>
    <n v="0.34499999999999997"/>
    <n v="84581"/>
    <n v="0.55900000000000005"/>
    <n v="0.45800000000000002"/>
    <n v="82"/>
    <x v="1"/>
    <n v="4"/>
    <n v="264307"/>
    <n v="5.7599999999999998E-2"/>
  </r>
  <r>
    <n v="0.66800000000000004"/>
    <n v="87973"/>
    <n v="0.57299999999999995"/>
    <n v="0.14499999999999999"/>
    <n v="82"/>
    <x v="0"/>
    <n v="7"/>
    <n v="199920"/>
    <n v="0.189"/>
  </r>
  <r>
    <n v="0.56299999999999994"/>
    <n v="105008"/>
    <n v="0.83299999999999996"/>
    <n v="0.34300000000000003"/>
    <n v="82"/>
    <x v="0"/>
    <n v="4"/>
    <n v="182857"/>
    <n v="0.52800000000000002"/>
  </r>
  <r>
    <n v="0.72399999999999998"/>
    <n v="101097"/>
    <n v="0.55600000000000005"/>
    <n v="0.68100000000000005"/>
    <n v="82"/>
    <x v="1"/>
    <n v="0"/>
    <n v="246889"/>
    <n v="0.26700000000000002"/>
  </r>
  <r>
    <n v="0.83199999999999996"/>
    <n v="98582"/>
    <n v="0.74199999999999999"/>
    <n v="0.71599999999999997"/>
    <n v="82"/>
    <x v="1"/>
    <n v="8"/>
    <n v="195846"/>
    <n v="8.5699999999999998E-2"/>
  </r>
  <r>
    <n v="0.57799999999999996"/>
    <n v="199997"/>
    <n v="0.73399999999999999"/>
    <n v="0.88"/>
    <n v="82"/>
    <x v="1"/>
    <n v="1"/>
    <n v="142022"/>
    <n v="0.155"/>
  </r>
  <r>
    <n v="0.82299999999999995"/>
    <n v="128035"/>
    <n v="0.64600000000000002"/>
    <n v="0.41799999999999998"/>
    <n v="82"/>
    <x v="0"/>
    <n v="2"/>
    <n v="227267"/>
    <n v="0.21299999999999999"/>
  </r>
  <r>
    <n v="0.83499999999999996"/>
    <n v="125983"/>
    <n v="0.52700000000000002"/>
    <n v="0.65400000000000003"/>
    <n v="82"/>
    <x v="1"/>
    <n v="6"/>
    <n v="176658"/>
    <n v="1.66E-2"/>
  </r>
  <r>
    <n v="0.96299999999999997"/>
    <n v="129992"/>
    <n v="0.58099999999999996"/>
    <n v="0.78800000000000003"/>
    <n v="82"/>
    <x v="1"/>
    <n v="11"/>
    <n v="204160"/>
    <n v="2.9499999999999998E-2"/>
  </r>
  <r>
    <n v="0.45700000000000002"/>
    <s v="146.04"/>
    <n v="0.59199999999999997"/>
    <n v="0.22500000000000001"/>
    <n v="82"/>
    <x v="0"/>
    <n v="9"/>
    <n v="110886"/>
    <n v="0.66100000000000003"/>
  </r>
  <r>
    <n v="0.79200000000000004"/>
    <n v="100011"/>
    <n v="0.68700000000000006"/>
    <n v="0.67100000000000004"/>
    <n v="82"/>
    <x v="1"/>
    <n v="5"/>
    <n v="214290"/>
    <n v="0.191"/>
  </r>
  <r>
    <n v="0.52200000000000002"/>
    <s v="89.96"/>
    <n v="0.755"/>
    <n v="0.92500000000000004"/>
    <n v="82"/>
    <x v="1"/>
    <n v="2"/>
    <n v="157560"/>
    <n v="0.53300000000000003"/>
  </r>
  <r>
    <n v="0.622"/>
    <n v="130001"/>
    <n v="0.84699999999999998"/>
    <n v="0.22"/>
    <n v="82"/>
    <x v="0"/>
    <n v="1"/>
    <n v="125040"/>
    <n v="0.11899999999999999"/>
  </r>
  <r>
    <n v="0.66800000000000004"/>
    <n v="90969"/>
    <n v="0.64600000000000002"/>
    <n v="0.64"/>
    <n v="82"/>
    <x v="1"/>
    <n v="2"/>
    <n v="148318"/>
    <n v="0.49099999999999999"/>
  </r>
  <r>
    <n v="0.64200000000000002"/>
    <n v="83389"/>
    <n v="0.46300000000000002"/>
    <n v="0.33900000000000002"/>
    <n v="82"/>
    <x v="1"/>
    <n v="1"/>
    <n v="189893"/>
    <n v="0.314"/>
  </r>
  <r>
    <n v="0.72699999999999998"/>
    <n v="130035"/>
    <n v="0.88700000000000001"/>
    <n v="0.93200000000000005"/>
    <n v="82"/>
    <x v="0"/>
    <n v="4"/>
    <n v="90760"/>
    <n v="0.38100000000000001"/>
  </r>
  <r>
    <n v="0.94199999999999995"/>
    <n v="148723"/>
    <n v="0.52700000000000002"/>
    <n v="0.495"/>
    <n v="82"/>
    <x v="0"/>
    <n v="1"/>
    <n v="241307"/>
    <n v="1.15E-2"/>
  </r>
  <r>
    <n v="0.56299999999999994"/>
    <n v="105008"/>
    <n v="0.83299999999999996"/>
    <n v="0.34300000000000003"/>
    <n v="82"/>
    <x v="0"/>
    <n v="4"/>
    <n v="182857"/>
    <n v="0.52800000000000002"/>
  </r>
  <r>
    <n v="0.621"/>
    <n v="191868"/>
    <n v="0.52500000000000002"/>
    <n v="0.59199999999999997"/>
    <n v="82"/>
    <x v="1"/>
    <n v="7"/>
    <n v="204093"/>
    <n v="4.8899999999999999E-2"/>
  </r>
  <r>
    <n v="0.622"/>
    <n v="130001"/>
    <n v="0.84699999999999998"/>
    <n v="0.22"/>
    <n v="82"/>
    <x v="0"/>
    <n v="1"/>
    <n v="125040"/>
    <n v="0.11899999999999999"/>
  </r>
  <r>
    <n v="0.55200000000000005"/>
    <n v="119476"/>
    <n v="0.76500000000000001"/>
    <n v="0.49199999999999999"/>
    <n v="82"/>
    <x v="0"/>
    <n v="1"/>
    <n v="194787"/>
    <n v="0.17499999999999999"/>
  </r>
  <r>
    <n v="0.66800000000000004"/>
    <n v="87973"/>
    <n v="0.57299999999999995"/>
    <n v="0.14499999999999999"/>
    <n v="82"/>
    <x v="0"/>
    <n v="7"/>
    <n v="199920"/>
    <n v="0.189"/>
  </r>
  <r>
    <n v="0.754"/>
    <n v="149789"/>
    <n v="0.752"/>
    <n v="0.755"/>
    <n v="82"/>
    <x v="1"/>
    <n v="1"/>
    <n v="206880"/>
    <n v="1.5100000000000001E-2"/>
  </r>
  <r>
    <n v="0.41699999999999998"/>
    <n v="138178"/>
    <n v="0.20899999999999999"/>
    <n v="0.124"/>
    <n v="82"/>
    <x v="1"/>
    <n v="3"/>
    <n v="295533"/>
    <n v="0.16400000000000001"/>
  </r>
  <r>
    <n v="0.60299999999999998"/>
    <n v="97994"/>
    <n v="0.71199999999999997"/>
    <n v="0.67"/>
    <n v="82"/>
    <x v="1"/>
    <n v="8"/>
    <n v="265493"/>
    <n v="0.186"/>
  </r>
  <r>
    <n v="0.32700000000000001"/>
    <s v="91.05"/>
    <n v="0.77500000000000002"/>
    <n v="0.59499999999999997"/>
    <n v="82"/>
    <x v="1"/>
    <n v="11"/>
    <n v="189486"/>
    <n v="0.84099999999999997"/>
  </r>
  <r>
    <n v="0.86199999999999999"/>
    <n v="95051"/>
    <n v="0.71199999999999997"/>
    <n v="0.80900000000000005"/>
    <n v="82"/>
    <x v="0"/>
    <n v="5"/>
    <n v="206200"/>
    <n v="5.2499999999999998E-2"/>
  </r>
  <r>
    <n v="0.87"/>
    <n v="100804"/>
    <n v="0.54300000000000004"/>
    <n v="0.754"/>
    <n v="82"/>
    <x v="1"/>
    <n v="9"/>
    <n v="230400"/>
    <n v="0.35799999999999998"/>
  </r>
  <r>
    <n v="0.82299999999999995"/>
    <n v="128035"/>
    <n v="0.64600000000000002"/>
    <n v="0.41799999999999998"/>
    <n v="82"/>
    <x v="0"/>
    <n v="2"/>
    <n v="227267"/>
    <n v="0.21299999999999999"/>
  </r>
  <r>
    <n v="0.80700000000000005"/>
    <n v="114742"/>
    <n v="0.72899999999999998"/>
    <n v="0.76500000000000001"/>
    <n v="82"/>
    <x v="1"/>
    <n v="6"/>
    <n v="179120"/>
    <n v="0.18099999999999999"/>
  </r>
  <r>
    <n v="0.96299999999999997"/>
    <n v="129992"/>
    <n v="0.58099999999999996"/>
    <n v="0.78800000000000003"/>
    <n v="82"/>
    <x v="1"/>
    <n v="11"/>
    <n v="204160"/>
    <n v="2.9499999999999998E-2"/>
  </r>
  <r>
    <n v="0.83499999999999996"/>
    <n v="125983"/>
    <n v="0.52700000000000002"/>
    <n v="0.65400000000000003"/>
    <n v="82"/>
    <x v="1"/>
    <n v="6"/>
    <n v="176658"/>
    <n v="1.66E-2"/>
  </r>
  <r>
    <n v="0.80200000000000005"/>
    <n v="124022"/>
    <n v="0.72099999999999997"/>
    <n v="0.72399999999999998"/>
    <n v="82"/>
    <x v="1"/>
    <n v="1"/>
    <n v="229360"/>
    <n v="9.2100000000000001E-2"/>
  </r>
  <r>
    <n v="0.55600000000000005"/>
    <n v="138978"/>
    <n v="0.53100000000000003"/>
    <n v="0.156"/>
    <n v="82"/>
    <x v="1"/>
    <n v="5"/>
    <n v="132160"/>
    <n v="0.40699999999999997"/>
  </r>
  <r>
    <n v="0.71699999999999997"/>
    <n v="88969"/>
    <n v="0.59499999999999997"/>
    <n v="0.54700000000000004"/>
    <n v="82"/>
    <x v="1"/>
    <n v="0"/>
    <n v="215907"/>
    <n v="7.7899999999999997E-2"/>
  </r>
  <r>
    <n v="0.64600000000000002"/>
    <n v="176088"/>
    <n v="0.75600000000000001"/>
    <n v="0.42899999999999999"/>
    <n v="82"/>
    <x v="1"/>
    <n v="7"/>
    <n v="242573"/>
    <n v="0.152"/>
  </r>
  <r>
    <n v="0.70099999999999996"/>
    <s v="175.95"/>
    <n v="0.73"/>
    <n v="0.78500000000000003"/>
    <n v="82"/>
    <x v="0"/>
    <n v="5"/>
    <n v="207307"/>
    <n v="0.13200000000000001"/>
  </r>
  <r>
    <n v="0.73699999999999999"/>
    <n v="91986"/>
    <n v="0.70799999999999996"/>
    <n v="0.60699999999999998"/>
    <n v="82"/>
    <x v="1"/>
    <n v="1"/>
    <n v="197920"/>
    <n v="7.3899999999999993E-2"/>
  </r>
  <r>
    <n v="0.621"/>
    <n v="119043"/>
    <n v="0.45500000000000002"/>
    <n v="0.28000000000000003"/>
    <n v="82"/>
    <x v="0"/>
    <n v="0"/>
    <n v="251250"/>
    <n v="0.65100000000000002"/>
  </r>
  <r>
    <n v="0.64200000000000002"/>
    <n v="83389"/>
    <n v="0.46300000000000002"/>
    <n v="0.33900000000000002"/>
    <n v="82"/>
    <x v="1"/>
    <n v="1"/>
    <n v="189893"/>
    <n v="0.314"/>
  </r>
  <r>
    <n v="0.64200000000000002"/>
    <n v="83389"/>
    <n v="0.46300000000000002"/>
    <n v="0.33900000000000002"/>
    <n v="82"/>
    <x v="1"/>
    <n v="1"/>
    <n v="189893"/>
    <n v="0.314"/>
  </r>
  <r>
    <n v="0.91"/>
    <n v="112966"/>
    <n v="0.67"/>
    <n v="0.78600000000000003"/>
    <n v="81"/>
    <x v="0"/>
    <n v="0"/>
    <n v="157280"/>
    <n v="9.3899999999999997E-2"/>
  </r>
  <r>
    <n v="0.64600000000000002"/>
    <n v="115842"/>
    <n v="0.64500000000000002"/>
    <n v="0.29499999999999998"/>
    <n v="81"/>
    <x v="1"/>
    <n v="5"/>
    <n v="228639"/>
    <n v="6.1499999999999999E-2"/>
  </r>
  <r>
    <n v="0.50800000000000001"/>
    <n v="147125"/>
    <n v="0.57899999999999996"/>
    <n v="0.60899999999999999"/>
    <n v="81"/>
    <x v="1"/>
    <n v="2"/>
    <n v="391376"/>
    <n v="5.7400000000000003E-3"/>
  </r>
  <r>
    <n v="0.76700000000000002"/>
    <n v="96483"/>
    <n v="0.59199999999999997"/>
    <n v="0.32800000000000001"/>
    <n v="81"/>
    <x v="0"/>
    <n v="9"/>
    <n v="329733"/>
    <n v="2.0999999999999999E-3"/>
  </r>
  <r>
    <n v="0.79500000000000004"/>
    <n v="158691"/>
    <n v="0.46400000000000002"/>
    <n v="0.61199999999999999"/>
    <n v="81"/>
    <x v="1"/>
    <n v="1"/>
    <n v="202267"/>
    <n v="4.9299999999999997E-2"/>
  </r>
  <r>
    <n v="0.88100000000000001"/>
    <n v="158066"/>
    <n v="0.41299999999999998"/>
    <n v="0.36399999999999999"/>
    <n v="81"/>
    <x v="0"/>
    <n v="11"/>
    <n v="250547"/>
    <n v="5.9899999999999999E-5"/>
  </r>
  <r>
    <n v="0.76700000000000002"/>
    <n v="127361"/>
    <n v="0.53200000000000003"/>
    <n v="0.755"/>
    <n v="81"/>
    <x v="1"/>
    <n v="7"/>
    <n v="210173"/>
    <n v="2.8700000000000002E-3"/>
  </r>
  <r>
    <n v="0.66300000000000003"/>
    <n v="143082"/>
    <n v="0.76"/>
    <n v="0.20899999999999999"/>
    <n v="81"/>
    <x v="0"/>
    <n v="9"/>
    <n v="148053"/>
    <n v="0.109"/>
  </r>
  <r>
    <n v="0.76400000000000001"/>
    <n v="140113"/>
    <n v="0.88200000000000001"/>
    <n v="0.88600000000000001"/>
    <n v="81"/>
    <x v="1"/>
    <n v="11"/>
    <n v="140733"/>
    <n v="0.35899999999999999"/>
  </r>
  <r>
    <n v="0.434"/>
    <n v="150062"/>
    <n v="0.83299999999999996"/>
    <n v="0.28100000000000003"/>
    <n v="81"/>
    <x v="1"/>
    <n v="2"/>
    <n v="204600"/>
    <n v="1.0200000000000001E-2"/>
  </r>
  <r>
    <n v="0.434"/>
    <n v="150062"/>
    <n v="0.83299999999999996"/>
    <n v="0.28100000000000003"/>
    <n v="81"/>
    <x v="1"/>
    <n v="2"/>
    <n v="204600"/>
    <n v="1.0200000000000001E-2"/>
  </r>
  <r>
    <n v="0.73"/>
    <n v="155008"/>
    <n v="0.83399999999999996"/>
    <n v="0.44600000000000001"/>
    <n v="81"/>
    <x v="1"/>
    <n v="8"/>
    <n v="312820"/>
    <n v="5.13E-3"/>
  </r>
  <r>
    <n v="0.442"/>
    <n v="100021"/>
    <n v="0.77600000000000002"/>
    <n v="0.83799999999999997"/>
    <n v="81"/>
    <x v="0"/>
    <n v="6"/>
    <n v="136944"/>
    <n v="0.31900000000000001"/>
  </r>
  <r>
    <n v="0.83399999999999996"/>
    <n v="139995"/>
    <n v="0.78300000000000003"/>
    <n v="0.92"/>
    <n v="81"/>
    <x v="0"/>
    <n v="3"/>
    <n v="160714"/>
    <n v="0.53900000000000003"/>
  </r>
  <r>
    <n v="0.79500000000000004"/>
    <n v="79028"/>
    <n v="0.80100000000000005"/>
    <n v="0.754"/>
    <n v="81"/>
    <x v="0"/>
    <n v="1"/>
    <n v="163253"/>
    <n v="4.1700000000000001E-2"/>
  </r>
  <r>
    <n v="0.44400000000000001"/>
    <n v="118402"/>
    <n v="0.60899999999999999"/>
    <n v="0.16600000000000001"/>
    <n v="81"/>
    <x v="1"/>
    <n v="7"/>
    <n v="228707"/>
    <n v="0.60299999999999998"/>
  </r>
  <r>
    <n v="0.85599999999999998"/>
    <n v="127949"/>
    <n v="0.59599999999999997"/>
    <n v="0.74299999999999999"/>
    <n v="81"/>
    <x v="0"/>
    <n v="4"/>
    <n v="222533"/>
    <n v="2.1100000000000001E-2"/>
  </r>
  <r>
    <n v="0.60399999999999998"/>
    <s v="159.92"/>
    <n v="0.56100000000000005"/>
    <n v="0.24199999999999999"/>
    <n v="81"/>
    <x v="1"/>
    <n v="9"/>
    <n v="210689"/>
    <n v="0.19900000000000001"/>
  </r>
  <r>
    <n v="0.73299999999999998"/>
    <s v="172.09"/>
    <n v="0.625"/>
    <n v="0.24399999999999999"/>
    <n v="81"/>
    <x v="1"/>
    <n v="2"/>
    <n v="270698"/>
    <n v="5.9800000000000001E-3"/>
  </r>
  <r>
    <n v="0.76100000000000001"/>
    <n v="129963"/>
    <n v="0.63400000000000001"/>
    <n v="0.78500000000000003"/>
    <n v="81"/>
    <x v="1"/>
    <n v="5"/>
    <n v="168454"/>
    <n v="5.3699999999999998E-3"/>
  </r>
  <r>
    <n v="0.53700000000000003"/>
    <n v="128009"/>
    <n v="0.92100000000000004"/>
    <n v="0.71099999999999997"/>
    <n v="81"/>
    <x v="0"/>
    <n v="9"/>
    <n v="135090"/>
    <n v="0.55600000000000005"/>
  </r>
  <r>
    <n v="0.745"/>
    <n v="165995"/>
    <n v="0.80800000000000005"/>
    <n v="0.82899999999999996"/>
    <n v="81"/>
    <x v="0"/>
    <n v="10"/>
    <n v="210800"/>
    <n v="0.14499999999999999"/>
  </r>
  <r>
    <n v="0.74099999999999999"/>
    <n v="120064"/>
    <n v="0.77100000000000002"/>
    <n v="0.19"/>
    <n v="81"/>
    <x v="0"/>
    <n v="5"/>
    <n v="152250"/>
    <n v="2.4500000000000001E-2"/>
  </r>
  <r>
    <n v="0.95"/>
    <n v="150019"/>
    <n v="0.67300000000000004"/>
    <n v="0.56299999999999994"/>
    <n v="81"/>
    <x v="1"/>
    <n v="11"/>
    <n v="140000"/>
    <n v="2.29E-2"/>
  </r>
  <r>
    <n v="0.62"/>
    <n v="120042"/>
    <n v="0.85699999999999998"/>
    <n v="0.79600000000000004"/>
    <n v="81"/>
    <x v="1"/>
    <n v="0"/>
    <n v="133805"/>
    <n v="0.64600000000000002"/>
  </r>
  <r>
    <n v="0.88700000000000001"/>
    <n v="127003"/>
    <n v="0.93600000000000005"/>
    <n v="0.88900000000000001"/>
    <n v="81"/>
    <x v="0"/>
    <n v="9"/>
    <n v="227239"/>
    <n v="2.92E-2"/>
  </r>
  <r>
    <n v="0.64600000000000002"/>
    <n v="115842"/>
    <n v="0.64500000000000002"/>
    <n v="0.29499999999999998"/>
    <n v="81"/>
    <x v="1"/>
    <n v="5"/>
    <n v="228639"/>
    <n v="6.1499999999999999E-2"/>
  </r>
  <r>
    <n v="0.58599999999999997"/>
    <n v="116971"/>
    <n v="0.89600000000000002"/>
    <n v="0.64200000000000002"/>
    <n v="81"/>
    <x v="0"/>
    <n v="10"/>
    <n v="196653"/>
    <n v="0.104"/>
  </r>
  <r>
    <n v="0.55800000000000005"/>
    <n v="104983"/>
    <n v="0.94299999999999995"/>
    <n v="0.60599999999999998"/>
    <n v="81"/>
    <x v="1"/>
    <n v="2"/>
    <n v="138411"/>
    <n v="2.5999999999999999E-3"/>
  </r>
  <r>
    <n v="0.75"/>
    <n v="155096"/>
    <n v="0.73199999999999998"/>
    <n v="0.40100000000000002"/>
    <n v="81"/>
    <x v="0"/>
    <n v="11"/>
    <n v="182707"/>
    <n v="2.64E-3"/>
  </r>
  <r>
    <n v="0.76400000000000001"/>
    <n v="140113"/>
    <n v="0.88200000000000001"/>
    <n v="0.88600000000000001"/>
    <n v="81"/>
    <x v="1"/>
    <n v="11"/>
    <n v="140733"/>
    <n v="0.35899999999999999"/>
  </r>
  <r>
    <n v="0.63200000000000001"/>
    <n v="121031"/>
    <n v="0.76200000000000001"/>
    <n v="0.28199999999999997"/>
    <n v="81"/>
    <x v="0"/>
    <n v="6"/>
    <n v="149067"/>
    <n v="0.51"/>
  </r>
  <r>
    <n v="0.77500000000000002"/>
    <n v="93431"/>
    <n v="0.81599999999999995"/>
    <n v="0.52700000000000002"/>
    <n v="81"/>
    <x v="1"/>
    <n v="11"/>
    <n v="270587"/>
    <n v="0.16"/>
  </r>
  <r>
    <n v="0.76700000000000002"/>
    <n v="127361"/>
    <n v="0.53200000000000003"/>
    <n v="0.755"/>
    <n v="81"/>
    <x v="1"/>
    <n v="7"/>
    <n v="210173"/>
    <n v="2.8700000000000002E-3"/>
  </r>
  <r>
    <n v="0.95899999999999996"/>
    <n v="122805"/>
    <n v="0.54100000000000004"/>
    <n v="0.81200000000000006"/>
    <n v="81"/>
    <x v="0"/>
    <n v="0"/>
    <n v="222707"/>
    <n v="6.6299999999999998E-2"/>
  </r>
  <r>
    <n v="0.52400000000000002"/>
    <s v="83.97"/>
    <n v="0.65300000000000002"/>
    <n v="0.55300000000000005"/>
    <n v="81"/>
    <x v="0"/>
    <n v="11"/>
    <n v="160191"/>
    <n v="0.112"/>
  </r>
  <r>
    <n v="0.73"/>
    <n v="155008"/>
    <n v="0.83399999999999996"/>
    <n v="0.44600000000000001"/>
    <n v="81"/>
    <x v="1"/>
    <n v="8"/>
    <n v="312820"/>
    <n v="5.13E-3"/>
  </r>
  <r>
    <n v="0.76400000000000001"/>
    <n v="140113"/>
    <n v="0.88200000000000001"/>
    <n v="0.88600000000000001"/>
    <n v="81"/>
    <x v="1"/>
    <n v="11"/>
    <n v="140733"/>
    <n v="0.35899999999999999"/>
  </r>
  <r>
    <n v="0.57399999999999995"/>
    <n v="111881"/>
    <n v="0.45900000000000002"/>
    <n v="0.183"/>
    <n v="81"/>
    <x v="1"/>
    <n v="3"/>
    <n v="215107"/>
    <n v="0.60799999999999998"/>
  </r>
  <r>
    <n v="0.64800000000000002"/>
    <n v="96888"/>
    <n v="0.63300000000000001"/>
    <n v="0.49"/>
    <n v="81"/>
    <x v="1"/>
    <n v="4"/>
    <n v="200690"/>
    <n v="0.121"/>
  </r>
  <r>
    <n v="0.77600000000000002"/>
    <n v="77987"/>
    <n v="0.58499999999999996"/>
    <n v="0.42699999999999999"/>
    <n v="81"/>
    <x v="1"/>
    <n v="5"/>
    <n v="244507"/>
    <n v="5.7200000000000001E-2"/>
  </r>
  <r>
    <n v="0.58499999999999996"/>
    <n v="139631"/>
    <n v="0.44900000000000001"/>
    <n v="0.21199999999999999"/>
    <n v="81"/>
    <x v="1"/>
    <n v="5"/>
    <n v="278719"/>
    <n v="5.0900000000000001E-2"/>
  </r>
  <r>
    <n v="0.44500000000000001"/>
    <n v="78998"/>
    <n v="0.78100000000000003"/>
    <n v="0.59099999999999997"/>
    <n v="81"/>
    <x v="1"/>
    <n v="2"/>
    <n v="281560"/>
    <n v="0.47399999999999998"/>
  </r>
  <r>
    <n v="0.86099999999999999"/>
    <n v="119963"/>
    <n v="0.66300000000000003"/>
    <n v="0.65400000000000003"/>
    <n v="81"/>
    <x v="0"/>
    <n v="7"/>
    <n v="220800"/>
    <n v="3.3799999999999997E-2"/>
  </r>
  <r>
    <n v="0.69899999999999995"/>
    <s v="92.96"/>
    <n v="0.75900000000000001"/>
    <n v="0.90700000000000003"/>
    <n v="81"/>
    <x v="0"/>
    <n v="0"/>
    <n v="211067"/>
    <n v="0.20200000000000001"/>
  </r>
  <r>
    <n v="0.80600000000000005"/>
    <n v="94948"/>
    <n v="0.84299999999999997"/>
    <n v="0.61299999999999999"/>
    <n v="81"/>
    <x v="0"/>
    <n v="4"/>
    <n v="270507"/>
    <n v="0.14299999999999999"/>
  </r>
  <r>
    <n v="0.80600000000000005"/>
    <n v="119001"/>
    <n v="0.85099999999999998"/>
    <n v="0.77400000000000002"/>
    <n v="81"/>
    <x v="1"/>
    <n v="4"/>
    <n v="237200"/>
    <n v="0.11899999999999999"/>
  </r>
  <r>
    <n v="0.85599999999999998"/>
    <n v="127949"/>
    <n v="0.59599999999999997"/>
    <n v="0.74299999999999999"/>
    <n v="81"/>
    <x v="0"/>
    <n v="4"/>
    <n v="222533"/>
    <n v="2.1100000000000001E-2"/>
  </r>
  <r>
    <n v="0.82399999999999995"/>
    <n v="118818"/>
    <n v="0.70899999999999996"/>
    <n v="0.86699999999999999"/>
    <n v="81"/>
    <x v="1"/>
    <n v="1"/>
    <n v="291293"/>
    <n v="0.20699999999999999"/>
  </r>
  <r>
    <n v="0.76700000000000002"/>
    <n v="96483"/>
    <n v="0.59199999999999997"/>
    <n v="0.32800000000000001"/>
    <n v="81"/>
    <x v="0"/>
    <n v="9"/>
    <n v="329733"/>
    <n v="2.0999999999999999E-3"/>
  </r>
  <r>
    <n v="0.79500000000000004"/>
    <n v="123229"/>
    <n v="0.45800000000000002"/>
    <n v="0.51300000000000001"/>
    <n v="81"/>
    <x v="1"/>
    <n v="0"/>
    <n v="255373"/>
    <n v="3.16E-3"/>
  </r>
  <r>
    <n v="0.93500000000000005"/>
    <n v="120092"/>
    <n v="0.627"/>
    <n v="0.28699999999999998"/>
    <n v="81"/>
    <x v="1"/>
    <n v="5"/>
    <n v="205227"/>
    <n v="9.1999999999999998E-3"/>
  </r>
  <r>
    <n v="0.88100000000000001"/>
    <n v="158066"/>
    <n v="0.41299999999999998"/>
    <n v="0.36399999999999999"/>
    <n v="81"/>
    <x v="0"/>
    <n v="11"/>
    <n v="250547"/>
    <n v="5.9899999999999999E-5"/>
  </r>
  <r>
    <n v="0.93799999999999994"/>
    <n v="91455"/>
    <n v="0.61799999999999999"/>
    <n v="0.875"/>
    <n v="81"/>
    <x v="1"/>
    <n v="9"/>
    <n v="269000"/>
    <n v="1.7899999999999999E-2"/>
  </r>
  <r>
    <n v="0.77600000000000002"/>
    <n v="77987"/>
    <n v="0.58499999999999996"/>
    <n v="0.42699999999999999"/>
    <n v="81"/>
    <x v="1"/>
    <n v="5"/>
    <n v="244507"/>
    <n v="5.7200000000000001E-2"/>
  </r>
  <r>
    <n v="0.89700000000000002"/>
    <n v="148708"/>
    <n v="0.434"/>
    <n v="0.68500000000000005"/>
    <n v="81"/>
    <x v="1"/>
    <n v="0"/>
    <n v="167067"/>
    <n v="1.03E-2"/>
  </r>
  <r>
    <n v="0.85899999999999999"/>
    <n v="65043"/>
    <n v="0.72799999999999998"/>
    <n v="0.53500000000000003"/>
    <n v="81"/>
    <x v="0"/>
    <n v="5"/>
    <n v="214240"/>
    <n v="4.0099999999999997E-2"/>
  </r>
  <r>
    <n v="0.85599999999999998"/>
    <n v="127949"/>
    <n v="0.59599999999999997"/>
    <n v="0.74299999999999999"/>
    <n v="81"/>
    <x v="0"/>
    <n v="4"/>
    <n v="222533"/>
    <n v="2.1100000000000001E-2"/>
  </r>
  <r>
    <n v="0.79500000000000004"/>
    <n v="94969"/>
    <n v="0.84499999999999997"/>
    <n v="0.68100000000000005"/>
    <n v="81"/>
    <x v="0"/>
    <n v="9"/>
    <n v="197053"/>
    <n v="0.34300000000000003"/>
  </r>
  <r>
    <n v="0.71199999999999997"/>
    <n v="92005"/>
    <n v="0.91100000000000003"/>
    <n v="0.42499999999999999"/>
    <n v="81"/>
    <x v="0"/>
    <n v="1"/>
    <n v="178567"/>
    <n v="9.01E-2"/>
  </r>
  <r>
    <n v="0.56999999999999995"/>
    <n v="129953"/>
    <n v="0.73399999999999999"/>
    <n v="0.68899999999999995"/>
    <n v="81"/>
    <x v="0"/>
    <n v="7"/>
    <n v="95467"/>
    <n v="0.84699999999999998"/>
  </r>
  <r>
    <n v="0.66400000000000003"/>
    <n v="129071"/>
    <n v="0.57499999999999996"/>
    <n v="0.437"/>
    <n v="81"/>
    <x v="0"/>
    <n v="4"/>
    <n v="241688"/>
    <n v="0.63700000000000001"/>
  </r>
  <r>
    <n v="0.129"/>
    <s v="137.35"/>
    <n v="0.48299999999999998"/>
    <n v="0.20300000000000001"/>
    <n v="81"/>
    <x v="0"/>
    <n v="5"/>
    <n v="161929"/>
    <n v="0.94699999999999995"/>
  </r>
  <r>
    <n v="0.75"/>
    <n v="155096"/>
    <n v="0.73199999999999998"/>
    <n v="0.40100000000000002"/>
    <n v="81"/>
    <x v="0"/>
    <n v="11"/>
    <n v="182707"/>
    <n v="2.64E-3"/>
  </r>
  <r>
    <n v="0.94299999999999995"/>
    <n v="85064"/>
    <n v="0.442"/>
    <n v="0.78100000000000003"/>
    <n v="80"/>
    <x v="1"/>
    <n v="3"/>
    <n v="181533"/>
    <n v="2.9299999999999999E-3"/>
  </r>
  <r>
    <n v="0.83599999999999997"/>
    <n v="113375"/>
    <n v="0.74299999999999999"/>
    <n v="0.82"/>
    <n v="80"/>
    <x v="1"/>
    <n v="2"/>
    <n v="188987"/>
    <n v="8.0399999999999999E-2"/>
  </r>
  <r>
    <n v="0.67300000000000004"/>
    <n v="165921"/>
    <n v="0.52900000000000003"/>
    <n v="0.36599999999999999"/>
    <n v="80"/>
    <x v="1"/>
    <n v="0"/>
    <n v="218365"/>
    <n v="3.0699999999999998E-4"/>
  </r>
  <r>
    <n v="0.73299999999999998"/>
    <n v="130029"/>
    <n v="0.84699999999999998"/>
    <n v="0.20200000000000001"/>
    <n v="80"/>
    <x v="0"/>
    <n v="10"/>
    <n v="193591"/>
    <n v="5.7400000000000003E-3"/>
  </r>
  <r>
    <n v="0.48599999999999999"/>
    <n v="110964"/>
    <n v="0.78400000000000003"/>
    <n v="8.9399999999999993E-2"/>
    <n v="80"/>
    <x v="0"/>
    <n v="5"/>
    <n v="265996"/>
    <n v="5.3800000000000001E-2"/>
  </r>
  <r>
    <n v="0.46400000000000002"/>
    <n v="79503"/>
    <n v="0.373"/>
    <n v="0.30099999999999999"/>
    <n v="80"/>
    <x v="0"/>
    <n v="4"/>
    <n v="237908"/>
    <n v="0.86"/>
  </r>
  <r>
    <n v="0.63100000000000001"/>
    <s v="111.93"/>
    <n v="0.70599999999999996"/>
    <n v="0.28899999999999998"/>
    <n v="80"/>
    <x v="0"/>
    <n v="0"/>
    <n v="171429"/>
    <n v="0.65600000000000003"/>
  </r>
  <r>
    <n v="0.50900000000000001"/>
    <n v="119945"/>
    <n v="0.57799999999999996"/>
    <n v="0.58599999999999997"/>
    <n v="80"/>
    <x v="1"/>
    <n v="2"/>
    <n v="74379"/>
    <n v="0.13"/>
  </r>
  <r>
    <n v="0.58599999999999997"/>
    <n v="78259"/>
    <n v="0.434"/>
    <n v="0.23899999999999999"/>
    <n v="80"/>
    <x v="1"/>
    <n v="9"/>
    <n v="239613"/>
    <n v="0.753"/>
  </r>
  <r>
    <n v="0.68400000000000005"/>
    <n v="112912"/>
    <n v="0.69199999999999995"/>
    <n v="0.40600000000000003"/>
    <n v="80"/>
    <x v="1"/>
    <n v="6"/>
    <n v="231253"/>
    <n v="0.13100000000000001"/>
  </r>
  <r>
    <n v="0.307"/>
    <n v="92995"/>
    <n v="0.81"/>
    <n v="0.69699999999999995"/>
    <n v="80"/>
    <x v="1"/>
    <n v="9"/>
    <n v="82509"/>
    <n v="0.16"/>
  </r>
  <r>
    <n v="0.751"/>
    <n v="117948"/>
    <n v="0.88"/>
    <n v="0.88400000000000001"/>
    <n v="80"/>
    <x v="0"/>
    <n v="7"/>
    <n v="157606"/>
    <n v="0.17699999999999999"/>
  </r>
  <r>
    <n v="0.68500000000000005"/>
    <s v="118.02"/>
    <n v="0.78200000000000003"/>
    <n v="0.60299999999999998"/>
    <n v="80"/>
    <x v="1"/>
    <n v="4"/>
    <n v="180566"/>
    <n v="0.16600000000000001"/>
  </r>
  <r>
    <n v="0.627"/>
    <n v="179642"/>
    <n v="0.46800000000000003"/>
    <n v="0.159"/>
    <n v="80"/>
    <x v="1"/>
    <n v="6"/>
    <n v="212107"/>
    <n v="2.81E-2"/>
  </r>
  <r>
    <n v="0.77"/>
    <n v="125905"/>
    <n v="0.69399999999999995"/>
    <n v="0.16300000000000001"/>
    <n v="80"/>
    <x v="1"/>
    <n v="6"/>
    <n v="184560"/>
    <n v="0.17599999999999999"/>
  </r>
  <r>
    <n v="0.78700000000000003"/>
    <n v="126062"/>
    <n v="0.60399999999999998"/>
    <n v="0.30099999999999999"/>
    <n v="80"/>
    <x v="0"/>
    <n v="0"/>
    <n v="245040"/>
    <n v="6.7900000000000002E-2"/>
  </r>
  <r>
    <n v="0.86899999999999999"/>
    <n v="159805"/>
    <n v="0.53300000000000003"/>
    <n v="0.42499999999999999"/>
    <n v="80"/>
    <x v="1"/>
    <n v="11"/>
    <n v="208373"/>
    <n v="0.156"/>
  </r>
  <r>
    <n v="0.51200000000000001"/>
    <n v="80511"/>
    <n v="0.82899999999999996"/>
    <n v="0.63800000000000001"/>
    <n v="80"/>
    <x v="0"/>
    <n v="6"/>
    <n v="123987"/>
    <n v="0.49199999999999999"/>
  </r>
  <r>
    <n v="0.71599999999999997"/>
    <n v="91007"/>
    <n v="0.70099999999999996"/>
    <n v="0.73199999999999998"/>
    <n v="80"/>
    <x v="0"/>
    <n v="7"/>
    <n v="140533"/>
    <n v="0.17399999999999999"/>
  </r>
  <r>
    <n v="0.77300000000000002"/>
    <n v="129923"/>
    <n v="0.68100000000000005"/>
    <n v="0.504"/>
    <n v="80"/>
    <x v="1"/>
    <n v="1"/>
    <n v="107077"/>
    <n v="8.6300000000000002E-2"/>
  </r>
  <r>
    <n v="0.67300000000000004"/>
    <n v="165921"/>
    <n v="0.52900000000000003"/>
    <n v="0.36599999999999999"/>
    <n v="80"/>
    <x v="1"/>
    <n v="0"/>
    <n v="218365"/>
    <n v="3.0699999999999998E-4"/>
  </r>
  <r>
    <n v="0.82199999999999995"/>
    <n v="157013"/>
    <n v="0.85299999999999998"/>
    <n v="0.746"/>
    <n v="80"/>
    <x v="0"/>
    <n v="6"/>
    <n v="168136"/>
    <n v="8.4099999999999994E-2"/>
  </r>
  <r>
    <n v="0.98199999999999998"/>
    <n v="143772"/>
    <n v="0.35399999999999998"/>
    <n v="0.19400000000000001"/>
    <n v="80"/>
    <x v="0"/>
    <n v="4"/>
    <n v="252613"/>
    <n v="2.3699999999999999E-4"/>
  </r>
  <r>
    <n v="0.83399999999999996"/>
    <s v="139.13"/>
    <n v="0.50900000000000001"/>
    <n v="0.77400000000000002"/>
    <n v="80"/>
    <x v="1"/>
    <n v="2"/>
    <n v="216053"/>
    <n v="1.83E-2"/>
  </r>
  <r>
    <n v="0.83599999999999997"/>
    <n v="113375"/>
    <n v="0.74299999999999999"/>
    <n v="0.82"/>
    <n v="80"/>
    <x v="1"/>
    <n v="2"/>
    <n v="188987"/>
    <n v="8.0399999999999999E-2"/>
  </r>
  <r>
    <n v="0.42399999999999999"/>
    <n v="119705"/>
    <n v="0.754"/>
    <n v="0.80600000000000005"/>
    <n v="80"/>
    <x v="1"/>
    <n v="2"/>
    <n v="130973"/>
    <n v="0.64300000000000002"/>
  </r>
  <r>
    <n v="0.68600000000000005"/>
    <n v="79928"/>
    <n v="0.64700000000000002"/>
    <n v="0.26800000000000002"/>
    <n v="80"/>
    <x v="0"/>
    <n v="3"/>
    <n v="258299"/>
    <n v="0.08"/>
  </r>
  <r>
    <n v="0.78200000000000003"/>
    <n v="128033"/>
    <n v="0.621"/>
    <n v="0.55000000000000004"/>
    <n v="80"/>
    <x v="1"/>
    <n v="2"/>
    <n v="198938"/>
    <n v="1.2500000000000001E-2"/>
  </r>
  <r>
    <n v="0.42099999999999999"/>
    <n v="98224"/>
    <n v="0.53700000000000003"/>
    <n v="0.52400000000000002"/>
    <n v="80"/>
    <x v="1"/>
    <n v="5"/>
    <n v="184061"/>
    <n v="0.82699999999999996"/>
  </r>
  <r>
    <n v="0.71599999999999997"/>
    <n v="91007"/>
    <n v="0.70099999999999996"/>
    <n v="0.73199999999999998"/>
    <n v="80"/>
    <x v="0"/>
    <n v="7"/>
    <n v="140533"/>
    <n v="0.17399999999999999"/>
  </r>
  <r>
    <n v="0.63800000000000001"/>
    <n v="79064"/>
    <n v="0.48099999999999998"/>
    <n v="0.497"/>
    <n v="80"/>
    <x v="1"/>
    <n v="0"/>
    <n v="259933"/>
    <n v="0.153"/>
  </r>
  <r>
    <n v="0.84499999999999997"/>
    <n v="110056"/>
    <n v="0.67100000000000004"/>
    <n v="0.77500000000000002"/>
    <n v="80"/>
    <x v="0"/>
    <n v="11"/>
    <n v="176579"/>
    <n v="2.07E-2"/>
  </r>
  <r>
    <n v="0.66300000000000003"/>
    <s v="102.0"/>
    <n v="0.65100000000000002"/>
    <n v="0.46500000000000002"/>
    <n v="80"/>
    <x v="0"/>
    <n v="0"/>
    <n v="259453"/>
    <n v="0.22800000000000001"/>
  </r>
  <r>
    <n v="0.86899999999999999"/>
    <n v="159805"/>
    <n v="0.53300000000000003"/>
    <n v="0.42499999999999999"/>
    <n v="80"/>
    <x v="1"/>
    <n v="11"/>
    <n v="208373"/>
    <n v="0.156"/>
  </r>
  <r>
    <n v="0.84399999999999997"/>
    <n v="113324"/>
    <n v="0.78800000000000003"/>
    <n v="0.38200000000000001"/>
    <n v="80"/>
    <x v="1"/>
    <n v="2"/>
    <n v="251240"/>
    <n v="0.25"/>
  </r>
  <r>
    <n v="0.80300000000000005"/>
    <s v="106.97"/>
    <n v="0.81799999999999995"/>
    <n v="0.63200000000000001"/>
    <n v="80"/>
    <x v="1"/>
    <n v="1"/>
    <n v="225983"/>
    <n v="3.4000000000000002E-2"/>
  </r>
  <r>
    <n v="0.79900000000000004"/>
    <n v="120372"/>
    <n v="0.71"/>
    <n v="0.72499999999999998"/>
    <n v="80"/>
    <x v="1"/>
    <n v="6"/>
    <n v="238267"/>
    <n v="0.22"/>
  </r>
  <r>
    <n v="0.83399999999999996"/>
    <s v="139.13"/>
    <n v="0.50900000000000001"/>
    <n v="0.77400000000000002"/>
    <n v="80"/>
    <x v="1"/>
    <n v="2"/>
    <n v="216053"/>
    <n v="1.83E-2"/>
  </r>
  <r>
    <n v="0.79500000000000004"/>
    <s v="89.99"/>
    <n v="0.64600000000000002"/>
    <n v="0.79600000000000004"/>
    <n v="80"/>
    <x v="1"/>
    <n v="9"/>
    <n v="210960"/>
    <n v="3.1899999999999998E-2"/>
  </r>
  <r>
    <n v="0.57999999999999996"/>
    <n v="120021"/>
    <n v="0.78200000000000003"/>
    <n v="0.66"/>
    <n v="80"/>
    <x v="1"/>
    <n v="7"/>
    <n v="193400"/>
    <n v="1.14E-2"/>
  </r>
  <r>
    <n v="0.88200000000000001"/>
    <s v="102.04"/>
    <n v="0.74199999999999999"/>
    <n v="0.46300000000000002"/>
    <n v="80"/>
    <x v="1"/>
    <n v="7"/>
    <n v="221176"/>
    <n v="4.6600000000000003E-2"/>
  </r>
  <r>
    <n v="0.78700000000000003"/>
    <n v="126062"/>
    <n v="0.60399999999999998"/>
    <n v="0.30099999999999999"/>
    <n v="80"/>
    <x v="0"/>
    <n v="0"/>
    <n v="245040"/>
    <n v="6.7900000000000002E-2"/>
  </r>
  <r>
    <n v="0.58299999999999996"/>
    <s v="117.0"/>
    <n v="0.96699999999999997"/>
    <n v="0.96399999999999997"/>
    <n v="80"/>
    <x v="0"/>
    <n v="7"/>
    <n v="242733"/>
    <n v="5.8400000000000001E-2"/>
  </r>
  <r>
    <n v="0.76600000000000001"/>
    <n v="127966"/>
    <n v="0.74399999999999999"/>
    <n v="0.61"/>
    <n v="80"/>
    <x v="1"/>
    <n v="0"/>
    <n v="289133"/>
    <n v="8.7300000000000003E-2"/>
  </r>
  <r>
    <n v="0.66300000000000003"/>
    <n v="146053"/>
    <n v="0.63400000000000001"/>
    <n v="0.6"/>
    <n v="80"/>
    <x v="1"/>
    <n v="11"/>
    <n v="177533"/>
    <n v="0.433"/>
  </r>
  <r>
    <n v="0.52900000000000003"/>
    <n v="75515"/>
    <n v="0.55100000000000005"/>
    <n v="0.52100000000000002"/>
    <n v="80"/>
    <x v="0"/>
    <n v="5"/>
    <n v="182307"/>
    <n v="0.29599999999999999"/>
  </r>
  <r>
    <n v="0.71299999999999997"/>
    <n v="74989"/>
    <n v="0.64500000000000002"/>
    <n v="0.56599999999999995"/>
    <n v="80"/>
    <x v="1"/>
    <n v="6"/>
    <n v="214507"/>
    <n v="8.3499999999999998E-3"/>
  </r>
  <r>
    <n v="0.66300000000000003"/>
    <n v="104561"/>
    <n v="0.27700000000000002"/>
    <n v="0.52700000000000002"/>
    <n v="80"/>
    <x v="0"/>
    <n v="4"/>
    <n v="237027"/>
    <n v="4.0900000000000002E-4"/>
  </r>
  <r>
    <n v="0.98199999999999998"/>
    <n v="143772"/>
    <n v="0.35399999999999998"/>
    <n v="0.19400000000000001"/>
    <n v="80"/>
    <x v="0"/>
    <n v="4"/>
    <n v="252613"/>
    <n v="2.3699999999999999E-4"/>
  </r>
  <r>
    <n v="0.84899999999999998"/>
    <n v="162152"/>
    <n v="0.64300000000000002"/>
    <n v="0.90300000000000002"/>
    <n v="80"/>
    <x v="1"/>
    <n v="2"/>
    <n v="165853"/>
    <n v="3.7100000000000001E-2"/>
  </r>
  <r>
    <n v="0.86899999999999999"/>
    <n v="126027"/>
    <n v="0.874"/>
    <n v="0.72599999999999998"/>
    <n v="80"/>
    <x v="0"/>
    <n v="1"/>
    <n v="102861"/>
    <n v="1.16E-3"/>
  </r>
  <r>
    <n v="0.46300000000000002"/>
    <s v="111.98"/>
    <n v="0.80900000000000005"/>
    <n v="0.36399999999999999"/>
    <n v="80"/>
    <x v="1"/>
    <n v="11"/>
    <n v="298941"/>
    <n v="0.25600000000000001"/>
  </r>
  <r>
    <n v="0.32200000000000001"/>
    <n v="148005"/>
    <n v="0.51600000000000001"/>
    <n v="0.26100000000000001"/>
    <n v="80"/>
    <x v="1"/>
    <n v="9"/>
    <n v="182888"/>
    <n v="0.47299999999999998"/>
  </r>
  <r>
    <n v="0.66400000000000003"/>
    <n v="107747"/>
    <n v="0.40400000000000003"/>
    <n v="9.4899999999999998E-2"/>
    <n v="80"/>
    <x v="1"/>
    <n v="1"/>
    <n v="351640"/>
    <n v="0.54200000000000004"/>
  </r>
  <r>
    <n v="0.80600000000000005"/>
    <n v="104032"/>
    <n v="0.60799999999999998"/>
    <n v="0.58699999999999997"/>
    <n v="79"/>
    <x v="1"/>
    <n v="1"/>
    <n v="181821"/>
    <n v="0.121"/>
  </r>
  <r>
    <n v="0.32200000000000001"/>
    <n v="93503"/>
    <n v="0.47499999999999998"/>
    <n v="0.38700000000000001"/>
    <n v="79"/>
    <x v="1"/>
    <n v="7"/>
    <n v="206267"/>
    <n v="0.36699999999999999"/>
  </r>
  <r>
    <n v="0.91700000000000004"/>
    <n v="171176"/>
    <n v="0.35599999999999998"/>
    <n v="0.51800000000000002"/>
    <n v="79"/>
    <x v="1"/>
    <n v="9"/>
    <n v="357267"/>
    <n v="3.3500000000000002E-2"/>
  </r>
  <r>
    <n v="0.48699999999999999"/>
    <n v="114965"/>
    <n v="0.73"/>
    <n v="0.73099999999999998"/>
    <n v="79"/>
    <x v="1"/>
    <n v="4"/>
    <n v="226653"/>
    <n v="0.25800000000000001"/>
  </r>
  <r>
    <n v="0.53200000000000003"/>
    <n v="136576"/>
    <n v="0.60099999999999998"/>
    <n v="0.34200000000000003"/>
    <n v="79"/>
    <x v="1"/>
    <n v="10"/>
    <n v="281613"/>
    <n v="0.433"/>
  </r>
  <r>
    <n v="0.64100000000000001"/>
    <n v="203006"/>
    <n v="0.25600000000000001"/>
    <n v="0.38200000000000001"/>
    <n v="79"/>
    <x v="1"/>
    <n v="1"/>
    <n v="281160"/>
    <n v="0.19900000000000001"/>
  </r>
  <r>
    <n v="0.495"/>
    <n v="124936"/>
    <n v="0.53200000000000003"/>
    <n v="0.308"/>
    <n v="79"/>
    <x v="1"/>
    <n v="10"/>
    <n v="214240"/>
    <n v="0.65900000000000003"/>
  </r>
  <r>
    <n v="0.432"/>
    <n v="94605"/>
    <n v="0.47499999999999998"/>
    <n v="0.64800000000000002"/>
    <n v="79"/>
    <x v="1"/>
    <n v="7"/>
    <n v="153467"/>
    <n v="0.183"/>
  </r>
  <r>
    <n v="0.57399999999999995"/>
    <n v="146007"/>
    <n v="0.69399999999999995"/>
    <n v="0.28599999999999998"/>
    <n v="79"/>
    <x v="0"/>
    <n v="1"/>
    <n v="126356"/>
    <n v="0.193"/>
  </r>
  <r>
    <n v="0.58299999999999996"/>
    <n v="116624"/>
    <n v="0.70899999999999996"/>
    <n v="0.53300000000000003"/>
    <n v="79"/>
    <x v="0"/>
    <n v="5"/>
    <n v="182667"/>
    <n v="0.13800000000000001"/>
  </r>
  <r>
    <n v="0.61099999999999999"/>
    <n v="134093"/>
    <n v="0.71099999999999997"/>
    <n v="0.14399999999999999"/>
    <n v="79"/>
    <x v="1"/>
    <n v="1"/>
    <n v="252262"/>
    <n v="5.8799999999999998E-3"/>
  </r>
  <r>
    <n v="0.58299999999999996"/>
    <n v="116624"/>
    <n v="0.70899999999999996"/>
    <n v="0.53300000000000003"/>
    <n v="79"/>
    <x v="0"/>
    <n v="5"/>
    <n v="182667"/>
    <n v="0.13800000000000001"/>
  </r>
  <r>
    <n v="0.61399999999999999"/>
    <n v="119893"/>
    <n v="0.65800000000000003"/>
    <n v="0.46500000000000002"/>
    <n v="79"/>
    <x v="1"/>
    <n v="10"/>
    <n v="178337"/>
    <n v="0.105"/>
  </r>
  <r>
    <n v="0.70899999999999996"/>
    <n v="194055"/>
    <n v="0.74399999999999999"/>
    <n v="0.71199999999999997"/>
    <n v="79"/>
    <x v="0"/>
    <n v="6"/>
    <n v="130880"/>
    <n v="5.0099999999999999E-2"/>
  </r>
  <r>
    <n v="0.16200000000000001"/>
    <n v="184784"/>
    <n v="0.45900000000000002"/>
    <n v="0.48299999999999998"/>
    <n v="79"/>
    <x v="1"/>
    <n v="0"/>
    <n v="153609"/>
    <n v="0.92900000000000005"/>
  </r>
  <r>
    <n v="0.68200000000000005"/>
    <n v="100036"/>
    <n v="0.75"/>
    <n v="0.61799999999999999"/>
    <n v="79"/>
    <x v="1"/>
    <n v="10"/>
    <n v="165178"/>
    <n v="0.16800000000000001"/>
  </r>
  <r>
    <n v="0.62"/>
    <n v="117038"/>
    <n v="0.74099999999999999"/>
    <n v="0.93400000000000005"/>
    <n v="79"/>
    <x v="1"/>
    <n v="10"/>
    <n v="251424"/>
    <n v="2.9499999999999998E-2"/>
  </r>
  <r>
    <n v="0.50700000000000001"/>
    <n v="86412"/>
    <n v="0.66200000000000003"/>
    <n v="0.67600000000000005"/>
    <n v="79"/>
    <x v="1"/>
    <n v="5"/>
    <n v="223440"/>
    <n v="0.25700000000000001"/>
  </r>
  <r>
    <n v="0.23899999999999999"/>
    <n v="113451"/>
    <n v="0.372"/>
    <n v="0.127"/>
    <n v="79"/>
    <x v="0"/>
    <n v="6"/>
    <n v="102813"/>
    <n v="0.85599999999999998"/>
  </r>
  <r>
    <n v="0.71399999999999997"/>
    <n v="101969"/>
    <n v="0.66400000000000003"/>
    <n v="0.71"/>
    <n v="79"/>
    <x v="0"/>
    <n v="7"/>
    <n v="197933"/>
    <n v="3.5299999999999998E-2"/>
  </r>
  <r>
    <n v="0.85699999999999998"/>
    <n v="128024"/>
    <n v="0.41399999999999998"/>
    <n v="0.34799999999999998"/>
    <n v="79"/>
    <x v="0"/>
    <n v="0"/>
    <n v="212960"/>
    <n v="2.87E-2"/>
  </r>
  <r>
    <n v="0.58299999999999996"/>
    <n v="116624"/>
    <n v="0.70899999999999996"/>
    <n v="0.53300000000000003"/>
    <n v="79"/>
    <x v="0"/>
    <n v="5"/>
    <n v="182667"/>
    <n v="0.13800000000000001"/>
  </r>
  <r>
    <n v="0.79700000000000004"/>
    <n v="122011"/>
    <n v="0.70199999999999996"/>
    <n v="3.56E-2"/>
    <n v="79"/>
    <x v="0"/>
    <n v="10"/>
    <n v="208525"/>
    <n v="0.58299999999999996"/>
  </r>
  <r>
    <n v="0.68100000000000005"/>
    <n v="139057"/>
    <n v="0.91800000000000004"/>
    <n v="0.70599999999999996"/>
    <n v="79"/>
    <x v="1"/>
    <n v="1"/>
    <n v="229133"/>
    <n v="0.26300000000000001"/>
  </r>
  <r>
    <n v="0.753"/>
    <n v="127926"/>
    <n v="0.67100000000000004"/>
    <n v="0.54300000000000004"/>
    <n v="79"/>
    <x v="0"/>
    <n v="4"/>
    <n v="207168"/>
    <n v="1.9E-2"/>
  </r>
  <r>
    <n v="0.76100000000000001"/>
    <n v="146003"/>
    <n v="0.62"/>
    <n v="0.19400000000000001"/>
    <n v="79"/>
    <x v="0"/>
    <n v="10"/>
    <n v="209483"/>
    <n v="0.20699999999999999"/>
  </r>
  <r>
    <n v="0.82799999999999996"/>
    <n v="123257"/>
    <n v="0.57699999999999996"/>
    <n v="0.60399999999999998"/>
    <n v="79"/>
    <x v="0"/>
    <n v="6"/>
    <n v="331267"/>
    <n v="2.1299999999999999E-3"/>
  </r>
  <r>
    <n v="0.72"/>
    <n v="103314"/>
    <n v="0.91600000000000004"/>
    <n v="0.76100000000000001"/>
    <n v="79"/>
    <x v="1"/>
    <n v="0"/>
    <n v="237000"/>
    <n v="0.36"/>
  </r>
  <r>
    <n v="0.71199999999999997"/>
    <n v="113805"/>
    <n v="0.67100000000000004"/>
    <n v="0.46200000000000002"/>
    <n v="79"/>
    <x v="1"/>
    <n v="2"/>
    <n v="248440"/>
    <n v="0.42899999999999999"/>
  </r>
  <r>
    <n v="0.872"/>
    <n v="184115"/>
    <n v="0.46600000000000003"/>
    <n v="0.80600000000000005"/>
    <n v="79"/>
    <x v="1"/>
    <n v="7"/>
    <n v="190428"/>
    <n v="1.5599999999999999E-2"/>
  </r>
  <r>
    <n v="0.66500000000000004"/>
    <s v="100.09"/>
    <n v="0.85799999999999998"/>
    <n v="0.65900000000000003"/>
    <n v="79"/>
    <x v="1"/>
    <n v="11"/>
    <n v="195587"/>
    <n v="0.126"/>
  </r>
  <r>
    <n v="0.66200000000000003"/>
    <n v="112509"/>
    <n v="0.89700000000000002"/>
    <n v="0.39"/>
    <n v="79"/>
    <x v="0"/>
    <n v="1"/>
    <n v="145543"/>
    <n v="8.5199999999999998E-2"/>
  </r>
  <r>
    <n v="0.79700000000000004"/>
    <n v="139994"/>
    <n v="0.70399999999999996"/>
    <n v="0.82499999999999996"/>
    <n v="79"/>
    <x v="1"/>
    <n v="0"/>
    <n v="148486"/>
    <n v="8.2600000000000007E-2"/>
  </r>
  <r>
    <n v="0.628"/>
    <n v="103998"/>
    <n v="0.67400000000000004"/>
    <n v="0.55200000000000005"/>
    <n v="79"/>
    <x v="1"/>
    <n v="2"/>
    <n v="247907"/>
    <n v="1.4400000000000001E-3"/>
  </r>
  <r>
    <n v="0.47299999999999998"/>
    <n v="119992"/>
    <n v="0.76500000000000001"/>
    <n v="0.34"/>
    <n v="79"/>
    <x v="1"/>
    <n v="10"/>
    <n v="237300"/>
    <n v="0.28699999999999998"/>
  </r>
  <r>
    <n v="0.46500000000000002"/>
    <n v="89087"/>
    <n v="0.44900000000000001"/>
    <n v="0.54300000000000004"/>
    <n v="79"/>
    <x v="1"/>
    <n v="0"/>
    <n v="198371"/>
    <n v="0.52400000000000002"/>
  </r>
  <r>
    <n v="0.79800000000000004"/>
    <n v="116032"/>
    <n v="0.79600000000000004"/>
    <n v="0.94199999999999995"/>
    <n v="79"/>
    <x v="1"/>
    <n v="1"/>
    <n v="202735"/>
    <n v="3.4000000000000002E-2"/>
  </r>
  <r>
    <n v="0.56699999999999995"/>
    <s v="125.02"/>
    <n v="0.84499999999999997"/>
    <n v="0.79300000000000004"/>
    <n v="79"/>
    <x v="0"/>
    <n v="5"/>
    <n v="205680"/>
    <n v="0.59"/>
  </r>
  <r>
    <n v="0.66900000000000004"/>
    <n v="122669"/>
    <n v="0.83399999999999996"/>
    <n v="0.54700000000000004"/>
    <n v="79"/>
    <x v="0"/>
    <n v="6"/>
    <n v="267080"/>
    <n v="3.4099999999999998E-2"/>
  </r>
  <r>
    <n v="0.86399999999999999"/>
    <n v="110009"/>
    <n v="0.76800000000000002"/>
    <n v="0.89100000000000001"/>
    <n v="79"/>
    <x v="1"/>
    <n v="11"/>
    <n v="173027"/>
    <n v="0.10100000000000001"/>
  </r>
  <r>
    <n v="0.76100000000000001"/>
    <n v="128046"/>
    <n v="0.72199999999999998"/>
    <n v="0.624"/>
    <n v="79"/>
    <x v="0"/>
    <n v="11"/>
    <n v="201493"/>
    <n v="1.1900000000000001E-2"/>
  </r>
  <r>
    <n v="0.83399999999999996"/>
    <n v="95053"/>
    <n v="0.751"/>
    <n v="0.89400000000000002"/>
    <n v="79"/>
    <x v="0"/>
    <n v="1"/>
    <n v="211160"/>
    <n v="0.3"/>
  </r>
  <r>
    <n v="0.501"/>
    <n v="144438"/>
    <n v="0.5"/>
    <n v="0.623"/>
    <n v="79"/>
    <x v="0"/>
    <n v="0"/>
    <n v="153800"/>
    <n v="0.46200000000000002"/>
  </r>
  <r>
    <n v="0.73899999999999999"/>
    <s v="118.99"/>
    <n v="0.82199999999999995"/>
    <n v="0.745"/>
    <n v="79"/>
    <x v="0"/>
    <n v="1"/>
    <n v="241933"/>
    <n v="2.64E-2"/>
  </r>
  <r>
    <n v="0.85699999999999998"/>
    <n v="128024"/>
    <n v="0.41399999999999998"/>
    <n v="0.34799999999999998"/>
    <n v="79"/>
    <x v="0"/>
    <n v="0"/>
    <n v="212960"/>
    <n v="2.87E-2"/>
  </r>
  <r>
    <n v="0.62"/>
    <n v="117038"/>
    <n v="0.74099999999999999"/>
    <n v="0.93400000000000005"/>
    <n v="79"/>
    <x v="1"/>
    <n v="10"/>
    <n v="251424"/>
    <n v="2.9499999999999998E-2"/>
  </r>
  <r>
    <n v="0.94499999999999995"/>
    <n v="91906"/>
    <n v="0.51"/>
    <n v="0.32300000000000001"/>
    <n v="79"/>
    <x v="1"/>
    <n v="1"/>
    <n v="183584"/>
    <n v="6.5799999999999995E-4"/>
  </r>
  <r>
    <n v="0.872"/>
    <n v="184115"/>
    <n v="0.46600000000000003"/>
    <n v="0.80600000000000005"/>
    <n v="79"/>
    <x v="1"/>
    <n v="7"/>
    <n v="190428"/>
    <n v="1.5599999999999999E-2"/>
  </r>
  <r>
    <n v="0.82799999999999996"/>
    <n v="123257"/>
    <n v="0.57699999999999996"/>
    <n v="0.60399999999999998"/>
    <n v="79"/>
    <x v="0"/>
    <n v="6"/>
    <n v="331267"/>
    <n v="2.1299999999999999E-3"/>
  </r>
  <r>
    <n v="0.98799999999999999"/>
    <n v="186113"/>
    <n v="0.38"/>
    <n v="0.76900000000000002"/>
    <n v="79"/>
    <x v="1"/>
    <n v="1"/>
    <n v="176346"/>
    <n v="2.6400000000000001E-5"/>
  </r>
  <r>
    <n v="0.85699999999999998"/>
    <n v="111647"/>
    <n v="0.46300000000000002"/>
    <n v="0.85599999999999998"/>
    <n v="79"/>
    <x v="1"/>
    <n v="4"/>
    <n v="161920"/>
    <n v="5.0599999999999999E-2"/>
  </r>
  <r>
    <n v="0.76800000000000002"/>
    <n v="80063"/>
    <n v="0.78"/>
    <n v="0.50700000000000001"/>
    <n v="79"/>
    <x v="0"/>
    <n v="6"/>
    <n v="404107"/>
    <n v="3.7100000000000001E-2"/>
  </r>
  <r>
    <n v="0.22"/>
    <s v="129.9"/>
    <n v="0.70199999999999996"/>
    <n v="0.19700000000000001"/>
    <n v="79"/>
    <x v="1"/>
    <n v="0"/>
    <n v="145438"/>
    <n v="0.69799999999999995"/>
  </r>
  <r>
    <n v="0.72899999999999998"/>
    <n v="127028"/>
    <n v="0.88"/>
    <n v="0.246"/>
    <n v="79"/>
    <x v="0"/>
    <n v="11"/>
    <n v="198425"/>
    <n v="0.33400000000000002"/>
  </r>
  <r>
    <n v="0.47499999999999998"/>
    <n v="98047"/>
    <n v="0.80100000000000005"/>
    <n v="0.23400000000000001"/>
    <n v="79"/>
    <x v="0"/>
    <n v="7"/>
    <n v="213061"/>
    <n v="0.14099999999999999"/>
  </r>
  <r>
    <n v="0.71499999999999997"/>
    <n v="106672"/>
    <n v="0.65"/>
    <n v="0.187"/>
    <n v="79"/>
    <x v="0"/>
    <n v="5"/>
    <n v="243717"/>
    <n v="9.9299999999999999E-2"/>
  </r>
  <r>
    <n v="0.67400000000000004"/>
    <n v="99968"/>
    <n v="0.80400000000000005"/>
    <n v="0.29199999999999998"/>
    <n v="79"/>
    <x v="0"/>
    <n v="5"/>
    <n v="245940"/>
    <n v="0.29399999999999998"/>
  </r>
  <r>
    <n v="0.47899999999999998"/>
    <n v="169922"/>
    <n v="0.81200000000000006"/>
    <n v="0.55900000000000005"/>
    <n v="79"/>
    <x v="0"/>
    <n v="2"/>
    <n v="234353"/>
    <n v="0.21299999999999999"/>
  </r>
  <r>
    <n v="0.70899999999999996"/>
    <n v="99993"/>
    <n v="0.72499999999999998"/>
    <n v="0.64800000000000002"/>
    <n v="79"/>
    <x v="0"/>
    <n v="3"/>
    <n v="193039"/>
    <n v="0.32100000000000001"/>
  </r>
  <r>
    <n v="0.66500000000000004"/>
    <s v="100.09"/>
    <n v="0.85799999999999998"/>
    <n v="0.65900000000000003"/>
    <n v="79"/>
    <x v="1"/>
    <n v="11"/>
    <n v="195587"/>
    <n v="0.126"/>
  </r>
  <r>
    <n v="0.747"/>
    <n v="86918"/>
    <n v="0.67"/>
    <n v="0.91800000000000004"/>
    <n v="79"/>
    <x v="1"/>
    <n v="1"/>
    <n v="203493"/>
    <n v="0.33700000000000002"/>
  </r>
  <r>
    <n v="0.68100000000000005"/>
    <n v="139057"/>
    <n v="0.91800000000000004"/>
    <n v="0.70599999999999996"/>
    <n v="79"/>
    <x v="1"/>
    <n v="1"/>
    <n v="229133"/>
    <n v="0.26300000000000001"/>
  </r>
  <r>
    <n v="0.27600000000000002"/>
    <n v="201025"/>
    <n v="0.33400000000000002"/>
    <n v="0.42899999999999999"/>
    <n v="79"/>
    <x v="0"/>
    <n v="4"/>
    <n v="271177"/>
    <n v="0.877"/>
  </r>
  <r>
    <n v="0.66200000000000003"/>
    <n v="112509"/>
    <n v="0.89700000000000002"/>
    <n v="0.39"/>
    <n v="79"/>
    <x v="0"/>
    <n v="1"/>
    <n v="145543"/>
    <n v="8.5199999999999998E-2"/>
  </r>
  <r>
    <n v="0.79700000000000004"/>
    <n v="122011"/>
    <n v="0.70199999999999996"/>
    <n v="3.56E-2"/>
    <n v="79"/>
    <x v="0"/>
    <n v="10"/>
    <n v="208525"/>
    <n v="0.58299999999999996"/>
  </r>
  <r>
    <n v="0.873"/>
    <s v="97.96"/>
    <n v="0.621"/>
    <n v="0.873"/>
    <n v="79"/>
    <x v="0"/>
    <n v="5"/>
    <n v="237800"/>
    <n v="4.0599999999999997E-2"/>
  </r>
  <r>
    <n v="0.83299999999999996"/>
    <n v="88785"/>
    <n v="0.46600000000000003"/>
    <n v="0.66100000000000003"/>
    <n v="78"/>
    <x v="1"/>
    <n v="7"/>
    <n v="313573"/>
    <n v="2.6599999999999999E-2"/>
  </r>
  <r>
    <n v="0.78900000000000003"/>
    <n v="129802"/>
    <n v="0.67400000000000004"/>
    <n v="0.91800000000000004"/>
    <n v="78"/>
    <x v="1"/>
    <n v="8"/>
    <n v="121160"/>
    <n v="1.7799999999999999E-3"/>
  </r>
  <r>
    <n v="0.68400000000000005"/>
    <n v="166976"/>
    <n v="0.83199999999999996"/>
    <n v="0.68"/>
    <n v="78"/>
    <x v="1"/>
    <n v="1"/>
    <n v="149461"/>
    <n v="4.4900000000000001E-3"/>
  </r>
  <r>
    <n v="0.69"/>
    <n v="125951"/>
    <n v="0.85299999999999998"/>
    <n v="0.47099999999999997"/>
    <n v="78"/>
    <x v="1"/>
    <n v="10"/>
    <n v="137143"/>
    <n v="7.7100000000000002E-2"/>
  </r>
  <r>
    <n v="0.59199999999999997"/>
    <s v="159.98"/>
    <n v="0.82"/>
    <n v="0.4"/>
    <n v="78"/>
    <x v="1"/>
    <n v="1"/>
    <n v="196180"/>
    <n v="1.49E-2"/>
  </r>
  <r>
    <n v="0.626"/>
    <s v="143.01"/>
    <n v="0.81899999999999995"/>
    <n v="0.41499999999999998"/>
    <n v="78"/>
    <x v="0"/>
    <n v="10"/>
    <n v="195906"/>
    <n v="7.4799999999999997E-3"/>
  </r>
  <r>
    <n v="0.56699999999999995"/>
    <n v="75965"/>
    <n v="0.57399999999999995"/>
    <n v="0.52600000000000002"/>
    <n v="78"/>
    <x v="0"/>
    <n v="7"/>
    <n v="229938"/>
    <n v="0.16400000000000001"/>
  </r>
  <r>
    <n v="0.81399999999999995"/>
    <n v="93482"/>
    <n v="0.68300000000000005"/>
    <n v="0.75800000000000001"/>
    <n v="78"/>
    <x v="1"/>
    <n v="2"/>
    <n v="156826"/>
    <n v="0.27700000000000002"/>
  </r>
  <r>
    <n v="0.627"/>
    <n v="155865"/>
    <n v="0.68700000000000006"/>
    <n v="0.47"/>
    <n v="78"/>
    <x v="1"/>
    <n v="7"/>
    <n v="206066"/>
    <n v="0.32600000000000001"/>
  </r>
  <r>
    <n v="0.64300000000000002"/>
    <n v="103842"/>
    <n v="0.63300000000000001"/>
    <n v="0.47199999999999998"/>
    <n v="78"/>
    <x v="1"/>
    <n v="0"/>
    <n v="130385"/>
    <n v="0.106"/>
  </r>
  <r>
    <n v="0.59299999999999997"/>
    <n v="120509"/>
    <n v="0.56499999999999995"/>
    <n v="0.42899999999999999"/>
    <n v="78"/>
    <x v="1"/>
    <n v="8"/>
    <n v="157974"/>
    <n v="2.8799999999999999E-2"/>
  </r>
  <r>
    <n v="0.39400000000000002"/>
    <n v="117489"/>
    <n v="0.68899999999999995"/>
    <n v="0.38200000000000001"/>
    <n v="78"/>
    <x v="0"/>
    <n v="2"/>
    <n v="212992"/>
    <n v="0.71099999999999997"/>
  </r>
  <r>
    <n v="0.55100000000000005"/>
    <n v="92887"/>
    <n v="0.91100000000000003"/>
    <n v="0.96899999999999997"/>
    <n v="78"/>
    <x v="0"/>
    <n v="8"/>
    <n v="265867"/>
    <n v="0.13300000000000001"/>
  </r>
  <r>
    <n v="0.34399999999999997"/>
    <n v="65203"/>
    <n v="0.58299999999999996"/>
    <n v="0.58099999999999996"/>
    <n v="78"/>
    <x v="1"/>
    <n v="2"/>
    <n v="110129"/>
    <n v="0.77400000000000002"/>
  </r>
  <r>
    <n v="0.57399999999999995"/>
    <n v="92795"/>
    <n v="0.45200000000000001"/>
    <n v="0.57799999999999996"/>
    <n v="78"/>
    <x v="1"/>
    <n v="6"/>
    <n v="207187"/>
    <n v="0.245"/>
  </r>
  <r>
    <n v="0.81499999999999995"/>
    <n v="123063"/>
    <n v="0.63600000000000001"/>
    <n v="0.63600000000000001"/>
    <n v="78"/>
    <x v="0"/>
    <n v="5"/>
    <n v="219043"/>
    <n v="1.8499999999999999E-2"/>
  </r>
  <r>
    <n v="0.73599999999999999"/>
    <n v="127999"/>
    <n v="0.57899999999999996"/>
    <n v="0.61299999999999999"/>
    <n v="78"/>
    <x v="0"/>
    <n v="6"/>
    <n v="230613"/>
    <n v="0.31"/>
  </r>
  <r>
    <n v="0.77700000000000002"/>
    <n v="130003"/>
    <n v="0.73"/>
    <n v="0.57499999999999996"/>
    <n v="78"/>
    <x v="0"/>
    <n v="3"/>
    <n v="284867"/>
    <n v="0.105"/>
  </r>
  <r>
    <n v="0.45200000000000001"/>
    <n v="90026"/>
    <n v="0.90400000000000003"/>
    <n v="0.61299999999999999"/>
    <n v="78"/>
    <x v="1"/>
    <n v="9"/>
    <n v="130944"/>
    <n v="0.17399999999999999"/>
  </r>
  <r>
    <n v="0.51200000000000001"/>
    <s v="96.02"/>
    <n v="0.80300000000000005"/>
    <n v="0.435"/>
    <n v="78"/>
    <x v="0"/>
    <n v="9"/>
    <n v="161342"/>
    <n v="0.128"/>
  </r>
  <r>
    <n v="0.64300000000000002"/>
    <n v="139948"/>
    <n v="0.83099999999999996"/>
    <n v="0.14199999999999999"/>
    <n v="78"/>
    <x v="1"/>
    <n v="1"/>
    <n v="383639"/>
    <n v="4.5999999999999999E-2"/>
  </r>
  <r>
    <n v="0.56699999999999995"/>
    <n v="75965"/>
    <n v="0.57399999999999995"/>
    <n v="0.52600000000000002"/>
    <n v="78"/>
    <x v="0"/>
    <n v="7"/>
    <n v="229938"/>
    <n v="0.16400000000000001"/>
  </r>
  <r>
    <n v="0.59299999999999997"/>
    <n v="120509"/>
    <n v="0.56499999999999995"/>
    <n v="0.42899999999999999"/>
    <n v="78"/>
    <x v="1"/>
    <n v="8"/>
    <n v="157974"/>
    <n v="2.8799999999999999E-2"/>
  </r>
  <r>
    <n v="0.81399999999999995"/>
    <n v="93482"/>
    <n v="0.68300000000000005"/>
    <n v="0.75800000000000001"/>
    <n v="78"/>
    <x v="1"/>
    <n v="2"/>
    <n v="156826"/>
    <n v="0.27700000000000002"/>
  </r>
  <r>
    <n v="0.69699999999999995"/>
    <n v="93941"/>
    <n v="0.90100000000000002"/>
    <n v="0.67"/>
    <n v="78"/>
    <x v="1"/>
    <n v="9"/>
    <n v="229827"/>
    <n v="0.14499999999999999"/>
  </r>
  <r>
    <n v="0.78200000000000003"/>
    <n v="108038"/>
    <n v="0.875"/>
    <n v="0.90600000000000003"/>
    <n v="78"/>
    <x v="0"/>
    <n v="5"/>
    <n v="167707"/>
    <n v="0.151"/>
  </r>
  <r>
    <n v="0.89500000000000002"/>
    <n v="124994"/>
    <n v="0.80300000000000005"/>
    <n v="0.75700000000000001"/>
    <n v="78"/>
    <x v="1"/>
    <n v="1"/>
    <n v="219027"/>
    <n v="8.1600000000000006E-2"/>
  </r>
  <r>
    <n v="0.72799999999999998"/>
    <n v="140041"/>
    <n v="0.77400000000000002"/>
    <n v="0.46100000000000002"/>
    <n v="78"/>
    <x v="1"/>
    <n v="2"/>
    <n v="170357"/>
    <n v="0.113"/>
  </r>
  <r>
    <n v="0.872"/>
    <n v="131016"/>
    <n v="0.64400000000000002"/>
    <n v="0.378"/>
    <n v="78"/>
    <x v="0"/>
    <n v="6"/>
    <n v="214973"/>
    <n v="0.16400000000000001"/>
  </r>
  <r>
    <n v="0.627"/>
    <n v="155865"/>
    <n v="0.68700000000000006"/>
    <n v="0.47"/>
    <n v="78"/>
    <x v="1"/>
    <n v="7"/>
    <n v="206066"/>
    <n v="0.32600000000000001"/>
  </r>
  <r>
    <n v="0.92800000000000005"/>
    <n v="127939"/>
    <n v="0.57099999999999995"/>
    <n v="0.48799999999999999"/>
    <n v="78"/>
    <x v="0"/>
    <n v="4"/>
    <n v="167012"/>
    <n v="9.3200000000000002E-3"/>
  </r>
  <r>
    <n v="0.78900000000000003"/>
    <n v="91911"/>
    <n v="0.75700000000000001"/>
    <n v="0.46400000000000002"/>
    <n v="78"/>
    <x v="0"/>
    <n v="5"/>
    <n v="202174"/>
    <n v="0.307"/>
  </r>
  <r>
    <n v="0.52200000000000002"/>
    <n v="110427"/>
    <n v="0.75"/>
    <n v="0.60099999999999998"/>
    <n v="78"/>
    <x v="1"/>
    <n v="9"/>
    <n v="321556"/>
    <n v="0.28199999999999997"/>
  </r>
  <r>
    <n v="0.53400000000000003"/>
    <n v="93924"/>
    <n v="0.83199999999999996"/>
    <n v="0.11600000000000001"/>
    <n v="78"/>
    <x v="0"/>
    <n v="1"/>
    <n v="132833"/>
    <n v="0.34499999999999997"/>
  </r>
  <r>
    <n v="0.69199999999999995"/>
    <n v="79899"/>
    <n v="0.623"/>
    <n v="0.56599999999999995"/>
    <n v="78"/>
    <x v="1"/>
    <n v="2"/>
    <n v="240051"/>
    <n v="0.32800000000000001"/>
  </r>
  <r>
    <n v="0.42199999999999999"/>
    <n v="119964"/>
    <n v="0.53"/>
    <n v="0.34899999999999998"/>
    <n v="78"/>
    <x v="1"/>
    <n v="5"/>
    <n v="221360"/>
    <n v="0.40699999999999997"/>
  </r>
  <r>
    <n v="0.53"/>
    <n v="108038"/>
    <n v="0.63"/>
    <n v="0.41699999999999998"/>
    <n v="78"/>
    <x v="1"/>
    <n v="0"/>
    <n v="225053"/>
    <n v="0.4"/>
  </r>
  <r>
    <n v="0.55000000000000004"/>
    <s v="101.19"/>
    <n v="0.55100000000000005"/>
    <n v="0.34200000000000003"/>
    <n v="78"/>
    <x v="1"/>
    <n v="10"/>
    <n v="176440"/>
    <n v="0.77700000000000002"/>
  </r>
  <r>
    <n v="0.40100000000000002"/>
    <n v="111825"/>
    <n v="0.67700000000000005"/>
    <n v="0.19500000000000001"/>
    <n v="78"/>
    <x v="1"/>
    <n v="9"/>
    <n v="232852"/>
    <n v="0.71199999999999997"/>
  </r>
  <r>
    <n v="0.69899999999999995"/>
    <n v="114481"/>
    <n v="0.85"/>
    <n v="0.91500000000000004"/>
    <n v="78"/>
    <x v="1"/>
    <n v="0"/>
    <n v="114234"/>
    <n v="0.152"/>
  </r>
  <r>
    <n v="0.76400000000000001"/>
    <n v="169928"/>
    <n v="0.59099999999999997"/>
    <n v="0.47799999999999998"/>
    <n v="78"/>
    <x v="1"/>
    <n v="1"/>
    <n v="141806"/>
    <n v="3.8300000000000001E-2"/>
  </r>
  <r>
    <n v="0.45"/>
    <n v="178765"/>
    <n v="0.59699999999999998"/>
    <n v="0.53700000000000003"/>
    <n v="78"/>
    <x v="1"/>
    <n v="8"/>
    <n v="228482"/>
    <n v="0.223"/>
  </r>
  <r>
    <n v="0.82"/>
    <n v="144905"/>
    <n v="0.621"/>
    <n v="0.45200000000000001"/>
    <n v="78"/>
    <x v="1"/>
    <n v="10"/>
    <n v="230192"/>
    <n v="0.33200000000000002"/>
  </r>
  <r>
    <n v="0.17399999999999999"/>
    <n v="112672"/>
    <n v="0.68100000000000005"/>
    <n v="0.23100000000000001"/>
    <n v="78"/>
    <x v="1"/>
    <n v="1"/>
    <n v="260285"/>
    <n v="0.83699999999999997"/>
  </r>
  <r>
    <n v="0.48799999999999999"/>
    <s v="136.07"/>
    <n v="0.752"/>
    <n v="0.53300000000000003"/>
    <n v="78"/>
    <x v="1"/>
    <n v="6"/>
    <n v="201661"/>
    <n v="0.29299999999999998"/>
  </r>
  <r>
    <n v="0.78800000000000003"/>
    <n v="120076"/>
    <n v="0.748"/>
    <n v="0.88400000000000001"/>
    <n v="78"/>
    <x v="1"/>
    <n v="1"/>
    <n v="235493"/>
    <n v="5.91E-2"/>
  </r>
  <r>
    <n v="0.57399999999999995"/>
    <s v="125.18"/>
    <n v="0.61299999999999999"/>
    <n v="0.755"/>
    <n v="78"/>
    <x v="1"/>
    <n v="11"/>
    <n v="209107"/>
    <n v="2.53E-2"/>
  </r>
  <r>
    <n v="0.49099999999999999"/>
    <n v="119528"/>
    <n v="0.749"/>
    <n v="0.53600000000000003"/>
    <n v="78"/>
    <x v="1"/>
    <n v="10"/>
    <n v="292613"/>
    <n v="0.02"/>
  </r>
  <r>
    <n v="0.84"/>
    <n v="129042"/>
    <n v="0.61199999999999999"/>
    <n v="0.438"/>
    <n v="78"/>
    <x v="0"/>
    <n v="11"/>
    <n v="212862"/>
    <n v="0.112"/>
  </r>
  <r>
    <n v="0.81499999999999995"/>
    <n v="123063"/>
    <n v="0.63600000000000001"/>
    <n v="0.63600000000000001"/>
    <n v="78"/>
    <x v="0"/>
    <n v="5"/>
    <n v="219043"/>
    <n v="1.8499999999999999E-2"/>
  </r>
  <r>
    <n v="0.71399999999999997"/>
    <n v="100972"/>
    <n v="0.89200000000000002"/>
    <n v="0.81699999999999995"/>
    <n v="78"/>
    <x v="0"/>
    <n v="4"/>
    <n v="267267"/>
    <n v="0.20100000000000001"/>
  </r>
  <r>
    <n v="0.81399999999999995"/>
    <n v="124921"/>
    <n v="0.70699999999999996"/>
    <n v="0.71699999999999997"/>
    <n v="78"/>
    <x v="0"/>
    <n v="11"/>
    <n v="238627"/>
    <n v="8.6099999999999996E-2"/>
  </r>
  <r>
    <n v="0.91700000000000004"/>
    <n v="132975"/>
    <n v="0.65200000000000002"/>
    <n v="0.45900000000000002"/>
    <n v="78"/>
    <x v="1"/>
    <n v="6"/>
    <n v="239027"/>
    <n v="8.2000000000000007E-3"/>
  </r>
  <r>
    <n v="0.84399999999999997"/>
    <n v="131459"/>
    <n v="0.72899999999999998"/>
    <n v="0.77700000000000002"/>
    <n v="78"/>
    <x v="1"/>
    <n v="5"/>
    <n v="275440"/>
    <n v="0.14899999999999999"/>
  </r>
  <r>
    <n v="0.56299999999999994"/>
    <n v="126007"/>
    <n v="0.76600000000000001"/>
    <n v="0.96399999999999997"/>
    <n v="78"/>
    <x v="0"/>
    <n v="9"/>
    <n v="230640"/>
    <n v="2.63E-2"/>
  </r>
  <r>
    <n v="0.6"/>
    <s v="125.04"/>
    <n v="0.95099999999999996"/>
    <n v="0.82199999999999995"/>
    <n v="78"/>
    <x v="0"/>
    <n v="0"/>
    <n v="218573"/>
    <n v="0.106"/>
  </r>
  <r>
    <n v="0.72599999999999998"/>
    <n v="121981"/>
    <n v="0.503"/>
    <n v="0.52900000000000003"/>
    <n v="78"/>
    <x v="1"/>
    <n v="1"/>
    <n v="255632"/>
    <n v="1.5900000000000001E-2"/>
  </r>
  <r>
    <n v="0.73599999999999999"/>
    <n v="127999"/>
    <n v="0.57899999999999996"/>
    <n v="0.61299999999999999"/>
    <n v="78"/>
    <x v="0"/>
    <n v="6"/>
    <n v="230613"/>
    <n v="0.31"/>
  </r>
  <r>
    <n v="0.77700000000000002"/>
    <n v="130003"/>
    <n v="0.73"/>
    <n v="0.57499999999999996"/>
    <n v="78"/>
    <x v="0"/>
    <n v="3"/>
    <n v="284867"/>
    <n v="0.105"/>
  </r>
  <r>
    <n v="0.78300000000000003"/>
    <s v="105.39"/>
    <n v="0.55400000000000005"/>
    <n v="0.81299999999999994"/>
    <n v="78"/>
    <x v="1"/>
    <n v="6"/>
    <n v="162467"/>
    <n v="0.41599999999999998"/>
  </r>
  <r>
    <n v="0.55100000000000005"/>
    <n v="92887"/>
    <n v="0.91100000000000003"/>
    <n v="0.96899999999999997"/>
    <n v="78"/>
    <x v="0"/>
    <n v="8"/>
    <n v="265867"/>
    <n v="0.13300000000000001"/>
  </r>
  <r>
    <n v="0.8"/>
    <n v="160078"/>
    <n v="0.64700000000000002"/>
    <n v="0.94199999999999995"/>
    <n v="78"/>
    <x v="1"/>
    <n v="7"/>
    <n v="219200"/>
    <n v="6.4699999999999994E-2"/>
  </r>
  <r>
    <n v="0.64"/>
    <n v="99017"/>
    <n v="0.77900000000000003"/>
    <n v="0.499"/>
    <n v="78"/>
    <x v="1"/>
    <n v="7"/>
    <n v="246960"/>
    <n v="1.55E-4"/>
  </r>
  <r>
    <n v="0.39400000000000002"/>
    <n v="96192"/>
    <n v="0.42099999999999999"/>
    <n v="0.39900000000000002"/>
    <n v="78"/>
    <x v="1"/>
    <n v="11"/>
    <n v="211000"/>
    <n v="0.86299999999999999"/>
  </r>
  <r>
    <n v="0.54600000000000004"/>
    <n v="104996"/>
    <n v="0.74199999999999999"/>
    <n v="0.86799999999999999"/>
    <n v="78"/>
    <x v="1"/>
    <n v="1"/>
    <n v="260520"/>
    <n v="0.17199999999999999"/>
  </r>
  <r>
    <n v="0.92100000000000004"/>
    <s v="120.0"/>
    <n v="0.66800000000000004"/>
    <n v="0.78200000000000003"/>
    <n v="78"/>
    <x v="1"/>
    <n v="7"/>
    <n v="212440"/>
    <n v="4.9200000000000001E-2"/>
  </r>
  <r>
    <n v="0.92300000000000004"/>
    <s v="136.01"/>
    <n v="0.60199999999999998"/>
    <n v="0.76500000000000001"/>
    <n v="78"/>
    <x v="1"/>
    <n v="5"/>
    <n v="216013"/>
    <n v="9.7999999999999997E-3"/>
  </r>
  <r>
    <n v="0.67800000000000005"/>
    <n v="138009"/>
    <n v="0.71299999999999997"/>
    <n v="0.73399999999999999"/>
    <n v="78"/>
    <x v="0"/>
    <n v="5"/>
    <n v="271333"/>
    <n v="0.27300000000000002"/>
  </r>
  <r>
    <n v="0.66100000000000003"/>
    <n v="130009"/>
    <n v="0.76200000000000001"/>
    <n v="0.76900000000000002"/>
    <n v="78"/>
    <x v="0"/>
    <n v="1"/>
    <n v="225373"/>
    <n v="0.15"/>
  </r>
  <r>
    <n v="0.60599999999999998"/>
    <n v="97785"/>
    <n v="0.59599999999999997"/>
    <n v="0.88600000000000001"/>
    <n v="78"/>
    <x v="1"/>
    <n v="7"/>
    <n v="283800"/>
    <n v="0.18099999999999999"/>
  </r>
  <r>
    <n v="0.85599999999999998"/>
    <n v="91995"/>
    <n v="0.81499999999999995"/>
    <n v="0.872"/>
    <n v="78"/>
    <x v="0"/>
    <n v="1"/>
    <n v="151667"/>
    <n v="0.4"/>
  </r>
  <r>
    <n v="0.78900000000000003"/>
    <n v="91911"/>
    <n v="0.75700000000000001"/>
    <n v="0.46400000000000002"/>
    <n v="78"/>
    <x v="0"/>
    <n v="5"/>
    <n v="202174"/>
    <n v="0.307"/>
  </r>
  <r>
    <n v="0.66900000000000004"/>
    <s v="130.05"/>
    <n v="0.94899999999999995"/>
    <n v="0.84299999999999997"/>
    <n v="78"/>
    <x v="0"/>
    <n v="2"/>
    <n v="132923"/>
    <n v="0.36"/>
  </r>
  <r>
    <n v="0.68700000000000006"/>
    <n v="117008"/>
    <n v="0.77800000000000002"/>
    <n v="0.83899999999999997"/>
    <n v="78"/>
    <x v="0"/>
    <n v="11"/>
    <n v="266667"/>
    <n v="0.57799999999999996"/>
  </r>
  <r>
    <n v="0.74399999999999999"/>
    <n v="82356"/>
    <n v="0.79800000000000004"/>
    <n v="0.79400000000000004"/>
    <n v="78"/>
    <x v="0"/>
    <n v="7"/>
    <n v="260000"/>
    <n v="0.33"/>
  </r>
  <r>
    <n v="0.35399999999999998"/>
    <n v="160037"/>
    <n v="0.74099999999999999"/>
    <n v="0.58299999999999996"/>
    <n v="78"/>
    <x v="1"/>
    <n v="1"/>
    <n v="326933"/>
    <n v="0.18099999999999999"/>
  </r>
  <r>
    <n v="0.39400000000000002"/>
    <n v="96192"/>
    <n v="0.42099999999999999"/>
    <n v="0.39900000000000002"/>
    <n v="78"/>
    <x v="1"/>
    <n v="11"/>
    <n v="211000"/>
    <n v="0.86299999999999999"/>
  </r>
  <r>
    <n v="0.40699999999999997"/>
    <n v="117053"/>
    <n v="0.45700000000000002"/>
    <n v="0.126"/>
    <n v="78"/>
    <x v="1"/>
    <n v="9"/>
    <n v="257533"/>
    <n v="0.80500000000000005"/>
  </r>
  <r>
    <n v="0.245"/>
    <n v="103777"/>
    <n v="0.34"/>
    <n v="0.192"/>
    <n v="78"/>
    <x v="1"/>
    <n v="9"/>
    <n v="339891"/>
    <n v="0.96899999999999997"/>
  </r>
  <r>
    <n v="0.53400000000000003"/>
    <n v="93924"/>
    <n v="0.83199999999999996"/>
    <n v="0.11600000000000001"/>
    <n v="78"/>
    <x v="0"/>
    <n v="1"/>
    <n v="132833"/>
    <n v="0.34499999999999997"/>
  </r>
  <r>
    <n v="0.77900000000000003"/>
    <n v="123013"/>
    <n v="0.72399999999999998"/>
    <n v="0.53"/>
    <n v="78"/>
    <x v="0"/>
    <n v="7"/>
    <n v="144390"/>
    <n v="9.8000000000000004E-2"/>
  </r>
  <r>
    <n v="0.93600000000000005"/>
    <n v="172547"/>
    <n v="0.59399999999999997"/>
    <n v="0.39"/>
    <n v="78"/>
    <x v="0"/>
    <n v="9"/>
    <n v="194080"/>
    <n v="2.24E-2"/>
  </r>
  <r>
    <n v="0.62"/>
    <n v="117038"/>
    <n v="0.74099999999999999"/>
    <n v="0.93400000000000005"/>
    <n v="77"/>
    <x v="1"/>
    <n v="10"/>
    <n v="251424"/>
    <n v="2.9499999999999998E-2"/>
  </r>
  <r>
    <n v="0.71599999999999997"/>
    <n v="94379"/>
    <n v="0.53500000000000003"/>
    <n v="0.90100000000000002"/>
    <n v="77"/>
    <x v="1"/>
    <n v="4"/>
    <n v="175173"/>
    <n v="0.32600000000000001"/>
  </r>
  <r>
    <n v="0.94399999999999995"/>
    <n v="105338"/>
    <n v="0.39400000000000002"/>
    <n v="0.26500000000000001"/>
    <n v="77"/>
    <x v="0"/>
    <n v="10"/>
    <n v="292581"/>
    <n v="1.7799999999999999E-3"/>
  </r>
  <r>
    <n v="0.78700000000000003"/>
    <n v="126879"/>
    <n v="0.76700000000000002"/>
    <n v="0.96399999999999997"/>
    <n v="77"/>
    <x v="1"/>
    <n v="3"/>
    <n v="266200"/>
    <n v="1.6299999999999999E-2"/>
  </r>
  <r>
    <n v="0.748"/>
    <n v="134114"/>
    <n v="0.61799999999999999"/>
    <n v="0.66300000000000003"/>
    <n v="77"/>
    <x v="1"/>
    <n v="0"/>
    <n v="191947"/>
    <n v="3.8399999999999997E-2"/>
  </r>
  <r>
    <n v="0.754"/>
    <n v="131001"/>
    <n v="0.86299999999999999"/>
    <n v="0.30099999999999999"/>
    <n v="77"/>
    <x v="1"/>
    <n v="11"/>
    <n v="139197"/>
    <n v="1.25E-3"/>
  </r>
  <r>
    <n v="0.58599999999999997"/>
    <n v="125845"/>
    <n v="0.73099999999999998"/>
    <n v="0.14699999999999999"/>
    <n v="77"/>
    <x v="0"/>
    <n v="1"/>
    <n v="199165"/>
    <n v="0.11600000000000001"/>
  </r>
  <r>
    <n v="0.41299999999999998"/>
    <n v="131964"/>
    <n v="0.77200000000000002"/>
    <n v="0.21099999999999999"/>
    <n v="77"/>
    <x v="0"/>
    <n v="0"/>
    <n v="246213"/>
    <n v="3.61E-2"/>
  </r>
  <r>
    <n v="0.48699999999999999"/>
    <s v="127.05"/>
    <n v="0.96399999999999997"/>
    <n v="0.108"/>
    <n v="77"/>
    <x v="0"/>
    <n v="10"/>
    <n v="154024"/>
    <n v="1.2700000000000001E-3"/>
  </r>
  <r>
    <n v="0.41299999999999998"/>
    <n v="131964"/>
    <n v="0.77200000000000002"/>
    <n v="0.21099999999999999"/>
    <n v="77"/>
    <x v="0"/>
    <n v="0"/>
    <n v="246213"/>
    <n v="3.61E-2"/>
  </r>
  <r>
    <n v="0.65700000000000003"/>
    <n v="124992"/>
    <n v="0.88300000000000001"/>
    <n v="0.28399999999999997"/>
    <n v="77"/>
    <x v="1"/>
    <n v="8"/>
    <n v="172933"/>
    <n v="6.0299999999999999E-2"/>
  </r>
  <r>
    <n v="0.64800000000000002"/>
    <s v="93.2"/>
    <n v="0.73699999999999999"/>
    <n v="0.746"/>
    <n v="77"/>
    <x v="1"/>
    <n v="1"/>
    <n v="259354"/>
    <n v="0.252"/>
  </r>
  <r>
    <n v="0.82399999999999995"/>
    <n v="124997"/>
    <n v="0.747"/>
    <n v="0.79300000000000004"/>
    <n v="77"/>
    <x v="0"/>
    <n v="7"/>
    <n v="168547"/>
    <n v="0.184"/>
  </r>
  <r>
    <n v="0.872"/>
    <n v="128924"/>
    <n v="0.81599999999999995"/>
    <n v="0.94"/>
    <n v="77"/>
    <x v="0"/>
    <n v="11"/>
    <n v="157209"/>
    <n v="0.25"/>
  </r>
  <r>
    <n v="0.749"/>
    <n v="164959"/>
    <n v="0.59299999999999997"/>
    <n v="0.64900000000000002"/>
    <n v="77"/>
    <x v="1"/>
    <n v="5"/>
    <n v="309053"/>
    <n v="1.1299999999999999E-2"/>
  </r>
  <r>
    <n v="0.51800000000000002"/>
    <n v="151891"/>
    <n v="0.81499999999999995"/>
    <n v="0.877"/>
    <n v="77"/>
    <x v="0"/>
    <n v="7"/>
    <n v="177667"/>
    <n v="0.223"/>
  </r>
  <r>
    <n v="0.84599999999999997"/>
    <n v="103912"/>
    <n v="0.61099999999999999"/>
    <n v="0.751"/>
    <n v="77"/>
    <x v="1"/>
    <n v="11"/>
    <n v="162920"/>
    <n v="5.0899999999999999E-3"/>
  </r>
  <r>
    <n v="0.503"/>
    <n v="137007"/>
    <n v="0.64600000000000002"/>
    <n v="0.78900000000000003"/>
    <n v="77"/>
    <x v="1"/>
    <n v="2"/>
    <n v="96369"/>
    <n v="4.2599999999999999E-3"/>
  </r>
  <r>
    <n v="0.59399999999999997"/>
    <n v="135002"/>
    <n v="0.79500000000000004"/>
    <n v="0.40899999999999997"/>
    <n v="77"/>
    <x v="1"/>
    <n v="0"/>
    <n v="275080"/>
    <n v="0.112"/>
  </r>
  <r>
    <n v="0.68100000000000005"/>
    <n v="171864"/>
    <n v="0.67300000000000004"/>
    <n v="0.70699999999999996"/>
    <n v="77"/>
    <x v="1"/>
    <n v="1"/>
    <n v="232000"/>
    <n v="0.52"/>
  </r>
  <r>
    <n v="0.55200000000000005"/>
    <s v="168.19"/>
    <n v="0.72699999999999998"/>
    <n v="0.60699999999999998"/>
    <n v="77"/>
    <x v="0"/>
    <n v="2"/>
    <n v="289160"/>
    <n v="0.22600000000000001"/>
  </r>
  <r>
    <n v="0.72099999999999997"/>
    <n v="169904"/>
    <n v="0.62"/>
    <n v="0.77"/>
    <n v="77"/>
    <x v="0"/>
    <n v="4"/>
    <n v="150361"/>
    <n v="4.2200000000000001E-2"/>
  </r>
  <r>
    <n v="0.86"/>
    <n v="127075"/>
    <n v="0.60799999999999998"/>
    <n v="0.437"/>
    <n v="77"/>
    <x v="0"/>
    <n v="5"/>
    <n v="232947"/>
    <n v="9.9099999999999994E-2"/>
  </r>
  <r>
    <n v="0.81100000000000005"/>
    <n v="116047"/>
    <n v="0.79400000000000004"/>
    <n v="0.86199999999999999"/>
    <n v="77"/>
    <x v="0"/>
    <n v="6"/>
    <n v="248413"/>
    <n v="4.2599999999999999E-2"/>
  </r>
  <r>
    <n v="0.74099999999999999"/>
    <n v="123077"/>
    <n v="0.64600000000000002"/>
    <n v="0.57099999999999995"/>
    <n v="77"/>
    <x v="0"/>
    <n v="5"/>
    <n v="203000"/>
    <n v="2.75E-2"/>
  </r>
  <r>
    <n v="0.51900000000000002"/>
    <s v="133.99"/>
    <n v="0.501"/>
    <n v="0.16800000000000001"/>
    <n v="77"/>
    <x v="0"/>
    <n v="4"/>
    <n v="195707"/>
    <n v="0.109"/>
  </r>
  <r>
    <n v="0.92700000000000005"/>
    <n v="123962"/>
    <n v="0.63100000000000001"/>
    <n v="0.46500000000000002"/>
    <n v="77"/>
    <x v="0"/>
    <n v="9"/>
    <n v="222160"/>
    <n v="0.19900000000000001"/>
  </r>
  <r>
    <n v="0.83"/>
    <n v="75023"/>
    <n v="0.76700000000000002"/>
    <n v="0.187"/>
    <n v="77"/>
    <x v="1"/>
    <n v="7"/>
    <n v="139300"/>
    <n v="0.20899999999999999"/>
  </r>
  <r>
    <n v="0.52300000000000002"/>
    <n v="169982"/>
    <n v="0.628"/>
    <n v="0.41599999999999998"/>
    <n v="77"/>
    <x v="0"/>
    <n v="11"/>
    <n v="172965"/>
    <n v="0.70099999999999996"/>
  </r>
  <r>
    <n v="0.93400000000000005"/>
    <n v="88009"/>
    <n v="0.77700000000000002"/>
    <n v="0.63700000000000001"/>
    <n v="77"/>
    <x v="1"/>
    <n v="2"/>
    <n v="166449"/>
    <n v="0.28499999999999998"/>
  </r>
  <r>
    <n v="0.92700000000000005"/>
    <n v="109952"/>
    <n v="0.755"/>
    <n v="0.70199999999999996"/>
    <n v="77"/>
    <x v="0"/>
    <n v="11"/>
    <n v="115348"/>
    <n v="2.8800000000000002E-3"/>
  </r>
  <r>
    <n v="0.62"/>
    <n v="117038"/>
    <n v="0.74099999999999999"/>
    <n v="0.93400000000000005"/>
    <n v="77"/>
    <x v="1"/>
    <n v="10"/>
    <n v="251424"/>
    <n v="2.9499999999999998E-2"/>
  </r>
  <r>
    <n v="0.64"/>
    <n v="130051"/>
    <n v="0.53700000000000003"/>
    <n v="0.222"/>
    <n v="77"/>
    <x v="1"/>
    <n v="1"/>
    <n v="103495"/>
    <n v="0.14599999999999999"/>
  </r>
  <r>
    <n v="0.96299999999999997"/>
    <n v="130028"/>
    <n v="0.81699999999999995"/>
    <n v="0.502"/>
    <n v="77"/>
    <x v="1"/>
    <n v="1"/>
    <n v="75692"/>
    <n v="6.83E-2"/>
  </r>
  <r>
    <n v="0.55600000000000005"/>
    <n v="99974"/>
    <n v="0.86399999999999999"/>
    <n v="0.72599999999999998"/>
    <n v="77"/>
    <x v="0"/>
    <n v="2"/>
    <n v="230480"/>
    <n v="0.255"/>
  </r>
  <r>
    <n v="0.80300000000000005"/>
    <n v="130028"/>
    <n v="0.877"/>
    <n v="0.79500000000000004"/>
    <n v="77"/>
    <x v="1"/>
    <n v="9"/>
    <n v="61673"/>
    <n v="0.73399999999999999"/>
  </r>
  <r>
    <n v="0.57299999999999995"/>
    <s v="140.04"/>
    <n v="0.91100000000000003"/>
    <n v="0.97199999999999998"/>
    <n v="77"/>
    <x v="1"/>
    <n v="6"/>
    <n v="97393"/>
    <n v="0.38"/>
  </r>
  <r>
    <n v="0.629"/>
    <n v="130017"/>
    <n v="0.84799999999999998"/>
    <n v="0.58599999999999997"/>
    <n v="77"/>
    <x v="1"/>
    <n v="0"/>
    <n v="153519"/>
    <n v="1.6E-2"/>
  </r>
  <r>
    <n v="0.64800000000000002"/>
    <s v="93.2"/>
    <n v="0.73699999999999999"/>
    <n v="0.746"/>
    <n v="77"/>
    <x v="1"/>
    <n v="1"/>
    <n v="259354"/>
    <n v="0.252"/>
  </r>
  <r>
    <n v="0.79400000000000004"/>
    <n v="149923"/>
    <n v="0.53100000000000003"/>
    <n v="0.77500000000000002"/>
    <n v="77"/>
    <x v="1"/>
    <n v="10"/>
    <n v="288200"/>
    <n v="1.7600000000000001E-2"/>
  </r>
  <r>
    <n v="0.89800000000000002"/>
    <n v="103299"/>
    <n v="0.35299999999999998"/>
    <n v="0.52500000000000002"/>
    <n v="77"/>
    <x v="1"/>
    <n v="2"/>
    <n v="255733"/>
    <n v="2.23E-5"/>
  </r>
  <r>
    <n v="0.96299999999999997"/>
    <n v="125033"/>
    <n v="0.59"/>
    <n v="0.58599999999999997"/>
    <n v="77"/>
    <x v="0"/>
    <n v="0"/>
    <n v="222827"/>
    <n v="8.7499999999999999E-5"/>
  </r>
  <r>
    <n v="0.78100000000000003"/>
    <n v="71841"/>
    <n v="0.443"/>
    <n v="0.372"/>
    <n v="77"/>
    <x v="1"/>
    <n v="1"/>
    <n v="214760"/>
    <n v="1.33E-5"/>
  </r>
  <r>
    <n v="0.71599999999999997"/>
    <n v="94379"/>
    <n v="0.53500000000000003"/>
    <n v="0.90100000000000002"/>
    <n v="77"/>
    <x v="1"/>
    <n v="4"/>
    <n v="175173"/>
    <n v="0.32600000000000001"/>
  </r>
  <r>
    <n v="0.65800000000000003"/>
    <n v="140042"/>
    <n v="0.8"/>
    <n v="0.46200000000000002"/>
    <n v="77"/>
    <x v="0"/>
    <n v="1"/>
    <n v="195429"/>
    <n v="0.25"/>
  </r>
  <r>
    <n v="0.48699999999999999"/>
    <s v="127.05"/>
    <n v="0.96399999999999997"/>
    <n v="0.108"/>
    <n v="77"/>
    <x v="0"/>
    <n v="10"/>
    <n v="154024"/>
    <n v="1.2700000000000001E-3"/>
  </r>
  <r>
    <n v="0.51600000000000001"/>
    <n v="119996"/>
    <n v="0.877"/>
    <n v="0.255"/>
    <n v="77"/>
    <x v="0"/>
    <n v="2"/>
    <n v="162053"/>
    <n v="0.215"/>
  </r>
  <r>
    <n v="0.65100000000000002"/>
    <n v="163935"/>
    <n v="0.66500000000000004"/>
    <n v="0.23699999999999999"/>
    <n v="77"/>
    <x v="1"/>
    <n v="1"/>
    <n v="175755"/>
    <n v="4.1399999999999999E-2"/>
  </r>
  <r>
    <n v="0.64800000000000002"/>
    <s v="93.2"/>
    <n v="0.73699999999999999"/>
    <n v="0.746"/>
    <n v="77"/>
    <x v="1"/>
    <n v="1"/>
    <n v="259354"/>
    <n v="0.252"/>
  </r>
  <r>
    <n v="0.36599999999999999"/>
    <n v="141981"/>
    <n v="0.60399999999999998"/>
    <n v="0.13"/>
    <n v="77"/>
    <x v="1"/>
    <n v="5"/>
    <n v="224695"/>
    <n v="0.57799999999999996"/>
  </r>
  <r>
    <n v="0.77900000000000003"/>
    <n v="173799"/>
    <n v="0.46800000000000003"/>
    <n v="0.26"/>
    <n v="77"/>
    <x v="1"/>
    <n v="9"/>
    <n v="217747"/>
    <n v="0.112"/>
  </r>
  <r>
    <n v="0.73799999999999999"/>
    <n v="119976"/>
    <n v="0.72099999999999997"/>
    <n v="0.63700000000000001"/>
    <n v="77"/>
    <x v="1"/>
    <n v="7"/>
    <n v="154983"/>
    <n v="2.2599999999999999E-3"/>
  </r>
  <r>
    <n v="0.90200000000000002"/>
    <n v="100012"/>
    <n v="0.67300000000000004"/>
    <n v="0.53600000000000003"/>
    <n v="77"/>
    <x v="1"/>
    <n v="2"/>
    <n v="194240"/>
    <n v="5.91E-2"/>
  </r>
  <r>
    <n v="0.80800000000000005"/>
    <n v="126041"/>
    <n v="0.72"/>
    <n v="0.86899999999999999"/>
    <n v="77"/>
    <x v="1"/>
    <n v="6"/>
    <n v="307154"/>
    <n v="7.9299999999999995E-3"/>
  </r>
  <r>
    <n v="0.625"/>
    <n v="93764"/>
    <n v="0.79800000000000004"/>
    <n v="0.85799999999999998"/>
    <n v="77"/>
    <x v="1"/>
    <n v="11"/>
    <n v="211213"/>
    <n v="5.47E-3"/>
  </r>
  <r>
    <n v="0.86"/>
    <n v="127075"/>
    <n v="0.60799999999999998"/>
    <n v="0.437"/>
    <n v="77"/>
    <x v="0"/>
    <n v="5"/>
    <n v="232947"/>
    <n v="9.9099999999999994E-2"/>
  </r>
  <r>
    <n v="0.81100000000000005"/>
    <n v="116047"/>
    <n v="0.79400000000000004"/>
    <n v="0.86199999999999999"/>
    <n v="77"/>
    <x v="0"/>
    <n v="6"/>
    <n v="248413"/>
    <n v="4.2599999999999999E-2"/>
  </r>
  <r>
    <n v="0.88900000000000001"/>
    <s v="126.04"/>
    <n v="0.58399999999999996"/>
    <n v="0.46400000000000002"/>
    <n v="77"/>
    <x v="0"/>
    <n v="1"/>
    <n v="199907"/>
    <n v="4.6199999999999998E-2"/>
  </r>
  <r>
    <n v="0.65400000000000003"/>
    <n v="117046"/>
    <n v="0.92"/>
    <n v="0.84699999999999998"/>
    <n v="77"/>
    <x v="0"/>
    <n v="11"/>
    <n v="293827"/>
    <n v="2.3599999999999999E-2"/>
  </r>
  <r>
    <n v="0.75800000000000001"/>
    <n v="135956"/>
    <n v="0.67300000000000004"/>
    <n v="0.54200000000000004"/>
    <n v="77"/>
    <x v="1"/>
    <n v="7"/>
    <n v="229507"/>
    <n v="3.9E-2"/>
  </r>
  <r>
    <n v="0.71599999999999997"/>
    <n v="94379"/>
    <n v="0.53500000000000003"/>
    <n v="0.90100000000000002"/>
    <n v="77"/>
    <x v="1"/>
    <n v="4"/>
    <n v="175173"/>
    <n v="0.32600000000000001"/>
  </r>
  <r>
    <n v="0.77"/>
    <n v="99165"/>
    <n v="0.64600000000000002"/>
    <n v="0.68100000000000005"/>
    <n v="77"/>
    <x v="0"/>
    <n v="2"/>
    <n v="236133"/>
    <n v="2.49E-3"/>
  </r>
  <r>
    <n v="0.92700000000000005"/>
    <n v="123962"/>
    <n v="0.63100000000000001"/>
    <n v="0.46500000000000002"/>
    <n v="77"/>
    <x v="0"/>
    <n v="9"/>
    <n v="222160"/>
    <n v="0.19900000000000001"/>
  </r>
  <r>
    <n v="0.85499999999999998"/>
    <s v="120.05"/>
    <n v="0.67"/>
    <n v="0.64800000000000002"/>
    <n v="77"/>
    <x v="0"/>
    <n v="0"/>
    <n v="227280"/>
    <n v="1.24E-2"/>
  </r>
  <r>
    <n v="0.56799999999999995"/>
    <n v="107849"/>
    <n v="0.61399999999999999"/>
    <n v="0.51600000000000001"/>
    <n v="77"/>
    <x v="0"/>
    <n v="7"/>
    <n v="293960"/>
    <n v="7.9699999999999997E-3"/>
  </r>
  <r>
    <n v="0.9"/>
    <n v="104655"/>
    <n v="0.42699999999999999"/>
    <n v="0.59899999999999998"/>
    <n v="77"/>
    <x v="1"/>
    <n v="11"/>
    <n v="334667"/>
    <n v="0.11600000000000001"/>
  </r>
  <r>
    <n v="0.94399999999999995"/>
    <n v="105338"/>
    <n v="0.39400000000000002"/>
    <n v="0.26500000000000001"/>
    <n v="77"/>
    <x v="0"/>
    <n v="10"/>
    <n v="292581"/>
    <n v="1.7799999999999999E-3"/>
  </r>
  <r>
    <n v="0.91300000000000003"/>
    <n v="96184"/>
    <n v="0.55600000000000005"/>
    <n v="0.73"/>
    <n v="77"/>
    <x v="1"/>
    <n v="0"/>
    <n v="282160"/>
    <n v="1.9300000000000001E-2"/>
  </r>
  <r>
    <n v="0.89800000000000002"/>
    <n v="103299"/>
    <n v="0.35299999999999998"/>
    <n v="0.52500000000000002"/>
    <n v="77"/>
    <x v="1"/>
    <n v="2"/>
    <n v="255733"/>
    <n v="2.23E-5"/>
  </r>
  <r>
    <n v="0.96299999999999997"/>
    <n v="125033"/>
    <n v="0.59"/>
    <n v="0.58599999999999997"/>
    <n v="77"/>
    <x v="0"/>
    <n v="0"/>
    <n v="222827"/>
    <n v="8.7499999999999999E-5"/>
  </r>
  <r>
    <n v="0.78100000000000003"/>
    <n v="71841"/>
    <n v="0.443"/>
    <n v="0.372"/>
    <n v="77"/>
    <x v="1"/>
    <n v="1"/>
    <n v="214760"/>
    <n v="1.33E-5"/>
  </r>
  <r>
    <n v="0.9"/>
    <n v="149937"/>
    <n v="0.48699999999999999"/>
    <n v="0.48399999999999999"/>
    <n v="77"/>
    <x v="1"/>
    <n v="0"/>
    <n v="204000"/>
    <n v="6.7899999999999997E-5"/>
  </r>
  <r>
    <n v="0.81399999999999995"/>
    <s v="104.98"/>
    <n v="0.54600000000000004"/>
    <n v="0.14599999999999999"/>
    <n v="77"/>
    <x v="1"/>
    <n v="7"/>
    <n v="285653"/>
    <n v="2.3E-2"/>
  </r>
  <r>
    <n v="0.89200000000000002"/>
    <n v="154844"/>
    <n v="0.46"/>
    <n v="0.59"/>
    <n v="77"/>
    <x v="0"/>
    <n v="10"/>
    <n v="203507"/>
    <n v="5.1000000000000004E-3"/>
  </r>
  <r>
    <n v="0.95099999999999996"/>
    <n v="157663"/>
    <n v="0.39100000000000001"/>
    <n v="0.46800000000000003"/>
    <n v="77"/>
    <x v="1"/>
    <n v="6"/>
    <n v="148360"/>
    <n v="1.2E-2"/>
  </r>
  <r>
    <n v="0.65200000000000002"/>
    <s v="80.61"/>
    <n v="0.52"/>
    <n v="0.72199999999999998"/>
    <n v="77"/>
    <x v="1"/>
    <n v="5"/>
    <n v="258787"/>
    <n v="0.33900000000000002"/>
  </r>
  <r>
    <n v="0.68"/>
    <n v="132012"/>
    <n v="0.72699999999999998"/>
    <n v="0.72799999999999998"/>
    <n v="77"/>
    <x v="1"/>
    <n v="2"/>
    <n v="212507"/>
    <n v="1.01E-2"/>
  </r>
  <r>
    <n v="0.56499999999999995"/>
    <n v="101967"/>
    <n v="0.78"/>
    <n v="0.36499999999999999"/>
    <n v="77"/>
    <x v="0"/>
    <n v="3"/>
    <n v="322133"/>
    <n v="0.73599999999999999"/>
  </r>
  <r>
    <n v="0.29099999999999998"/>
    <n v="83943"/>
    <n v="0.38800000000000001"/>
    <n v="0.51"/>
    <n v="77"/>
    <x v="1"/>
    <n v="3"/>
    <n v="202047"/>
    <n v="0.77400000000000002"/>
  </r>
  <r>
    <n v="0.36299999999999999"/>
    <n v="121412"/>
    <n v="0.53100000000000003"/>
    <n v="0.25900000000000001"/>
    <n v="77"/>
    <x v="1"/>
    <n v="10"/>
    <n v="229720"/>
    <n v="0.749"/>
  </r>
  <r>
    <n v="0.86"/>
    <n v="128004"/>
    <n v="0.755"/>
    <n v="0.61799999999999999"/>
    <n v="77"/>
    <x v="0"/>
    <n v="5"/>
    <n v="152305"/>
    <n v="1.44E-2"/>
  </r>
  <r>
    <n v="0.81299999999999994"/>
    <s v="125.91"/>
    <n v="0.51300000000000001"/>
    <n v="0.35499999999999998"/>
    <n v="77"/>
    <x v="1"/>
    <n v="5"/>
    <n v="164285"/>
    <n v="0.28000000000000003"/>
  </r>
  <r>
    <n v="0.79700000000000004"/>
    <n v="121985"/>
    <n v="0.84499999999999997"/>
    <n v="0.42199999999999999"/>
    <n v="77"/>
    <x v="1"/>
    <n v="1"/>
    <n v="151475"/>
    <n v="5.8200000000000002E-2"/>
  </r>
  <r>
    <n v="0.65500000000000003"/>
    <s v="129.89"/>
    <n v="0.55800000000000005"/>
    <n v="0.39"/>
    <n v="77"/>
    <x v="1"/>
    <n v="0"/>
    <n v="156923"/>
    <n v="0.20799999999999999"/>
  </r>
  <r>
    <n v="0.85399999999999998"/>
    <n v="117994"/>
    <n v="0.78600000000000003"/>
    <n v="0.52200000000000002"/>
    <n v="77"/>
    <x v="0"/>
    <n v="10"/>
    <n v="278644"/>
    <n v="0.16900000000000001"/>
  </r>
  <r>
    <n v="0.621"/>
    <n v="139056"/>
    <n v="0.78700000000000003"/>
    <n v="0.13"/>
    <n v="77"/>
    <x v="0"/>
    <n v="4"/>
    <n v="267194"/>
    <n v="0.15"/>
  </r>
  <r>
    <n v="0.80300000000000005"/>
    <n v="130028"/>
    <n v="0.877"/>
    <n v="0.79500000000000004"/>
    <n v="77"/>
    <x v="1"/>
    <n v="9"/>
    <n v="61673"/>
    <n v="0.73399999999999999"/>
  </r>
  <r>
    <n v="0.42699999999999999"/>
    <n v="80492"/>
    <n v="0.49199999999999999"/>
    <n v="0.443"/>
    <n v="77"/>
    <x v="0"/>
    <n v="9"/>
    <n v="123692"/>
    <n v="0.36399999999999999"/>
  </r>
  <r>
    <n v="0.63600000000000001"/>
    <n v="145972"/>
    <n v="0.83699999999999997"/>
    <n v="0.27400000000000002"/>
    <n v="77"/>
    <x v="1"/>
    <n v="1"/>
    <n v="288624"/>
    <n v="3.95E-2"/>
  </r>
  <r>
    <n v="0.28299999999999997"/>
    <s v="97.04"/>
    <n v="0.76600000000000001"/>
    <n v="0.14399999999999999"/>
    <n v="77"/>
    <x v="0"/>
    <n v="8"/>
    <n v="219692"/>
    <n v="0.111"/>
  </r>
  <r>
    <n v="0.64800000000000002"/>
    <s v="93.2"/>
    <n v="0.73699999999999999"/>
    <n v="0.746"/>
    <n v="77"/>
    <x v="1"/>
    <n v="1"/>
    <n v="259354"/>
    <n v="0.252"/>
  </r>
  <r>
    <n v="0.04"/>
    <n v="135965"/>
    <n v="0.44"/>
    <n v="0.249"/>
    <n v="77"/>
    <x v="1"/>
    <n v="3"/>
    <n v="193749"/>
    <n v="0.98099999999999998"/>
  </r>
  <r>
    <n v="0.36299999999999999"/>
    <n v="121412"/>
    <n v="0.53100000000000003"/>
    <n v="0.25900000000000001"/>
    <n v="77"/>
    <x v="1"/>
    <n v="10"/>
    <n v="229720"/>
    <n v="0.749"/>
  </r>
  <r>
    <n v="0.65100000000000002"/>
    <n v="163935"/>
    <n v="0.66500000000000004"/>
    <n v="0.23699999999999999"/>
    <n v="77"/>
    <x v="1"/>
    <n v="1"/>
    <n v="175755"/>
    <n v="4.1399999999999999E-2"/>
  </r>
  <r>
    <n v="0.53800000000000003"/>
    <n v="99952"/>
    <n v="0.82899999999999996"/>
    <n v="0.38900000000000001"/>
    <n v="77"/>
    <x v="0"/>
    <n v="11"/>
    <n v="149547"/>
    <n v="0.13700000000000001"/>
  </r>
  <r>
    <n v="0.78200000000000003"/>
    <s v="94.03"/>
    <n v="0.70099999999999996"/>
    <n v="0.56999999999999995"/>
    <n v="77"/>
    <x v="1"/>
    <n v="1"/>
    <n v="156040"/>
    <n v="9.1800000000000007E-2"/>
  </r>
  <r>
    <n v="0.32100000000000001"/>
    <n v="110827"/>
    <n v="0.68"/>
    <n v="0.41599999999999998"/>
    <n v="77"/>
    <x v="1"/>
    <n v="5"/>
    <n v="215986"/>
    <n v="0.79100000000000004"/>
  </r>
  <r>
    <n v="0.57299999999999995"/>
    <s v="140.04"/>
    <n v="0.91100000000000003"/>
    <n v="0.97199999999999998"/>
    <n v="77"/>
    <x v="1"/>
    <n v="6"/>
    <n v="97393"/>
    <n v="0.38"/>
  </r>
  <r>
    <n v="0.75800000000000001"/>
    <n v="129944"/>
    <n v="0.69599999999999995"/>
    <n v="0.85799999999999998"/>
    <n v="77"/>
    <x v="1"/>
    <n v="4"/>
    <n v="250693"/>
    <n v="0.17199999999999999"/>
  </r>
  <r>
    <n v="0.59199999999999997"/>
    <n v="170391"/>
    <n v="0.33200000000000002"/>
    <n v="0.31"/>
    <n v="77"/>
    <x v="1"/>
    <n v="1"/>
    <n v="205160"/>
    <n v="8.2400000000000001E-2"/>
  </r>
  <r>
    <n v="0.73499999999999999"/>
    <s v="123.57"/>
    <n v="0.71399999999999997"/>
    <n v="0.68"/>
    <n v="77"/>
    <x v="0"/>
    <n v="4"/>
    <n v="222227"/>
    <n v="0.17599999999999999"/>
  </r>
  <r>
    <n v="0.44900000000000001"/>
    <n v="114924"/>
    <n v="0.66900000000000004"/>
    <n v="0.32700000000000001"/>
    <n v="77"/>
    <x v="0"/>
    <n v="0"/>
    <n v="213493"/>
    <n v="0.184"/>
  </r>
  <r>
    <n v="0.82399999999999995"/>
    <n v="120125"/>
    <n v="0.5"/>
    <n v="0.53900000000000003"/>
    <n v="76"/>
    <x v="0"/>
    <n v="4"/>
    <n v="218920"/>
    <n v="1.6000000000000001E-4"/>
  </r>
  <r>
    <n v="0.86299999999999999"/>
    <n v="136302"/>
    <n v="0.72299999999999998"/>
    <n v="0.93100000000000005"/>
    <n v="76"/>
    <x v="1"/>
    <n v="2"/>
    <n v="222813"/>
    <n v="3.8300000000000001E-2"/>
  </r>
  <r>
    <n v="0.44900000000000001"/>
    <n v="100456"/>
    <n v="0.48599999999999999"/>
    <n v="0.54900000000000004"/>
    <n v="76"/>
    <x v="1"/>
    <n v="5"/>
    <n v="254293"/>
    <n v="0.16600000000000001"/>
  </r>
  <r>
    <n v="0.23899999999999999"/>
    <n v="189507"/>
    <n v="0.44600000000000001"/>
    <n v="0.29799999999999999"/>
    <n v="76"/>
    <x v="1"/>
    <n v="0"/>
    <n v="336453"/>
    <n v="0.55100000000000005"/>
  </r>
  <r>
    <n v="0.52100000000000002"/>
    <n v="123118"/>
    <n v="0.72099999999999997"/>
    <n v="0.94199999999999995"/>
    <n v="76"/>
    <x v="1"/>
    <n v="2"/>
    <n v="261413"/>
    <n v="7.0800000000000002E-2"/>
  </r>
  <r>
    <n v="0.91200000000000003"/>
    <n v="116761"/>
    <n v="0.502"/>
    <n v="0.72"/>
    <n v="76"/>
    <x v="1"/>
    <n v="1"/>
    <n v="301920"/>
    <n v="2.55E-5"/>
  </r>
  <r>
    <n v="0.441"/>
    <n v="81334"/>
    <n v="0.51900000000000002"/>
    <n v="0.25"/>
    <n v="76"/>
    <x v="1"/>
    <n v="4"/>
    <n v="234973"/>
    <n v="2.0400000000000001E-2"/>
  </r>
  <r>
    <n v="0.51900000000000002"/>
    <n v="98883"/>
    <n v="0.65300000000000002"/>
    <n v="0.82199999999999995"/>
    <n v="76"/>
    <x v="1"/>
    <n v="2"/>
    <n v="153693"/>
    <n v="0.40600000000000003"/>
  </r>
  <r>
    <n v="0.82799999999999996"/>
    <n v="105435"/>
    <n v="0.35"/>
    <n v="0.14699999999999999"/>
    <n v="76"/>
    <x v="1"/>
    <n v="6"/>
    <n v="318587"/>
    <n v="2.1699999999999999E-4"/>
  </r>
  <r>
    <n v="0.33800000000000002"/>
    <n v="177765"/>
    <n v="0.38800000000000001"/>
    <n v="0.47799999999999998"/>
    <n v="76"/>
    <x v="1"/>
    <n v="10"/>
    <n v="303373"/>
    <n v="0.65200000000000002"/>
  </r>
  <r>
    <n v="0.50700000000000001"/>
    <n v="130007"/>
    <n v="0.872"/>
    <n v="0.50600000000000001"/>
    <n v="76"/>
    <x v="0"/>
    <n v="4"/>
    <n v="158667"/>
    <n v="0.19500000000000001"/>
  </r>
  <r>
    <n v="0.66300000000000003"/>
    <n v="184057"/>
    <n v="0.67200000000000004"/>
    <n v="0.38100000000000001"/>
    <n v="76"/>
    <x v="1"/>
    <n v="3"/>
    <n v="138324"/>
    <n v="0.112"/>
  </r>
  <r>
    <n v="0.72299999999999998"/>
    <n v="139942"/>
    <n v="0.78300000000000003"/>
    <n v="0.29399999999999998"/>
    <n v="76"/>
    <x v="1"/>
    <n v="1"/>
    <n v="278001"/>
    <n v="2.64E-2"/>
  </r>
  <r>
    <n v="0.5"/>
    <n v="63925"/>
    <n v="0.42699999999999999"/>
    <n v="0.26900000000000002"/>
    <n v="76"/>
    <x v="1"/>
    <n v="0"/>
    <n v="180000"/>
    <n v="0.28599999999999998"/>
  </r>
  <r>
    <n v="0.80500000000000005"/>
    <n v="142096"/>
    <n v="0.54800000000000004"/>
    <n v="0.64900000000000002"/>
    <n v="76"/>
    <x v="1"/>
    <n v="7"/>
    <n v="216387"/>
    <n v="0.21199999999999999"/>
  </r>
  <r>
    <n v="0.79200000000000004"/>
    <n v="113981"/>
    <n v="0.749"/>
    <n v="0.90300000000000002"/>
    <n v="76"/>
    <x v="1"/>
    <n v="5"/>
    <n v="172632"/>
    <n v="0.308"/>
  </r>
  <r>
    <n v="0.73699999999999999"/>
    <n v="101923"/>
    <n v="0.77900000000000003"/>
    <n v="0.44500000000000001"/>
    <n v="76"/>
    <x v="1"/>
    <n v="11"/>
    <n v="170366"/>
    <n v="0.13400000000000001"/>
  </r>
  <r>
    <n v="0.71899999999999997"/>
    <n v="104033"/>
    <n v="0.70699999999999996"/>
    <n v="0.70099999999999996"/>
    <n v="76"/>
    <x v="0"/>
    <n v="4"/>
    <n v="162205"/>
    <n v="0.223"/>
  </r>
  <r>
    <n v="0.92400000000000004"/>
    <n v="168017"/>
    <n v="0.59799999999999998"/>
    <n v="0.61099999999999999"/>
    <n v="76"/>
    <x v="0"/>
    <n v="6"/>
    <n v="162339"/>
    <n v="2.0500000000000001E-2"/>
  </r>
  <r>
    <n v="0.82799999999999996"/>
    <n v="112056"/>
    <n v="0.65400000000000003"/>
    <n v="0.79"/>
    <n v="76"/>
    <x v="0"/>
    <n v="1"/>
    <n v="183893"/>
    <n v="1.4599999999999999E-3"/>
  </r>
  <r>
    <n v="0.60899999999999999"/>
    <n v="95986"/>
    <n v="0.65200000000000002"/>
    <n v="0.48199999999999998"/>
    <n v="76"/>
    <x v="0"/>
    <n v="11"/>
    <n v="210200"/>
    <n v="0.26300000000000001"/>
  </r>
  <r>
    <n v="0.55200000000000005"/>
    <n v="90098"/>
    <n v="0.64100000000000001"/>
    <n v="0.152"/>
    <n v="76"/>
    <x v="0"/>
    <n v="1"/>
    <n v="254524"/>
    <n v="2.7E-2"/>
  </r>
  <r>
    <n v="0.69799999999999995"/>
    <n v="95975"/>
    <n v="0.59"/>
    <n v="0.35199999999999998"/>
    <n v="76"/>
    <x v="1"/>
    <n v="11"/>
    <n v="224093"/>
    <n v="1.76E-4"/>
  </r>
  <r>
    <n v="0.61"/>
    <s v="125.99"/>
    <n v="0.74099999999999999"/>
    <n v="0.72"/>
    <n v="76"/>
    <x v="0"/>
    <n v="6"/>
    <n v="276960"/>
    <n v="0.316"/>
  </r>
  <r>
    <n v="0.378"/>
    <n v="141967"/>
    <n v="0.61699999999999999"/>
    <n v="0.22"/>
    <n v="76"/>
    <x v="1"/>
    <n v="9"/>
    <n v="216063"/>
    <n v="0.42799999999999999"/>
  </r>
  <r>
    <n v="0.71699999999999997"/>
    <n v="121985"/>
    <n v="0.79300000000000004"/>
    <n v="0.46600000000000003"/>
    <n v="76"/>
    <x v="0"/>
    <n v="0"/>
    <n v="195547"/>
    <n v="9.2700000000000005E-2"/>
  </r>
  <r>
    <n v="0.68500000000000005"/>
    <n v="130039"/>
    <n v="0.77200000000000002"/>
    <n v="0.501"/>
    <n v="76"/>
    <x v="1"/>
    <n v="5"/>
    <n v="283400"/>
    <n v="1.9E-2"/>
  </r>
  <r>
    <n v="0.86899999999999999"/>
    <n v="127966"/>
    <n v="0.61599999999999999"/>
    <n v="0.47299999999999998"/>
    <n v="76"/>
    <x v="1"/>
    <n v="0"/>
    <n v="234560"/>
    <n v="2.8299999999999999E-2"/>
  </r>
  <r>
    <n v="0.91500000000000004"/>
    <n v="126094"/>
    <n v="0.54400000000000004"/>
    <n v="0.51"/>
    <n v="76"/>
    <x v="1"/>
    <n v="8"/>
    <n v="184280"/>
    <n v="0.129"/>
  </r>
  <r>
    <n v="0.77700000000000002"/>
    <n v="108005"/>
    <n v="0.57999999999999996"/>
    <n v="0.58899999999999997"/>
    <n v="76"/>
    <x v="1"/>
    <n v="3"/>
    <n v="178273"/>
    <n v="0.104"/>
  </r>
  <r>
    <n v="0.53900000000000003"/>
    <n v="158105"/>
    <n v="0.65"/>
    <n v="0.253"/>
    <n v="76"/>
    <x v="1"/>
    <n v="1"/>
    <n v="121399"/>
    <n v="6.1700000000000001E-3"/>
  </r>
  <r>
    <n v="0.67200000000000004"/>
    <n v="136902"/>
    <n v="0.67300000000000004"/>
    <n v="0.14000000000000001"/>
    <n v="76"/>
    <x v="1"/>
    <n v="8"/>
    <n v="260111"/>
    <n v="4.6600000000000003E-2"/>
  </r>
  <r>
    <n v="0.81799999999999995"/>
    <n v="125952"/>
    <n v="0.68700000000000006"/>
    <n v="0.88600000000000001"/>
    <n v="76"/>
    <x v="1"/>
    <n v="0"/>
    <n v="165753"/>
    <n v="1.12E-2"/>
  </r>
  <r>
    <n v="0.68700000000000006"/>
    <s v="123.01"/>
    <n v="0.755"/>
    <n v="0.38100000000000001"/>
    <n v="76"/>
    <x v="0"/>
    <n v="8"/>
    <n v="265360"/>
    <n v="0.183"/>
  </r>
  <r>
    <n v="0.91900000000000004"/>
    <n v="151221"/>
    <n v="0.83"/>
    <n v="0.84799999999999998"/>
    <n v="76"/>
    <x v="0"/>
    <n v="10"/>
    <n v="96947"/>
    <n v="0.503"/>
  </r>
  <r>
    <n v="0.79200000000000004"/>
    <n v="113981"/>
    <n v="0.749"/>
    <n v="0.90300000000000002"/>
    <n v="76"/>
    <x v="1"/>
    <n v="5"/>
    <n v="172632"/>
    <n v="0.308"/>
  </r>
  <r>
    <n v="0.82099999999999995"/>
    <n v="94895"/>
    <n v="0.66900000000000004"/>
    <n v="0.68400000000000005"/>
    <n v="76"/>
    <x v="0"/>
    <n v="11"/>
    <n v="237573"/>
    <n v="1.82E-3"/>
  </r>
  <r>
    <n v="0.82099999999999995"/>
    <n v="94895"/>
    <n v="0.66900000000000004"/>
    <n v="0.68400000000000005"/>
    <n v="76"/>
    <x v="0"/>
    <n v="11"/>
    <n v="237573"/>
    <n v="1.82E-3"/>
  </r>
  <r>
    <n v="0.93200000000000005"/>
    <n v="122431"/>
    <n v="0.63100000000000001"/>
    <n v="0.97099999999999997"/>
    <n v="76"/>
    <x v="1"/>
    <n v="5"/>
    <n v="213067"/>
    <n v="4.2900000000000001E-2"/>
  </r>
  <r>
    <n v="0.67300000000000004"/>
    <s v="92.06"/>
    <n v="0.45300000000000001"/>
    <n v="0.26600000000000001"/>
    <n v="76"/>
    <x v="1"/>
    <n v="8"/>
    <n v="159849"/>
    <n v="0.32"/>
  </r>
  <r>
    <n v="0.69"/>
    <n v="151991"/>
    <n v="0.83899999999999997"/>
    <n v="0.74399999999999999"/>
    <n v="76"/>
    <x v="1"/>
    <n v="11"/>
    <n v="196413"/>
    <n v="0.20699999999999999"/>
  </r>
  <r>
    <n v="0.61299999999999999"/>
    <n v="149972"/>
    <n v="0.65"/>
    <n v="8.0399999999999999E-2"/>
    <n v="76"/>
    <x v="0"/>
    <n v="9"/>
    <n v="194621"/>
    <n v="3.3600000000000001E-3"/>
  </r>
  <r>
    <n v="0.65700000000000003"/>
    <s v="107.01"/>
    <n v="0.753"/>
    <n v="0.437"/>
    <n v="76"/>
    <x v="1"/>
    <n v="7"/>
    <n v="184732"/>
    <n v="0.17100000000000001"/>
  </r>
  <r>
    <n v="0.34200000000000003"/>
    <n v="102819"/>
    <n v="0.51600000000000001"/>
    <n v="9.9299999999999999E-2"/>
    <n v="76"/>
    <x v="1"/>
    <n v="4"/>
    <n v="206459"/>
    <n v="0.55000000000000004"/>
  </r>
  <r>
    <n v="0.79400000000000004"/>
    <n v="114066"/>
    <n v="0.60099999999999998"/>
    <n v="0.24399999999999999"/>
    <n v="76"/>
    <x v="0"/>
    <n v="7"/>
    <n v="217099"/>
    <n v="9.8700000000000003E-3"/>
  </r>
  <r>
    <n v="0.67300000000000004"/>
    <n v="203812"/>
    <n v="0.49199999999999999"/>
    <n v="0.48799999999999999"/>
    <n v="76"/>
    <x v="1"/>
    <n v="6"/>
    <n v="163855"/>
    <n v="0.41299999999999998"/>
  </r>
  <r>
    <n v="0.42599999999999999"/>
    <n v="84876"/>
    <n v="0.67400000000000004"/>
    <n v="0.33700000000000002"/>
    <n v="76"/>
    <x v="1"/>
    <n v="7"/>
    <n v="190185"/>
    <n v="0.12"/>
  </r>
  <r>
    <n v="0.92200000000000004"/>
    <n v="146078"/>
    <n v="0.64100000000000001"/>
    <n v="0.84699999999999998"/>
    <n v="76"/>
    <x v="1"/>
    <n v="2"/>
    <n v="258343"/>
    <n v="2.9100000000000001E-2"/>
  </r>
  <r>
    <n v="0.71599999999999997"/>
    <n v="125006"/>
    <n v="0.747"/>
    <n v="0.751"/>
    <n v="76"/>
    <x v="0"/>
    <n v="11"/>
    <n v="210627"/>
    <n v="0.13500000000000001"/>
  </r>
  <r>
    <n v="0.64600000000000002"/>
    <n v="88634"/>
    <n v="0.86699999999999999"/>
    <n v="0.67"/>
    <n v="76"/>
    <x v="0"/>
    <n v="1"/>
    <n v="304600"/>
    <n v="0.30299999999999999"/>
  </r>
  <r>
    <n v="0.87"/>
    <n v="109901"/>
    <n v="0.59699999999999998"/>
    <n v="0.94399999999999995"/>
    <n v="76"/>
    <x v="1"/>
    <n v="10"/>
    <n v="238733"/>
    <n v="1.1900000000000001E-2"/>
  </r>
  <r>
    <n v="0.86899999999999999"/>
    <n v="127966"/>
    <n v="0.61599999999999999"/>
    <n v="0.47299999999999998"/>
    <n v="76"/>
    <x v="1"/>
    <n v="0"/>
    <n v="234560"/>
    <n v="2.8299999999999999E-2"/>
  </r>
  <r>
    <n v="0.748"/>
    <n v="137547"/>
    <n v="0.749"/>
    <n v="0.82699999999999996"/>
    <n v="76"/>
    <x v="1"/>
    <n v="2"/>
    <n v="213267"/>
    <n v="0.29499999999999998"/>
  </r>
  <r>
    <n v="0.73799999999999999"/>
    <n v="117656"/>
    <n v="0.73099999999999998"/>
    <n v="0.95799999999999996"/>
    <n v="76"/>
    <x v="0"/>
    <n v="9"/>
    <n v="236920"/>
    <n v="0.184"/>
  </r>
  <r>
    <n v="0.83"/>
    <s v="113.03"/>
    <n v="0.66600000000000004"/>
    <n v="0.70199999999999996"/>
    <n v="76"/>
    <x v="1"/>
    <n v="0"/>
    <n v="236002"/>
    <n v="1.23E-2"/>
  </r>
  <r>
    <n v="0.75600000000000001"/>
    <n v="131715"/>
    <n v="0.80200000000000005"/>
    <n v="0.96299999999999997"/>
    <n v="76"/>
    <x v="0"/>
    <n v="2"/>
    <n v="288293"/>
    <n v="8.43E-2"/>
  </r>
  <r>
    <n v="0.91500000000000004"/>
    <n v="126094"/>
    <n v="0.54400000000000004"/>
    <n v="0.51"/>
    <n v="76"/>
    <x v="1"/>
    <n v="8"/>
    <n v="184280"/>
    <n v="0.129"/>
  </r>
  <r>
    <n v="0.86"/>
    <n v="93989"/>
    <n v="0.73699999999999999"/>
    <n v="0.65600000000000003"/>
    <n v="76"/>
    <x v="0"/>
    <n v="8"/>
    <n v="193227"/>
    <n v="0.11"/>
  </r>
  <r>
    <n v="0.85099999999999998"/>
    <n v="126885"/>
    <n v="0.72199999999999998"/>
    <n v="0.45200000000000001"/>
    <n v="76"/>
    <x v="0"/>
    <n v="7"/>
    <n v="197936"/>
    <n v="3.1899999999999998E-2"/>
  </r>
  <r>
    <n v="0.80900000000000005"/>
    <n v="98007"/>
    <n v="0.72299999999999998"/>
    <n v="0.27400000000000002"/>
    <n v="76"/>
    <x v="0"/>
    <n v="7"/>
    <n v="176561"/>
    <n v="3.46E-3"/>
  </r>
  <r>
    <n v="0.89"/>
    <n v="128011"/>
    <n v="0.70599999999999996"/>
    <n v="0.68400000000000005"/>
    <n v="76"/>
    <x v="0"/>
    <n v="1"/>
    <n v="248133"/>
    <n v="5.8799999999999998E-2"/>
  </r>
  <r>
    <n v="0.48599999999999999"/>
    <s v="163.9"/>
    <n v="0.68700000000000006"/>
    <n v="0.79200000000000004"/>
    <n v="76"/>
    <x v="1"/>
    <n v="11"/>
    <n v="224726"/>
    <n v="0.58699999999999997"/>
  </r>
  <r>
    <n v="0.97199999999999998"/>
    <n v="110006"/>
    <n v="0.58499999999999996"/>
    <n v="0.58499999999999996"/>
    <n v="76"/>
    <x v="0"/>
    <n v="9"/>
    <n v="230253"/>
    <n v="1.43E-2"/>
  </r>
  <r>
    <n v="0.84899999999999998"/>
    <n v="156036"/>
    <n v="0.63600000000000001"/>
    <n v="0.91700000000000004"/>
    <n v="76"/>
    <x v="1"/>
    <n v="0"/>
    <n v="175493"/>
    <n v="4.3799999999999999E-2"/>
  </r>
  <r>
    <n v="0.71499999999999997"/>
    <n v="137028"/>
    <n v="0.27600000000000002"/>
    <n v="0.17299999999999999"/>
    <n v="76"/>
    <x v="1"/>
    <n v="0"/>
    <n v="230760"/>
    <n v="5.5199999999999997E-3"/>
  </r>
  <r>
    <n v="0.96"/>
    <n v="125921"/>
    <n v="0.35599999999999998"/>
    <n v="8.5699999999999998E-2"/>
    <n v="76"/>
    <x v="1"/>
    <n v="4"/>
    <n v="204733"/>
    <n v="1.4200000000000001E-2"/>
  </r>
  <r>
    <n v="0.84199999999999997"/>
    <n v="162011"/>
    <n v="0.49399999999999999"/>
    <n v="0.57399999999999995"/>
    <n v="76"/>
    <x v="1"/>
    <n v="7"/>
    <n v="229093"/>
    <n v="5.79E-3"/>
  </r>
  <r>
    <n v="0.186"/>
    <n v="110044"/>
    <n v="0.6"/>
    <n v="0.46800000000000003"/>
    <n v="76"/>
    <x v="1"/>
    <n v="3"/>
    <n v="217467"/>
    <n v="0.90900000000000003"/>
  </r>
  <r>
    <n v="0.50700000000000001"/>
    <n v="123188"/>
    <n v="0.65300000000000002"/>
    <n v="0.83099999999999996"/>
    <n v="76"/>
    <x v="0"/>
    <n v="11"/>
    <n v="252240"/>
    <n v="0.68700000000000006"/>
  </r>
  <r>
    <n v="0.71699999999999997"/>
    <n v="121985"/>
    <n v="0.79300000000000004"/>
    <n v="0.46600000000000003"/>
    <n v="76"/>
    <x v="0"/>
    <n v="0"/>
    <n v="195547"/>
    <n v="9.2700000000000005E-2"/>
  </r>
  <r>
    <n v="0.77700000000000002"/>
    <n v="108005"/>
    <n v="0.57999999999999996"/>
    <n v="0.58899999999999997"/>
    <n v="76"/>
    <x v="1"/>
    <n v="3"/>
    <n v="178273"/>
    <n v="0.104"/>
  </r>
  <r>
    <n v="0.77700000000000002"/>
    <n v="108005"/>
    <n v="0.57999999999999996"/>
    <n v="0.58899999999999997"/>
    <n v="76"/>
    <x v="1"/>
    <n v="3"/>
    <n v="178273"/>
    <n v="0.104"/>
  </r>
  <r>
    <n v="0.81799999999999995"/>
    <n v="125952"/>
    <n v="0.68700000000000006"/>
    <n v="0.88600000000000001"/>
    <n v="76"/>
    <x v="1"/>
    <n v="0"/>
    <n v="165753"/>
    <n v="1.12E-2"/>
  </r>
  <r>
    <n v="0.69"/>
    <n v="125004"/>
    <n v="0.84699999999999998"/>
    <n v="0.69199999999999995"/>
    <n v="76"/>
    <x v="0"/>
    <n v="1"/>
    <n v="186662"/>
    <n v="1.2699999999999999E-2"/>
  </r>
  <r>
    <n v="0.68400000000000005"/>
    <n v="114011"/>
    <n v="0.79500000000000004"/>
    <n v="0.41899999999999998"/>
    <n v="76"/>
    <x v="0"/>
    <n v="11"/>
    <n v="237895"/>
    <n v="2.2499999999999999E-2"/>
  </r>
  <r>
    <n v="0.86"/>
    <n v="93989"/>
    <n v="0.73699999999999999"/>
    <n v="0.65600000000000003"/>
    <n v="76"/>
    <x v="0"/>
    <n v="8"/>
    <n v="193227"/>
    <n v="0.11"/>
  </r>
  <r>
    <n v="0.76600000000000001"/>
    <n v="130001"/>
    <n v="0.76200000000000001"/>
    <n v="0.442"/>
    <n v="76"/>
    <x v="1"/>
    <n v="7"/>
    <n v="287120"/>
    <n v="7.7600000000000004E-3"/>
  </r>
  <r>
    <n v="0.496"/>
    <n v="100025"/>
    <n v="0.69599999999999995"/>
    <n v="0.47599999999999998"/>
    <n v="76"/>
    <x v="0"/>
    <n v="9"/>
    <n v="184806"/>
    <n v="0.27300000000000002"/>
  </r>
  <r>
    <n v="0.50700000000000001"/>
    <n v="99994"/>
    <n v="0.755"/>
    <n v="0.60599999999999998"/>
    <n v="76"/>
    <x v="0"/>
    <n v="3"/>
    <n v="124806"/>
    <n v="0.29299999999999998"/>
  </r>
  <r>
    <n v="0.76"/>
    <n v="80082"/>
    <n v="0.435"/>
    <n v="0.20599999999999999"/>
    <n v="76"/>
    <x v="0"/>
    <n v="8"/>
    <n v="351947"/>
    <n v="1.7500000000000002E-2"/>
  </r>
  <r>
    <n v="0.52"/>
    <n v="92869"/>
    <n v="0.747"/>
    <n v="0.60099999999999998"/>
    <n v="76"/>
    <x v="0"/>
    <n v="10"/>
    <n v="232773"/>
    <n v="9.7699999999999995E-2"/>
  </r>
  <r>
    <n v="0.33800000000000002"/>
    <n v="133943"/>
    <n v="0.40799999999999997"/>
    <n v="0.1"/>
    <n v="76"/>
    <x v="1"/>
    <n v="4"/>
    <n v="177609"/>
    <n v="0.52100000000000002"/>
  </r>
  <r>
    <n v="0.66300000000000003"/>
    <n v="184057"/>
    <n v="0.67200000000000004"/>
    <n v="0.38100000000000001"/>
    <n v="76"/>
    <x v="1"/>
    <n v="3"/>
    <n v="138324"/>
    <n v="0.112"/>
  </r>
  <r>
    <n v="0.50700000000000001"/>
    <n v="130007"/>
    <n v="0.872"/>
    <n v="0.50600000000000001"/>
    <n v="76"/>
    <x v="0"/>
    <n v="4"/>
    <n v="158667"/>
    <n v="0.19500000000000001"/>
  </r>
  <r>
    <n v="0.53300000000000003"/>
    <s v="130.02"/>
    <n v="0.64500000000000002"/>
    <n v="0.34899999999999998"/>
    <n v="76"/>
    <x v="1"/>
    <n v="2"/>
    <n v="180923"/>
    <n v="0.64400000000000002"/>
  </r>
  <r>
    <n v="0.92400000000000004"/>
    <n v="168017"/>
    <n v="0.59799999999999998"/>
    <n v="0.61099999999999999"/>
    <n v="76"/>
    <x v="0"/>
    <n v="6"/>
    <n v="162339"/>
    <n v="2.0500000000000001E-2"/>
  </r>
  <r>
    <n v="0.42199999999999999"/>
    <n v="124357"/>
    <n v="0.57299999999999995"/>
    <n v="0.69299999999999995"/>
    <n v="76"/>
    <x v="0"/>
    <n v="10"/>
    <n v="184791"/>
    <n v="0.55100000000000005"/>
  </r>
  <r>
    <n v="0.58899999999999997"/>
    <n v="124634"/>
    <n v="0.45500000000000002"/>
    <n v="0.254"/>
    <n v="75"/>
    <x v="1"/>
    <n v="11"/>
    <n v="283733"/>
    <n v="1.8400000000000001E-3"/>
  </r>
  <r>
    <n v="0.376"/>
    <n v="164775"/>
    <n v="0.53"/>
    <n v="0.188"/>
    <n v="75"/>
    <x v="0"/>
    <n v="9"/>
    <n v="259947"/>
    <n v="3.04E-2"/>
  </r>
  <r>
    <n v="0.90500000000000003"/>
    <n v="128019"/>
    <n v="0.60199999999999998"/>
    <n v="0.41099999999999998"/>
    <n v="75"/>
    <x v="1"/>
    <n v="2"/>
    <n v="304840"/>
    <n v="2.02E-4"/>
  </r>
  <r>
    <n v="0.80800000000000005"/>
    <n v="151008"/>
    <n v="0.57699999999999996"/>
    <n v="0.86899999999999999"/>
    <n v="75"/>
    <x v="0"/>
    <n v="1"/>
    <n v="290280"/>
    <n v="3.3799999999999997E-2"/>
  </r>
  <r>
    <n v="0.93200000000000005"/>
    <n v="112937"/>
    <n v="0.56399999999999995"/>
    <n v="0.61899999999999999"/>
    <n v="75"/>
    <x v="1"/>
    <n v="11"/>
    <n v="146250"/>
    <n v="1.2999999999999999E-2"/>
  </r>
  <r>
    <n v="0.92700000000000005"/>
    <n v="141466"/>
    <n v="0.33300000000000002"/>
    <n v="0.38500000000000001"/>
    <n v="75"/>
    <x v="0"/>
    <n v="9"/>
    <n v="308120"/>
    <n v="2.8999999999999998E-3"/>
  </r>
  <r>
    <n v="0.26200000000000001"/>
    <n v="122861"/>
    <n v="0.48099999999999998"/>
    <n v="0.375"/>
    <n v="75"/>
    <x v="1"/>
    <n v="7"/>
    <n v="334744"/>
    <n v="0.73499999999999999"/>
  </r>
  <r>
    <n v="0.44900000000000001"/>
    <n v="84383"/>
    <n v="0.623"/>
    <n v="0.57299999999999995"/>
    <n v="75"/>
    <x v="1"/>
    <n v="5"/>
    <n v="256000"/>
    <n v="0.21199999999999999"/>
  </r>
  <r>
    <n v="0.44900000000000001"/>
    <n v="92468"/>
    <n v="0.44700000000000001"/>
    <n v="3.5999999999999997E-2"/>
    <n v="75"/>
    <x v="1"/>
    <n v="2"/>
    <n v="315427"/>
    <n v="0.93400000000000005"/>
  </r>
  <r>
    <n v="0.73"/>
    <n v="156953"/>
    <n v="0.72899999999999998"/>
    <n v="0.41"/>
    <n v="75"/>
    <x v="0"/>
    <n v="11"/>
    <n v="191399"/>
    <n v="1.65E-3"/>
  </r>
  <r>
    <n v="0.67"/>
    <n v="139956"/>
    <n v="0.79"/>
    <n v="0.40799999999999997"/>
    <n v="75"/>
    <x v="1"/>
    <n v="1"/>
    <n v="195950"/>
    <n v="0.377"/>
  </r>
  <r>
    <n v="0.73299999999999998"/>
    <n v="97974"/>
    <n v="0.82499999999999996"/>
    <n v="0.62"/>
    <n v="75"/>
    <x v="0"/>
    <n v="1"/>
    <n v="190331"/>
    <n v="0.34899999999999998"/>
  </r>
  <r>
    <n v="0.66500000000000004"/>
    <n v="94329"/>
    <n v="0.58299999999999996"/>
    <n v="0.46300000000000002"/>
    <n v="75"/>
    <x v="1"/>
    <n v="1"/>
    <n v="155368"/>
    <n v="0.314"/>
  </r>
  <r>
    <n v="0.34599999999999997"/>
    <n v="119957"/>
    <n v="0.96299999999999997"/>
    <n v="0.56200000000000006"/>
    <n v="75"/>
    <x v="0"/>
    <n v="5"/>
    <n v="142273"/>
    <n v="3.5499999999999997E-2"/>
  </r>
  <r>
    <n v="0.874"/>
    <n v="118079"/>
    <n v="0.77400000000000002"/>
    <n v="0.92700000000000005"/>
    <n v="75"/>
    <x v="0"/>
    <n v="5"/>
    <n v="174053"/>
    <n v="0.14199999999999999"/>
  </r>
  <r>
    <n v="0.59399999999999997"/>
    <s v="125.01"/>
    <n v="0.69399999999999995"/>
    <n v="0.67200000000000004"/>
    <n v="75"/>
    <x v="0"/>
    <n v="8"/>
    <n v="307565"/>
    <n v="0.39600000000000002"/>
  </r>
  <r>
    <n v="0.74"/>
    <n v="117955"/>
    <n v="0.748"/>
    <n v="0.61799999999999999"/>
    <n v="75"/>
    <x v="0"/>
    <n v="7"/>
    <n v="198607"/>
    <n v="2.92E-2"/>
  </r>
  <r>
    <n v="0.85599999999999998"/>
    <s v="136.0"/>
    <n v="0.69099999999999995"/>
    <n v="0.71299999999999997"/>
    <n v="75"/>
    <x v="0"/>
    <n v="6"/>
    <n v="157500"/>
    <n v="0.2"/>
  </r>
  <r>
    <n v="0.35199999999999998"/>
    <n v="102679"/>
    <n v="0.45"/>
    <n v="0.40799999999999997"/>
    <n v="75"/>
    <x v="0"/>
    <n v="1"/>
    <n v="252747"/>
    <n v="0.64900000000000002"/>
  </r>
  <r>
    <n v="0.49299999999999999"/>
    <n v="82887"/>
    <n v="0.34699999999999998"/>
    <n v="0.308"/>
    <n v="75"/>
    <x v="0"/>
    <n v="8"/>
    <n v="382760"/>
    <n v="0.45500000000000002"/>
  </r>
  <r>
    <n v="0.5"/>
    <n v="132798"/>
    <n v="0.60199999999999998"/>
    <n v="0.39500000000000002"/>
    <n v="75"/>
    <x v="1"/>
    <n v="8"/>
    <n v="223630"/>
    <n v="0.47699999999999998"/>
  </r>
  <r>
    <n v="0.58799999999999997"/>
    <n v="94519"/>
    <n v="0.68600000000000005"/>
    <n v="0.61699999999999999"/>
    <n v="75"/>
    <x v="0"/>
    <n v="7"/>
    <n v="249120"/>
    <n v="0.17799999999999999"/>
  </r>
  <r>
    <n v="0.5"/>
    <s v="135.03"/>
    <n v="0.85599999999999998"/>
    <n v="0.88600000000000001"/>
    <n v="75"/>
    <x v="1"/>
    <n v="11"/>
    <n v="177900"/>
    <n v="0.48699999999999999"/>
  </r>
  <r>
    <n v="0.39400000000000002"/>
    <n v="92009"/>
    <n v="0.76400000000000001"/>
    <n v="0.46500000000000002"/>
    <n v="75"/>
    <x v="1"/>
    <n v="8"/>
    <n v="158421"/>
    <n v="0.23100000000000001"/>
  </r>
  <r>
    <n v="0.59299999999999997"/>
    <n v="119958"/>
    <n v="0.79"/>
    <n v="0.72"/>
    <n v="75"/>
    <x v="0"/>
    <n v="1"/>
    <n v="206067"/>
    <n v="9.8299999999999998E-2"/>
  </r>
  <r>
    <n v="0.76600000000000001"/>
    <n v="127975"/>
    <n v="0.73499999999999999"/>
    <n v="0.6"/>
    <n v="75"/>
    <x v="1"/>
    <n v="1"/>
    <n v="215227"/>
    <n v="2.5000000000000001E-2"/>
  </r>
  <r>
    <n v="0.51"/>
    <n v="119994"/>
    <n v="0.82899999999999996"/>
    <n v="0.45"/>
    <n v="75"/>
    <x v="0"/>
    <n v="5"/>
    <n v="208133"/>
    <n v="8.2100000000000003E-3"/>
  </r>
  <r>
    <n v="0.74099999999999999"/>
    <n v="119896"/>
    <n v="0.72"/>
    <n v="0.35699999999999998"/>
    <n v="75"/>
    <x v="0"/>
    <n v="10"/>
    <n v="198053"/>
    <n v="0.10100000000000001"/>
  </r>
  <r>
    <n v="0.73799999999999999"/>
    <s v="130.0"/>
    <n v="0.59299999999999997"/>
    <n v="0.59099999999999997"/>
    <n v="75"/>
    <x v="0"/>
    <n v="11"/>
    <n v="134785"/>
    <n v="0.26900000000000002"/>
  </r>
  <r>
    <n v="0.81"/>
    <n v="150251"/>
    <n v="0.61299999999999999"/>
    <n v="0.68600000000000005"/>
    <n v="75"/>
    <x v="1"/>
    <n v="1"/>
    <n v="116104"/>
    <n v="0.83199999999999996"/>
  </r>
  <r>
    <n v="0.96699999999999997"/>
    <n v="149036"/>
    <n v="0.628"/>
    <n v="0.39900000000000002"/>
    <n v="75"/>
    <x v="1"/>
    <n v="1"/>
    <n v="151589"/>
    <n v="3.9800000000000002E-2"/>
  </r>
  <r>
    <n v="0.89700000000000002"/>
    <n v="129975"/>
    <n v="0.68600000000000005"/>
    <n v="0.35499999999999998"/>
    <n v="75"/>
    <x v="0"/>
    <n v="11"/>
    <n v="163139"/>
    <n v="1.03E-2"/>
  </r>
  <r>
    <n v="0.79300000000000004"/>
    <n v="120003"/>
    <n v="0.69599999999999995"/>
    <n v="0.69799999999999995"/>
    <n v="75"/>
    <x v="1"/>
    <n v="8"/>
    <n v="172253"/>
    <n v="6.83E-2"/>
  </r>
  <r>
    <n v="0.83599999999999997"/>
    <n v="105173"/>
    <n v="0.54300000000000004"/>
    <n v="0.56000000000000005"/>
    <n v="75"/>
    <x v="0"/>
    <n v="4"/>
    <n v="515387"/>
    <n v="6.4700000000000001E-4"/>
  </r>
  <r>
    <n v="0.91600000000000004"/>
    <n v="118004"/>
    <n v="0.57999999999999996"/>
    <n v="0.68300000000000005"/>
    <n v="75"/>
    <x v="0"/>
    <n v="3"/>
    <n v="305907"/>
    <n v="2.9700000000000001E-4"/>
  </r>
  <r>
    <n v="0.83499999999999996"/>
    <n v="129981"/>
    <n v="0.57199999999999995"/>
    <n v="0.79500000000000004"/>
    <n v="75"/>
    <x v="1"/>
    <n v="0"/>
    <n v="241600"/>
    <n v="0.17100000000000001"/>
  </r>
  <r>
    <n v="0.44900000000000001"/>
    <n v="84383"/>
    <n v="0.623"/>
    <n v="0.57299999999999995"/>
    <n v="75"/>
    <x v="1"/>
    <n v="5"/>
    <n v="256000"/>
    <n v="0.21199999999999999"/>
  </r>
  <r>
    <n v="0.5"/>
    <n v="101959"/>
    <n v="0.871"/>
    <n v="0.76"/>
    <n v="75"/>
    <x v="0"/>
    <n v="11"/>
    <n v="168359"/>
    <n v="0.32"/>
  </r>
  <r>
    <n v="0.59499999999999997"/>
    <s v="108.02"/>
    <n v="0.77700000000000002"/>
    <n v="0.54600000000000004"/>
    <n v="75"/>
    <x v="1"/>
    <n v="2"/>
    <n v="244444"/>
    <n v="0.59"/>
  </r>
  <r>
    <n v="0.498"/>
    <n v="122016"/>
    <n v="0.876"/>
    <n v="0.42799999999999999"/>
    <n v="75"/>
    <x v="1"/>
    <n v="10"/>
    <n v="173119"/>
    <n v="7.0599999999999996E-2"/>
  </r>
  <r>
    <n v="0.72399999999999998"/>
    <n v="83118"/>
    <n v="0.56899999999999995"/>
    <n v="0.56200000000000006"/>
    <n v="75"/>
    <x v="0"/>
    <n v="6"/>
    <n v="194563"/>
    <n v="0.22800000000000001"/>
  </r>
  <r>
    <n v="0.34599999999999997"/>
    <n v="119957"/>
    <n v="0.96299999999999997"/>
    <n v="0.56200000000000006"/>
    <n v="75"/>
    <x v="0"/>
    <n v="5"/>
    <n v="142273"/>
    <n v="3.5499999999999997E-2"/>
  </r>
  <r>
    <n v="0.874"/>
    <n v="118079"/>
    <n v="0.77400000000000002"/>
    <n v="0.92700000000000005"/>
    <n v="75"/>
    <x v="0"/>
    <n v="5"/>
    <n v="174053"/>
    <n v="0.14199999999999999"/>
  </r>
  <r>
    <n v="0.65600000000000003"/>
    <n v="104036"/>
    <n v="0.63800000000000001"/>
    <n v="0.22500000000000001"/>
    <n v="75"/>
    <x v="1"/>
    <n v="5"/>
    <n v="262467"/>
    <n v="0.188"/>
  </r>
  <r>
    <n v="0.82499999999999996"/>
    <n v="94931"/>
    <n v="0.56000000000000005"/>
    <n v="0.26800000000000002"/>
    <n v="75"/>
    <x v="1"/>
    <n v="11"/>
    <n v="237493"/>
    <n v="0.32300000000000001"/>
  </r>
  <r>
    <n v="0.79200000000000004"/>
    <n v="119054"/>
    <n v="0.627"/>
    <n v="0.41499999999999998"/>
    <n v="75"/>
    <x v="1"/>
    <n v="2"/>
    <n v="235767"/>
    <n v="0.13"/>
  </r>
  <r>
    <n v="0.54"/>
    <n v="116947"/>
    <n v="0.75900000000000001"/>
    <n v="0.75"/>
    <n v="75"/>
    <x v="0"/>
    <n v="9"/>
    <n v="190960"/>
    <n v="3.6999999999999998E-2"/>
  </r>
  <r>
    <n v="0.59299999999999997"/>
    <n v="119958"/>
    <n v="0.79"/>
    <n v="0.72"/>
    <n v="75"/>
    <x v="0"/>
    <n v="1"/>
    <n v="206067"/>
    <n v="9.8299999999999998E-2"/>
  </r>
  <r>
    <n v="0.76600000000000001"/>
    <n v="127975"/>
    <n v="0.73499999999999999"/>
    <n v="0.6"/>
    <n v="75"/>
    <x v="1"/>
    <n v="1"/>
    <n v="215227"/>
    <n v="2.5000000000000001E-2"/>
  </r>
  <r>
    <n v="0.83499999999999996"/>
    <n v="129981"/>
    <n v="0.57199999999999995"/>
    <n v="0.79500000000000004"/>
    <n v="75"/>
    <x v="1"/>
    <n v="0"/>
    <n v="241600"/>
    <n v="0.17100000000000001"/>
  </r>
  <r>
    <n v="0.872"/>
    <s v="126.05"/>
    <n v="0.56000000000000005"/>
    <n v="0.68200000000000005"/>
    <n v="75"/>
    <x v="1"/>
    <n v="3"/>
    <n v="205933"/>
    <n v="2.3900000000000001E-2"/>
  </r>
  <r>
    <n v="0.751"/>
    <n v="91031"/>
    <n v="0.70599999999999996"/>
    <n v="0.19500000000000001"/>
    <n v="75"/>
    <x v="1"/>
    <n v="9"/>
    <n v="182307"/>
    <n v="0.17299999999999999"/>
  </r>
  <r>
    <n v="0.70199999999999996"/>
    <n v="129948"/>
    <n v="0.68600000000000005"/>
    <n v="0.28999999999999998"/>
    <n v="75"/>
    <x v="0"/>
    <n v="7"/>
    <n v="214840"/>
    <n v="6.3699999999999998E-3"/>
  </r>
  <r>
    <n v="0.86099999999999999"/>
    <s v="128.99"/>
    <n v="0.70399999999999996"/>
    <n v="0.63600000000000001"/>
    <n v="75"/>
    <x v="0"/>
    <n v="2"/>
    <n v="213394"/>
    <n v="0.58699999999999997"/>
  </r>
  <r>
    <n v="0.65500000000000003"/>
    <s v="122.49"/>
    <n v="0.57199999999999995"/>
    <n v="0.39200000000000002"/>
    <n v="75"/>
    <x v="0"/>
    <n v="7"/>
    <n v="237053"/>
    <n v="5.79E-3"/>
  </r>
  <r>
    <n v="0.7"/>
    <n v="101875"/>
    <n v="0.85"/>
    <n v="0.72399999999999998"/>
    <n v="75"/>
    <x v="1"/>
    <n v="7"/>
    <n v="291782"/>
    <n v="6.0699999999999997E-2"/>
  </r>
  <r>
    <n v="0.80700000000000005"/>
    <s v="174.06"/>
    <n v="0.622"/>
    <n v="0.89200000000000002"/>
    <n v="75"/>
    <x v="0"/>
    <n v="5"/>
    <n v="220293"/>
    <n v="0.10299999999999999"/>
  </r>
  <r>
    <n v="0.64800000000000002"/>
    <n v="125035"/>
    <n v="0.86899999999999999"/>
    <n v="0.9"/>
    <n v="75"/>
    <x v="0"/>
    <n v="11"/>
    <n v="339320"/>
    <n v="0.121"/>
  </r>
  <r>
    <n v="0.94099999999999995"/>
    <n v="119783"/>
    <n v="0.502"/>
    <n v="0.124"/>
    <n v="75"/>
    <x v="1"/>
    <n v="7"/>
    <n v="219987"/>
    <n v="3.4600000000000001E-4"/>
  </r>
  <r>
    <n v="0.90500000000000003"/>
    <n v="128019"/>
    <n v="0.60199999999999998"/>
    <n v="0.41099999999999998"/>
    <n v="75"/>
    <x v="1"/>
    <n v="2"/>
    <n v="304840"/>
    <n v="2.02E-4"/>
  </r>
  <r>
    <n v="0.83599999999999997"/>
    <n v="105173"/>
    <n v="0.54300000000000004"/>
    <n v="0.56000000000000005"/>
    <n v="75"/>
    <x v="0"/>
    <n v="4"/>
    <n v="515387"/>
    <n v="6.4700000000000001E-4"/>
  </r>
  <r>
    <n v="0.91600000000000004"/>
    <n v="118004"/>
    <n v="0.57999999999999996"/>
    <n v="0.68300000000000005"/>
    <n v="75"/>
    <x v="0"/>
    <n v="3"/>
    <n v="305907"/>
    <n v="2.9700000000000001E-4"/>
  </r>
  <r>
    <n v="0.93899999999999995"/>
    <n v="177751"/>
    <n v="0.49399999999999999"/>
    <n v="0.89300000000000002"/>
    <n v="75"/>
    <x v="1"/>
    <n v="1"/>
    <n v="175093"/>
    <n v="6.6600000000000001E-3"/>
  </r>
  <r>
    <n v="0.78100000000000003"/>
    <n v="110024"/>
    <n v="0.65500000000000003"/>
    <n v="0.58399999999999996"/>
    <n v="75"/>
    <x v="1"/>
    <n v="11"/>
    <n v="227240"/>
    <n v="1.0300000000000001E-3"/>
  </r>
  <r>
    <n v="0.93200000000000005"/>
    <n v="92956"/>
    <n v="0.54500000000000004"/>
    <n v="0.46400000000000002"/>
    <n v="75"/>
    <x v="0"/>
    <n v="7"/>
    <n v="192000"/>
    <n v="6.6500000000000001E-4"/>
  </r>
  <r>
    <n v="0.96099999999999997"/>
    <n v="114451"/>
    <n v="0.621"/>
    <n v="0.44900000000000001"/>
    <n v="75"/>
    <x v="0"/>
    <n v="11"/>
    <n v="180267"/>
    <n v="5.2300000000000003E-3"/>
  </r>
  <r>
    <n v="0.96499999999999997"/>
    <n v="112363"/>
    <n v="0.40300000000000002"/>
    <n v="0.43099999999999999"/>
    <n v="75"/>
    <x v="1"/>
    <n v="6"/>
    <n v="236293"/>
    <n v="3.8099999999999998E-5"/>
  </r>
  <r>
    <n v="0.214"/>
    <n v="67531"/>
    <n v="0.33200000000000002"/>
    <n v="0.11"/>
    <n v="75"/>
    <x v="1"/>
    <n v="4"/>
    <n v="271093"/>
    <n v="0.84499999999999997"/>
  </r>
  <r>
    <n v="0.58799999999999997"/>
    <n v="94519"/>
    <n v="0.68600000000000005"/>
    <n v="0.61699999999999999"/>
    <n v="75"/>
    <x v="0"/>
    <n v="7"/>
    <n v="249120"/>
    <n v="0.17799999999999999"/>
  </r>
  <r>
    <n v="0.82499999999999996"/>
    <n v="94931"/>
    <n v="0.56000000000000005"/>
    <n v="0.26800000000000002"/>
    <n v="75"/>
    <x v="1"/>
    <n v="11"/>
    <n v="237493"/>
    <n v="0.32300000000000001"/>
  </r>
  <r>
    <n v="0.47899999999999998"/>
    <n v="81998"/>
    <n v="0.67500000000000004"/>
    <n v="0.45400000000000001"/>
    <n v="75"/>
    <x v="0"/>
    <n v="0"/>
    <n v="209493"/>
    <n v="0.63300000000000001"/>
  </r>
  <r>
    <n v="0.65600000000000003"/>
    <n v="104036"/>
    <n v="0.63800000000000001"/>
    <n v="0.22500000000000001"/>
    <n v="75"/>
    <x v="1"/>
    <n v="5"/>
    <n v="262467"/>
    <n v="0.188"/>
  </r>
  <r>
    <n v="0.30599999999999999"/>
    <n v="118068"/>
    <n v="0.65"/>
    <n v="0.60499999999999998"/>
    <n v="75"/>
    <x v="1"/>
    <n v="9"/>
    <n v="180056"/>
    <n v="0.56999999999999995"/>
  </r>
  <r>
    <n v="0.83399999999999996"/>
    <n v="118222"/>
    <n v="0.249"/>
    <n v="0.33700000000000002"/>
    <n v="75"/>
    <x v="1"/>
    <n v="0"/>
    <n v="547107"/>
    <n v="7.4200000000000002E-2"/>
  </r>
  <r>
    <n v="0.89600000000000002"/>
    <n v="101216"/>
    <n v="0.67"/>
    <n v="0.40300000000000002"/>
    <n v="75"/>
    <x v="1"/>
    <n v="1"/>
    <n v="160000"/>
    <n v="3.4200000000000001E-2"/>
  </r>
  <r>
    <n v="0.876"/>
    <n v="129998"/>
    <n v="0.67100000000000004"/>
    <n v="0.96399999999999997"/>
    <n v="75"/>
    <x v="0"/>
    <n v="7"/>
    <n v="231545"/>
    <n v="0.12"/>
  </r>
  <r>
    <n v="0.72199999999999998"/>
    <n v="121964"/>
    <n v="0.58699999999999997"/>
    <n v="0.46600000000000003"/>
    <n v="75"/>
    <x v="0"/>
    <n v="2"/>
    <n v="180843"/>
    <n v="7.54E-4"/>
  </r>
  <r>
    <n v="0.64800000000000002"/>
    <n v="179951"/>
    <n v="0.64400000000000002"/>
    <n v="0.44"/>
    <n v="75"/>
    <x v="1"/>
    <n v="1"/>
    <n v="206710"/>
    <n v="0.27600000000000002"/>
  </r>
  <r>
    <n v="0.57299999999999995"/>
    <n v="109928"/>
    <n v="0.73099999999999998"/>
    <n v="0.14499999999999999"/>
    <n v="75"/>
    <x v="0"/>
    <n v="4"/>
    <n v="205090"/>
    <n v="0.40100000000000002"/>
  </r>
  <r>
    <n v="0.79100000000000004"/>
    <n v="92603"/>
    <n v="0.63900000000000001"/>
    <n v="0.93300000000000005"/>
    <n v="75"/>
    <x v="0"/>
    <n v="10"/>
    <n v="222347"/>
    <n v="2.75E-2"/>
  </r>
  <r>
    <n v="0.67500000000000004"/>
    <s v="79.31"/>
    <n v="0.627"/>
    <n v="0.96099999999999997"/>
    <n v="75"/>
    <x v="0"/>
    <n v="5"/>
    <n v="277107"/>
    <n v="0.125"/>
  </r>
  <r>
    <n v="0.88"/>
    <n v="180011"/>
    <n v="0.72"/>
    <n v="0.46300000000000002"/>
    <n v="75"/>
    <x v="1"/>
    <n v="9"/>
    <n v="197333"/>
    <n v="5.62E-2"/>
  </r>
  <r>
    <n v="0.61699999999999999"/>
    <s v="173.97"/>
    <n v="0.70299999999999996"/>
    <n v="0.48599999999999999"/>
    <n v="75"/>
    <x v="1"/>
    <n v="5"/>
    <n v="275862"/>
    <n v="0.215"/>
  </r>
  <r>
    <n v="0.47599999999999998"/>
    <n v="129992"/>
    <n v="0.79300000000000004"/>
    <n v="0.57799999999999996"/>
    <n v="75"/>
    <x v="0"/>
    <n v="5"/>
    <n v="194769"/>
    <n v="0.13200000000000001"/>
  </r>
  <r>
    <n v="0.32700000000000001"/>
    <n v="90025"/>
    <n v="0.70699999999999996"/>
    <n v="0.18099999999999999"/>
    <n v="75"/>
    <x v="0"/>
    <n v="0"/>
    <n v="176000"/>
    <n v="0.185"/>
  </r>
  <r>
    <n v="0.72899999999999998"/>
    <n v="98022"/>
    <n v="0.629"/>
    <n v="0.42699999999999999"/>
    <n v="75"/>
    <x v="0"/>
    <n v="7"/>
    <n v="154286"/>
    <n v="0.43099999999999999"/>
  </r>
  <r>
    <n v="0.58599999999999997"/>
    <n v="130012"/>
    <n v="0.89100000000000001"/>
    <n v="0.95399999999999996"/>
    <n v="75"/>
    <x v="1"/>
    <n v="11"/>
    <n v="134548"/>
    <n v="8.3299999999999999E-2"/>
  </r>
  <r>
    <n v="0.27700000000000002"/>
    <n v="159719"/>
    <n v="0.32900000000000001"/>
    <n v="0.121"/>
    <n v="75"/>
    <x v="0"/>
    <n v="10"/>
    <n v="289560"/>
    <n v="0.97099999999999997"/>
  </r>
  <r>
    <n v="0.28899999999999998"/>
    <n v="129753"/>
    <n v="0.53100000000000003"/>
    <n v="0.12"/>
    <n v="75"/>
    <x v="1"/>
    <n v="2"/>
    <n v="393962"/>
    <n v="0.33900000000000002"/>
  </r>
  <r>
    <n v="0.36699999999999999"/>
    <n v="77968"/>
    <n v="0.39500000000000002"/>
    <n v="0.42599999999999999"/>
    <n v="75"/>
    <x v="1"/>
    <n v="3"/>
    <n v="177212"/>
    <n v="0.81499999999999995"/>
  </r>
  <r>
    <n v="0.159"/>
    <s v="72.38"/>
    <n v="0.40300000000000002"/>
    <n v="3.8100000000000002E-2"/>
    <n v="75"/>
    <x v="0"/>
    <n v="1"/>
    <n v="234761"/>
    <n v="0.96099999999999997"/>
  </r>
  <r>
    <n v="0.81399999999999995"/>
    <n v="144991"/>
    <n v="0.625"/>
    <n v="0.53500000000000003"/>
    <n v="75"/>
    <x v="1"/>
    <n v="0"/>
    <n v="205485"/>
    <n v="1.72E-2"/>
  </r>
  <r>
    <n v="0.88"/>
    <n v="169949"/>
    <n v="0.49"/>
    <n v="0.39200000000000002"/>
    <n v="75"/>
    <x v="1"/>
    <n v="2"/>
    <n v="184013"/>
    <n v="1.5399999999999999E-3"/>
  </r>
  <r>
    <n v="0.78"/>
    <n v="171285"/>
    <n v="0.46100000000000002"/>
    <n v="0.44800000000000001"/>
    <n v="75"/>
    <x v="0"/>
    <n v="11"/>
    <n v="227442"/>
    <n v="0.128"/>
  </r>
  <r>
    <n v="0.627"/>
    <n v="89998"/>
    <n v="0.74199999999999999"/>
    <n v="0.35599999999999998"/>
    <n v="75"/>
    <x v="0"/>
    <n v="4"/>
    <n v="183757"/>
    <n v="0.26200000000000001"/>
  </r>
  <r>
    <n v="0.51200000000000001"/>
    <n v="144926"/>
    <n v="0.84799999999999998"/>
    <n v="0.88100000000000001"/>
    <n v="75"/>
    <x v="1"/>
    <n v="7"/>
    <n v="159222"/>
    <n v="0.28399999999999997"/>
  </r>
  <r>
    <n v="0.35599999999999998"/>
    <n v="83679"/>
    <n v="0.70799999999999996"/>
    <n v="0.56899999999999995"/>
    <n v="75"/>
    <x v="1"/>
    <n v="1"/>
    <n v="263185"/>
    <n v="0.437"/>
  </r>
  <r>
    <n v="0.57699999999999996"/>
    <n v="119986"/>
    <n v="0.79500000000000004"/>
    <n v="0.20599999999999999"/>
    <n v="75"/>
    <x v="0"/>
    <n v="1"/>
    <n v="248000"/>
    <n v="2.63E-3"/>
  </r>
  <r>
    <n v="0.52300000000000002"/>
    <s v="173.85"/>
    <n v="0.45200000000000001"/>
    <n v="0.36299999999999999"/>
    <n v="75"/>
    <x v="1"/>
    <n v="5"/>
    <n v="193827"/>
    <n v="0.56299999999999994"/>
  </r>
  <r>
    <n v="0.59299999999999997"/>
    <n v="119958"/>
    <n v="0.79"/>
    <n v="0.72"/>
    <n v="75"/>
    <x v="0"/>
    <n v="1"/>
    <n v="206067"/>
    <n v="9.8299999999999998E-2"/>
  </r>
  <r>
    <n v="0.39400000000000002"/>
    <n v="104114"/>
    <n v="0.69299999999999995"/>
    <n v="0.72099999999999997"/>
    <n v="74"/>
    <x v="1"/>
    <n v="0"/>
    <n v="238747"/>
    <n v="7.8200000000000006E-2"/>
  </r>
  <r>
    <n v="0.69099999999999995"/>
    <n v="137145"/>
    <n v="0.54800000000000004"/>
    <n v="0.66700000000000004"/>
    <n v="74"/>
    <x v="0"/>
    <n v="4"/>
    <n v="261933"/>
    <n v="1.4999999999999999E-2"/>
  </r>
  <r>
    <n v="0.48199999999999998"/>
    <n v="138453"/>
    <n v="0.52900000000000003"/>
    <n v="0.49199999999999999"/>
    <n v="74"/>
    <x v="0"/>
    <n v="4"/>
    <n v="516893"/>
    <n v="0.7"/>
  </r>
  <r>
    <n v="0.318"/>
    <n v="104522"/>
    <n v="0.57499999999999996"/>
    <n v="0.38500000000000001"/>
    <n v="74"/>
    <x v="1"/>
    <n v="0"/>
    <n v="254173"/>
    <n v="0.68300000000000005"/>
  </r>
  <r>
    <n v="0.57799999999999996"/>
    <n v="124005"/>
    <n v="0.91600000000000004"/>
    <n v="0.192"/>
    <n v="74"/>
    <x v="1"/>
    <n v="11"/>
    <n v="159894"/>
    <n v="3.49E-3"/>
  </r>
  <r>
    <n v="0.52700000000000002"/>
    <n v="77499"/>
    <n v="0.82399999999999995"/>
    <n v="0.21199999999999999"/>
    <n v="74"/>
    <x v="1"/>
    <n v="8"/>
    <n v="155391"/>
    <n v="0.14899999999999999"/>
  </r>
  <r>
    <n v="0.496"/>
    <n v="86003"/>
    <n v="0.88900000000000001"/>
    <n v="0.54400000000000004"/>
    <n v="74"/>
    <x v="0"/>
    <n v="4"/>
    <n v="180522"/>
    <n v="0.25900000000000001"/>
  </r>
  <r>
    <n v="0.71799999999999997"/>
    <n v="105002"/>
    <n v="0.84799999999999998"/>
    <n v="0.56399999999999995"/>
    <n v="74"/>
    <x v="0"/>
    <n v="9"/>
    <n v="165901"/>
    <n v="0.183"/>
  </r>
  <r>
    <n v="0.58499999999999996"/>
    <n v="109942"/>
    <n v="0.77500000000000002"/>
    <n v="0.51800000000000002"/>
    <n v="74"/>
    <x v="0"/>
    <n v="10"/>
    <n v="337560"/>
    <n v="4.2200000000000001E-2"/>
  </r>
  <r>
    <n v="0.90100000000000002"/>
    <n v="113967"/>
    <n v="0.621"/>
    <n v="0.74399999999999999"/>
    <n v="74"/>
    <x v="1"/>
    <n v="2"/>
    <n v="300773"/>
    <n v="0.17"/>
  </r>
  <r>
    <n v="0.50900000000000001"/>
    <n v="119869"/>
    <n v="0.89800000000000002"/>
    <n v="0.72699999999999998"/>
    <n v="74"/>
    <x v="1"/>
    <n v="5"/>
    <n v="181507"/>
    <n v="0.39100000000000001"/>
  </r>
  <r>
    <n v="0.69299999999999995"/>
    <n v="86009"/>
    <n v="0.66200000000000003"/>
    <n v="0.65500000000000003"/>
    <n v="74"/>
    <x v="1"/>
    <n v="3"/>
    <n v="252120"/>
    <n v="0.13400000000000001"/>
  </r>
  <r>
    <n v="0.43"/>
    <s v="129.93"/>
    <n v="0.71599999999999997"/>
    <n v="0.47199999999999998"/>
    <n v="74"/>
    <x v="0"/>
    <n v="9"/>
    <n v="171000"/>
    <n v="0.48199999999999998"/>
  </r>
  <r>
    <n v="0.53800000000000003"/>
    <s v="109.97"/>
    <n v="0.81"/>
    <n v="0.83199999999999996"/>
    <n v="74"/>
    <x v="0"/>
    <n v="0"/>
    <n v="266840"/>
    <n v="0.53"/>
  </r>
  <r>
    <n v="0.71199999999999997"/>
    <n v="140012"/>
    <n v="0.57299999999999995"/>
    <n v="0.34599999999999997"/>
    <n v="74"/>
    <x v="1"/>
    <n v="0"/>
    <n v="259720"/>
    <n v="5.7200000000000001E-2"/>
  </r>
  <r>
    <n v="0.69699999999999995"/>
    <n v="122746"/>
    <n v="0.61299999999999999"/>
    <n v="0.47599999999999998"/>
    <n v="74"/>
    <x v="1"/>
    <n v="2"/>
    <n v="320357"/>
    <n v="1.9400000000000001E-2"/>
  </r>
  <r>
    <n v="0.63400000000000001"/>
    <n v="113927"/>
    <n v="0.70399999999999996"/>
    <n v="0.41099999999999998"/>
    <n v="74"/>
    <x v="0"/>
    <n v="11"/>
    <n v="271640"/>
    <n v="0.39300000000000002"/>
  </r>
  <r>
    <n v="0.86099999999999999"/>
    <n v="117965"/>
    <n v="0.73"/>
    <n v="0.70399999999999996"/>
    <n v="74"/>
    <x v="1"/>
    <n v="1"/>
    <n v="196613"/>
    <n v="0.39"/>
  </r>
  <r>
    <n v="0.98899999999999999"/>
    <n v="126002"/>
    <n v="0.621"/>
    <n v="3.4799999999999998E-2"/>
    <n v="74"/>
    <x v="0"/>
    <n v="10"/>
    <n v="158095"/>
    <n v="1.4999999999999999E-2"/>
  </r>
  <r>
    <n v="0.80500000000000005"/>
    <n v="126008"/>
    <n v="0.50600000000000001"/>
    <n v="0.38300000000000001"/>
    <n v="74"/>
    <x v="1"/>
    <n v="1"/>
    <n v="227074"/>
    <n v="7.11E-3"/>
  </r>
  <r>
    <n v="0.78100000000000003"/>
    <n v="128001"/>
    <n v="0.80500000000000005"/>
    <n v="0.81799999999999995"/>
    <n v="74"/>
    <x v="0"/>
    <n v="1"/>
    <n v="220000"/>
    <n v="2E-3"/>
  </r>
  <r>
    <n v="0.84799999999999998"/>
    <n v="135048"/>
    <n v="0.72099999999999997"/>
    <n v="0.77400000000000002"/>
    <n v="74"/>
    <x v="1"/>
    <n v="9"/>
    <n v="129800"/>
    <n v="0.26"/>
  </r>
  <r>
    <n v="0.74199999999999999"/>
    <n v="114071"/>
    <n v="0.77300000000000002"/>
    <n v="0.57099999999999995"/>
    <n v="74"/>
    <x v="0"/>
    <n v="5"/>
    <n v="165265"/>
    <n v="2.06E-2"/>
  </r>
  <r>
    <n v="0.52700000000000002"/>
    <n v="77499"/>
    <n v="0.82399999999999995"/>
    <n v="0.21199999999999999"/>
    <n v="74"/>
    <x v="1"/>
    <n v="8"/>
    <n v="155391"/>
    <n v="0.14899999999999999"/>
  </r>
  <r>
    <n v="0.65500000000000003"/>
    <n v="163997"/>
    <n v="0.47499999999999998"/>
    <n v="0.245"/>
    <n v="74"/>
    <x v="0"/>
    <n v="11"/>
    <n v="247444"/>
    <n v="3.0599999999999999E-2"/>
  </r>
  <r>
    <n v="0.505"/>
    <n v="99935"/>
    <n v="0.53500000000000003"/>
    <n v="0.495"/>
    <n v="74"/>
    <x v="0"/>
    <n v="2"/>
    <n v="320267"/>
    <n v="3.9300000000000002E-2"/>
  </r>
  <r>
    <n v="0.63"/>
    <s v="95.0"/>
    <n v="0.874"/>
    <n v="0.71699999999999997"/>
    <n v="74"/>
    <x v="1"/>
    <n v="1"/>
    <n v="281600"/>
    <n v="5.7799999999999997E-2"/>
  </r>
  <r>
    <n v="0.78600000000000003"/>
    <n v="93857"/>
    <n v="0.76300000000000001"/>
    <n v="0.504"/>
    <n v="74"/>
    <x v="0"/>
    <n v="10"/>
    <n v="325507"/>
    <n v="1.46E-2"/>
  </r>
  <r>
    <n v="0.84299999999999997"/>
    <n v="117662"/>
    <n v="0.52900000000000003"/>
    <n v="0.188"/>
    <n v="74"/>
    <x v="0"/>
    <n v="6"/>
    <n v="310333"/>
    <n v="6.2799999999999995E-2"/>
  </r>
  <r>
    <n v="0.69099999999999995"/>
    <s v="119.96"/>
    <n v="0.82299999999999995"/>
    <n v="0.70699999999999996"/>
    <n v="74"/>
    <x v="0"/>
    <n v="9"/>
    <n v="188818"/>
    <n v="7.7399999999999997E-2"/>
  </r>
  <r>
    <n v="0.78600000000000003"/>
    <n v="91992"/>
    <n v="0.69499999999999995"/>
    <n v="0.46500000000000002"/>
    <n v="74"/>
    <x v="1"/>
    <n v="9"/>
    <n v="196467"/>
    <n v="6.6799999999999998E-2"/>
  </r>
  <r>
    <n v="0.61599999999999999"/>
    <n v="103071"/>
    <n v="0.79700000000000004"/>
    <n v="0.45100000000000001"/>
    <n v="74"/>
    <x v="0"/>
    <n v="1"/>
    <n v="339612"/>
    <n v="0.76200000000000001"/>
  </r>
  <r>
    <n v="0.63900000000000001"/>
    <n v="168112"/>
    <n v="0.77200000000000002"/>
    <n v="0.26100000000000001"/>
    <n v="74"/>
    <x v="1"/>
    <n v="1"/>
    <n v="166560"/>
    <n v="0.15"/>
  </r>
  <r>
    <n v="0.65300000000000002"/>
    <n v="150097"/>
    <n v="0.54700000000000004"/>
    <n v="0.16300000000000001"/>
    <n v="74"/>
    <x v="1"/>
    <n v="5"/>
    <n v="174853"/>
    <n v="0.45600000000000002"/>
  </r>
  <r>
    <n v="0.68300000000000005"/>
    <n v="159878"/>
    <n v="0.51500000000000001"/>
    <n v="0.57199999999999995"/>
    <n v="74"/>
    <x v="1"/>
    <n v="5"/>
    <n v="220947"/>
    <n v="7.4899999999999994E-2"/>
  </r>
  <r>
    <n v="0.44400000000000001"/>
    <s v="150.96"/>
    <n v="0.70299999999999996"/>
    <n v="0.71199999999999997"/>
    <n v="74"/>
    <x v="1"/>
    <n v="11"/>
    <n v="242947"/>
    <n v="0.55900000000000005"/>
  </r>
  <r>
    <n v="0.71899999999999997"/>
    <n v="112027"/>
    <n v="0.55800000000000005"/>
    <n v="0.371"/>
    <n v="74"/>
    <x v="1"/>
    <n v="2"/>
    <n v="208600"/>
    <n v="3.6700000000000003E-2"/>
  </r>
  <r>
    <n v="0.495"/>
    <n v="129062"/>
    <n v="0.86399999999999999"/>
    <n v="0.72"/>
    <n v="74"/>
    <x v="1"/>
    <n v="0"/>
    <n v="244973"/>
    <n v="0.59099999999999997"/>
  </r>
  <r>
    <n v="0.70599999999999996"/>
    <n v="92513"/>
    <n v="0.48199999999999998"/>
    <n v="0.14399999999999999"/>
    <n v="74"/>
    <x v="1"/>
    <n v="9"/>
    <n v="224920"/>
    <n v="0.13500000000000001"/>
  </r>
  <r>
    <n v="0.495"/>
    <n v="103375"/>
    <n v="0.69399999999999995"/>
    <n v="0.79900000000000004"/>
    <n v="74"/>
    <x v="1"/>
    <n v="9"/>
    <n v="257187"/>
    <n v="1.37E-2"/>
  </r>
  <r>
    <n v="0.58599999999999997"/>
    <n v="126684"/>
    <n v="0.55300000000000005"/>
    <n v="0.443"/>
    <n v="74"/>
    <x v="1"/>
    <n v="11"/>
    <n v="196373"/>
    <n v="0.69699999999999995"/>
  </r>
  <r>
    <n v="0.90300000000000002"/>
    <n v="74988"/>
    <n v="0.52"/>
    <n v="0.65200000000000002"/>
    <n v="74"/>
    <x v="1"/>
    <n v="2"/>
    <n v="219801"/>
    <n v="5.1700000000000001E-3"/>
  </r>
  <r>
    <n v="0.69699999999999995"/>
    <n v="122746"/>
    <n v="0.61299999999999999"/>
    <n v="0.47599999999999998"/>
    <n v="74"/>
    <x v="1"/>
    <n v="2"/>
    <n v="320357"/>
    <n v="1.9400000000000001E-2"/>
  </r>
  <r>
    <n v="0.84299999999999997"/>
    <n v="117662"/>
    <n v="0.52900000000000003"/>
    <n v="0.188"/>
    <n v="74"/>
    <x v="0"/>
    <n v="6"/>
    <n v="310333"/>
    <n v="6.2799999999999995E-2"/>
  </r>
  <r>
    <n v="0.83199999999999996"/>
    <n v="107657"/>
    <n v="0.79400000000000004"/>
    <n v="0.871"/>
    <n v="74"/>
    <x v="0"/>
    <n v="1"/>
    <n v="196160"/>
    <n v="0.23699999999999999"/>
  </r>
  <r>
    <n v="0.95399999999999996"/>
    <n v="128016"/>
    <n v="0.627"/>
    <n v="0.312"/>
    <n v="74"/>
    <x v="1"/>
    <n v="2"/>
    <n v="223112"/>
    <n v="1.5E-3"/>
  </r>
  <r>
    <n v="0.85299999999999998"/>
    <n v="108016"/>
    <n v="0.73099999999999998"/>
    <n v="0.60499999999999998"/>
    <n v="74"/>
    <x v="0"/>
    <n v="10"/>
    <n v="225360"/>
    <n v="3.5200000000000002E-2"/>
  </r>
  <r>
    <n v="0.84199999999999997"/>
    <n v="111038"/>
    <n v="0.625"/>
    <n v="0.26"/>
    <n v="74"/>
    <x v="1"/>
    <n v="5"/>
    <n v="342680"/>
    <n v="0.26400000000000001"/>
  </r>
  <r>
    <n v="0.84199999999999997"/>
    <n v="132032"/>
    <n v="0.70599999999999996"/>
    <n v="0.86099999999999999"/>
    <n v="74"/>
    <x v="1"/>
    <n v="7"/>
    <n v="220227"/>
    <n v="7.7299999999999995E-5"/>
  </r>
  <r>
    <n v="0.92800000000000005"/>
    <n v="172656"/>
    <n v="0.61399999999999999"/>
    <n v="0.879"/>
    <n v="74"/>
    <x v="0"/>
    <n v="8"/>
    <n v="200560"/>
    <n v="4.0800000000000003E-2"/>
  </r>
  <r>
    <n v="0.74099999999999999"/>
    <n v="107075"/>
    <n v="0.95599999999999996"/>
    <n v="0.91100000000000003"/>
    <n v="74"/>
    <x v="0"/>
    <n v="11"/>
    <n v="228240"/>
    <n v="0.20399999999999999"/>
  </r>
  <r>
    <n v="0.67500000000000004"/>
    <n v="107064"/>
    <n v="0.68400000000000005"/>
    <n v="0.92400000000000004"/>
    <n v="74"/>
    <x v="1"/>
    <n v="11"/>
    <n v="243933"/>
    <n v="0.16300000000000001"/>
  </r>
  <r>
    <n v="0.879"/>
    <n v="129991"/>
    <n v="0.81200000000000006"/>
    <n v="0.96199999999999997"/>
    <n v="74"/>
    <x v="0"/>
    <n v="1"/>
    <n v="197960"/>
    <n v="1.7000000000000001E-2"/>
  </r>
  <r>
    <n v="0.71099999999999997"/>
    <n v="110621"/>
    <n v="0.97499999999999998"/>
    <n v="0.81499999999999995"/>
    <n v="74"/>
    <x v="1"/>
    <n v="8"/>
    <n v="234027"/>
    <n v="0.16800000000000001"/>
  </r>
  <r>
    <n v="0.77200000000000002"/>
    <n v="128168"/>
    <n v="0.76600000000000001"/>
    <n v="0.91900000000000004"/>
    <n v="74"/>
    <x v="1"/>
    <n v="0"/>
    <n v="220893"/>
    <n v="0.40300000000000002"/>
  </r>
  <r>
    <n v="0.53500000000000003"/>
    <n v="103644"/>
    <n v="0.70699999999999996"/>
    <n v="0.64100000000000001"/>
    <n v="74"/>
    <x v="0"/>
    <n v="10"/>
    <n v="92867"/>
    <n v="0.113"/>
  </r>
  <r>
    <n v="0.86499999999999999"/>
    <n v="100016"/>
    <n v="0.57999999999999996"/>
    <n v="0.58699999999999997"/>
    <n v="74"/>
    <x v="0"/>
    <n v="4"/>
    <n v="196133"/>
    <n v="0.105"/>
  </r>
  <r>
    <n v="0.74199999999999999"/>
    <n v="159779"/>
    <n v="0.26800000000000002"/>
    <n v="0.41599999999999998"/>
    <n v="74"/>
    <x v="1"/>
    <n v="5"/>
    <n v="321093"/>
    <n v="5.1799999999999999E-2"/>
  </r>
  <r>
    <n v="0.79600000000000004"/>
    <n v="169835"/>
    <n v="0.28899999999999998"/>
    <n v="0.33"/>
    <n v="74"/>
    <x v="1"/>
    <n v="0"/>
    <n v="238680"/>
    <n v="8.3700000000000007E-3"/>
  </r>
  <r>
    <n v="0.91100000000000003"/>
    <s v="108.0"/>
    <n v="0.61499999999999999"/>
    <n v="0.68500000000000005"/>
    <n v="74"/>
    <x v="0"/>
    <n v="1"/>
    <n v="205400"/>
    <n v="6.8599999999999994E-2"/>
  </r>
  <r>
    <n v="0.90100000000000002"/>
    <n v="113967"/>
    <n v="0.621"/>
    <n v="0.74399999999999999"/>
    <n v="74"/>
    <x v="1"/>
    <n v="2"/>
    <n v="300773"/>
    <n v="0.17"/>
  </r>
  <r>
    <n v="0.58799999999999997"/>
    <n v="144636"/>
    <n v="0.42399999999999999"/>
    <n v="0.193"/>
    <n v="74"/>
    <x v="1"/>
    <n v="9"/>
    <n v="226680"/>
    <n v="5.5300000000000002E-2"/>
  </r>
  <r>
    <n v="0.93899999999999995"/>
    <n v="106031"/>
    <n v="0.64400000000000002"/>
    <n v="0.86099999999999999"/>
    <n v="74"/>
    <x v="0"/>
    <n v="11"/>
    <n v="208107"/>
    <n v="0.157"/>
  </r>
  <r>
    <n v="0.97"/>
    <n v="122444"/>
    <n v="0.45100000000000001"/>
    <n v="0.19800000000000001"/>
    <n v="74"/>
    <x v="1"/>
    <n v="0"/>
    <n v="216933"/>
    <n v="2.64E-2"/>
  </r>
  <r>
    <n v="0.56299999999999994"/>
    <n v="137715"/>
    <n v="0.45200000000000001"/>
    <n v="0.20899999999999999"/>
    <n v="74"/>
    <x v="1"/>
    <n v="4"/>
    <n v="267653"/>
    <n v="0.14399999999999999"/>
  </r>
  <r>
    <n v="0.94599999999999995"/>
    <n v="103408"/>
    <n v="0.49399999999999999"/>
    <n v="0.74099999999999999"/>
    <n v="74"/>
    <x v="1"/>
    <n v="4"/>
    <n v="169027"/>
    <n v="1.2899999999999999E-3"/>
  </r>
  <r>
    <n v="0.94"/>
    <n v="179722"/>
    <n v="0.21"/>
    <n v="0.255"/>
    <n v="74"/>
    <x v="1"/>
    <n v="9"/>
    <n v="186480"/>
    <n v="6.0200000000000002E-3"/>
  </r>
  <r>
    <n v="0.79600000000000004"/>
    <n v="169835"/>
    <n v="0.28899999999999998"/>
    <n v="0.33"/>
    <n v="74"/>
    <x v="1"/>
    <n v="0"/>
    <n v="238680"/>
    <n v="8.3700000000000007E-3"/>
  </r>
  <r>
    <n v="0.92800000000000005"/>
    <n v="95594"/>
    <n v="0.57899999999999996"/>
    <n v="0.88200000000000001"/>
    <n v="74"/>
    <x v="1"/>
    <n v="0"/>
    <n v="171533"/>
    <n v="7.1500000000000003E-4"/>
  </r>
  <r>
    <n v="0.498"/>
    <n v="116262"/>
    <n v="0.58099999999999996"/>
    <n v="0.111"/>
    <n v="74"/>
    <x v="1"/>
    <n v="1"/>
    <n v="206360"/>
    <n v="0.19800000000000001"/>
  </r>
  <r>
    <n v="0.46700000000000003"/>
    <n v="119919"/>
    <n v="0.61499999999999999"/>
    <n v="0.17699999999999999"/>
    <n v="74"/>
    <x v="1"/>
    <n v="1"/>
    <n v="273667"/>
    <n v="0.314"/>
  </r>
  <r>
    <n v="0.622"/>
    <n v="74267"/>
    <n v="0.32800000000000001"/>
    <n v="0.40100000000000002"/>
    <n v="74"/>
    <x v="0"/>
    <n v="5"/>
    <n v="228093"/>
    <n v="0.85799999999999998"/>
  </r>
  <r>
    <n v="0.47599999999999998"/>
    <n v="139987"/>
    <n v="0.84"/>
    <n v="0.76700000000000002"/>
    <n v="74"/>
    <x v="1"/>
    <n v="0"/>
    <n v="201400"/>
    <n v="2.64E-2"/>
  </r>
  <r>
    <n v="0.63800000000000001"/>
    <n v="144458"/>
    <n v="0.48599999999999999"/>
    <n v="0.17799999999999999"/>
    <n v="74"/>
    <x v="1"/>
    <n v="0"/>
    <n v="199827"/>
    <n v="9.2100000000000005E-4"/>
  </r>
  <r>
    <n v="0.56100000000000005"/>
    <n v="115011"/>
    <n v="0.59799999999999998"/>
    <n v="0.23100000000000001"/>
    <n v="74"/>
    <x v="1"/>
    <n v="0"/>
    <n v="279000"/>
    <n v="0.61099999999999999"/>
  </r>
  <r>
    <n v="0.309"/>
    <n v="82789"/>
    <n v="0.58299999999999996"/>
    <n v="0.47299999999999998"/>
    <n v="74"/>
    <x v="0"/>
    <n v="2"/>
    <n v="192480"/>
    <n v="0.82399999999999995"/>
  </r>
  <r>
    <n v="0.88600000000000001"/>
    <n v="120032"/>
    <n v="0.65500000000000003"/>
    <n v="0.77800000000000002"/>
    <n v="74"/>
    <x v="0"/>
    <n v="10"/>
    <n v="199505"/>
    <n v="6.6000000000000003E-2"/>
  </r>
  <r>
    <n v="0.63700000000000001"/>
    <n v="120033"/>
    <n v="0.84699999999999998"/>
    <n v="5.0900000000000001E-2"/>
    <n v="74"/>
    <x v="0"/>
    <n v="7"/>
    <n v="208135"/>
    <n v="0.20100000000000001"/>
  </r>
  <r>
    <n v="0.79300000000000004"/>
    <n v="87024"/>
    <n v="0.54500000000000004"/>
    <n v="0.41099999999999998"/>
    <n v="74"/>
    <x v="0"/>
    <n v="0"/>
    <n v="184852"/>
    <n v="0.191"/>
  </r>
  <r>
    <n v="0.8"/>
    <n v="143978"/>
    <n v="0.65200000000000002"/>
    <n v="0.23400000000000001"/>
    <n v="74"/>
    <x v="0"/>
    <n v="9"/>
    <n v="231704"/>
    <n v="0.14299999999999999"/>
  </r>
  <r>
    <n v="0.61599999999999999"/>
    <n v="103071"/>
    <n v="0.79700000000000004"/>
    <n v="0.45100000000000001"/>
    <n v="74"/>
    <x v="0"/>
    <n v="1"/>
    <n v="339612"/>
    <n v="0.76200000000000001"/>
  </r>
  <r>
    <n v="0.86"/>
    <n v="175896"/>
    <n v="0.72499999999999998"/>
    <n v="0.79100000000000004"/>
    <n v="74"/>
    <x v="1"/>
    <n v="1"/>
    <n v="230125"/>
    <n v="0.42199999999999999"/>
  </r>
  <r>
    <n v="0.61799999999999999"/>
    <n v="81993"/>
    <n v="0.85599999999999998"/>
    <n v="0.39100000000000001"/>
    <n v="74"/>
    <x v="1"/>
    <n v="7"/>
    <n v="203201"/>
    <n v="3.0300000000000001E-2"/>
  </r>
  <r>
    <n v="0.76500000000000001"/>
    <n v="174021"/>
    <n v="0.69099999999999995"/>
    <n v="0.85499999999999998"/>
    <n v="74"/>
    <x v="1"/>
    <n v="8"/>
    <n v="246000"/>
    <n v="0.46400000000000002"/>
  </r>
  <r>
    <n v="0.60299999999999998"/>
    <n v="129928"/>
    <n v="0.9"/>
    <n v="0.82399999999999995"/>
    <n v="74"/>
    <x v="1"/>
    <n v="2"/>
    <n v="170972"/>
    <n v="0.40200000000000002"/>
  </r>
  <r>
    <n v="0.67300000000000004"/>
    <n v="87961"/>
    <n v="0.81799999999999995"/>
    <n v="0.69499999999999995"/>
    <n v="74"/>
    <x v="0"/>
    <n v="4"/>
    <n v="193636"/>
    <n v="0.34799999999999998"/>
  </r>
  <r>
    <n v="0.59799999999999998"/>
    <n v="83836"/>
    <n v="0.55000000000000004"/>
    <n v="0.54300000000000004"/>
    <n v="74"/>
    <x v="0"/>
    <n v="11"/>
    <n v="232496"/>
    <n v="0.13200000000000001"/>
  </r>
  <r>
    <n v="0.89200000000000002"/>
    <n v="97008"/>
    <n v="0.79100000000000004"/>
    <n v="0.91600000000000004"/>
    <n v="74"/>
    <x v="1"/>
    <n v="0"/>
    <n v="150619"/>
    <n v="5.0900000000000001E-2"/>
  </r>
  <r>
    <n v="0.91400000000000003"/>
    <s v="108.02"/>
    <n v="0.72599999999999998"/>
    <n v="0.83899999999999997"/>
    <n v="74"/>
    <x v="1"/>
    <n v="7"/>
    <n v="181518"/>
    <n v="7.5800000000000006E-2"/>
  </r>
  <r>
    <n v="0.63"/>
    <s v="95.0"/>
    <n v="0.874"/>
    <n v="0.71699999999999997"/>
    <n v="74"/>
    <x v="1"/>
    <n v="1"/>
    <n v="281600"/>
    <n v="5.7799999999999997E-2"/>
  </r>
  <r>
    <n v="5.6099999999999997E-2"/>
    <n v="79764"/>
    <n v="0.31900000000000001"/>
    <n v="8.2000000000000003E-2"/>
    <n v="74"/>
    <x v="1"/>
    <n v="0"/>
    <n v="242652"/>
    <n v="0.93500000000000005"/>
  </r>
  <r>
    <n v="0.52600000000000002"/>
    <n v="130694"/>
    <n v="0.52100000000000002"/>
    <n v="0.502"/>
    <n v="74"/>
    <x v="1"/>
    <n v="5"/>
    <n v="268293"/>
    <n v="0.24299999999999999"/>
  </r>
  <r>
    <n v="0.65300000000000002"/>
    <n v="150097"/>
    <n v="0.54700000000000004"/>
    <n v="0.16300000000000001"/>
    <n v="74"/>
    <x v="1"/>
    <n v="5"/>
    <n v="174853"/>
    <n v="0.45600000000000002"/>
  </r>
  <r>
    <n v="0.55100000000000005"/>
    <n v="113535"/>
    <n v="0.748"/>
    <n v="0.65"/>
    <n v="74"/>
    <x v="1"/>
    <n v="1"/>
    <n v="262240"/>
    <n v="0.24299999999999999"/>
  </r>
  <r>
    <n v="0.61499999999999999"/>
    <s v="84.07"/>
    <n v="0.77500000000000002"/>
    <n v="0.91800000000000004"/>
    <n v="74"/>
    <x v="0"/>
    <n v="1"/>
    <n v="197143"/>
    <n v="0.30399999999999999"/>
  </r>
  <r>
    <n v="0.63700000000000001"/>
    <n v="120033"/>
    <n v="0.84699999999999998"/>
    <n v="5.0900000000000001E-2"/>
    <n v="74"/>
    <x v="0"/>
    <n v="7"/>
    <n v="208135"/>
    <n v="0.20100000000000001"/>
  </r>
  <r>
    <n v="0.64100000000000001"/>
    <n v="141931"/>
    <n v="0.52900000000000003"/>
    <n v="8.8999999999999996E-2"/>
    <n v="74"/>
    <x v="1"/>
    <n v="2"/>
    <n v="277711"/>
    <n v="7.1099999999999997E-2"/>
  </r>
  <r>
    <n v="0.73099999999999998"/>
    <n v="149987"/>
    <n v="0.58299999999999996"/>
    <n v="0.44600000000000001"/>
    <n v="74"/>
    <x v="0"/>
    <n v="9"/>
    <n v="267600"/>
    <n v="1.0699999999999999E-2"/>
  </r>
  <r>
    <n v="0.85399999999999998"/>
    <n v="148003"/>
    <n v="0.63400000000000001"/>
    <n v="0.56399999999999995"/>
    <n v="74"/>
    <x v="1"/>
    <n v="11"/>
    <n v="310813"/>
    <n v="7.3699999999999998E-3"/>
  </r>
  <r>
    <n v="0.255"/>
    <n v="95978"/>
    <n v="0.375"/>
    <n v="0.33100000000000002"/>
    <n v="74"/>
    <x v="0"/>
    <n v="10"/>
    <n v="316280"/>
    <n v="0.81499999999999995"/>
  </r>
  <r>
    <n v="0.85199999999999998"/>
    <n v="119892"/>
    <n v="0.77900000000000003"/>
    <n v="0.60099999999999998"/>
    <n v="74"/>
    <x v="1"/>
    <n v="2"/>
    <n v="237093"/>
    <n v="0.23499999999999999"/>
  </r>
  <r>
    <n v="0.627"/>
    <n v="118093"/>
    <n v="0.78800000000000003"/>
    <n v="0.90900000000000003"/>
    <n v="74"/>
    <x v="0"/>
    <n v="0"/>
    <n v="165894"/>
    <n v="0.69299999999999995"/>
  </r>
  <r>
    <n v="0.72499999999999998"/>
    <n v="105016"/>
    <n v="0.71099999999999997"/>
    <n v="0.53"/>
    <n v="74"/>
    <x v="0"/>
    <n v="3"/>
    <n v="183057"/>
    <n v="0.42399999999999999"/>
  </r>
  <r>
    <n v="0.78600000000000003"/>
    <n v="126755"/>
    <n v="0.48199999999999998"/>
    <n v="0.79300000000000004"/>
    <n v="73"/>
    <x v="1"/>
    <n v="7"/>
    <n v="323000"/>
    <n v="3.2100000000000002E-3"/>
  </r>
  <r>
    <n v="0.872"/>
    <n v="159925"/>
    <n v="0.58699999999999997"/>
    <n v="0.73499999999999999"/>
    <n v="73"/>
    <x v="1"/>
    <n v="7"/>
    <n v="221333"/>
    <n v="1.7999999999999999E-2"/>
  </r>
  <r>
    <n v="0.875"/>
    <n v="75009"/>
    <n v="0.28399999999999997"/>
    <n v="0.59499999999999997"/>
    <n v="73"/>
    <x v="0"/>
    <n v="11"/>
    <n v="340907"/>
    <n v="7.5199999999999998E-3"/>
  </r>
  <r>
    <n v="0.54900000000000004"/>
    <n v="176941"/>
    <n v="0.51600000000000001"/>
    <n v="0.90700000000000003"/>
    <n v="73"/>
    <x v="1"/>
    <n v="6"/>
    <n v="288733"/>
    <n v="0.501"/>
  </r>
  <r>
    <n v="0.91900000000000004"/>
    <n v="135997"/>
    <n v="0.46500000000000002"/>
    <n v="0.53700000000000003"/>
    <n v="73"/>
    <x v="1"/>
    <n v="4"/>
    <n v="235293"/>
    <n v="1.8300000000000001E-5"/>
  </r>
  <r>
    <n v="0.72"/>
    <n v="121864"/>
    <n v="0.40400000000000003"/>
    <n v="0.47499999999999998"/>
    <n v="73"/>
    <x v="0"/>
    <n v="10"/>
    <n v="258467"/>
    <n v="5.5899999999999997E-5"/>
  </r>
  <r>
    <n v="0.47599999999999998"/>
    <n v="148117"/>
    <n v="0.38900000000000001"/>
    <n v="0.56599999999999995"/>
    <n v="73"/>
    <x v="1"/>
    <n v="9"/>
    <n v="217107"/>
    <n v="0.61899999999999999"/>
  </r>
  <r>
    <n v="0.53300000000000003"/>
    <n v="120011"/>
    <n v="0.79400000000000004"/>
    <n v="0.15"/>
    <n v="73"/>
    <x v="1"/>
    <n v="9"/>
    <n v="179023"/>
    <n v="0.14000000000000001"/>
  </r>
  <r>
    <n v="0.70899999999999996"/>
    <s v="78.53"/>
    <n v="0.749"/>
    <n v="0.56399999999999995"/>
    <n v="73"/>
    <x v="1"/>
    <n v="6"/>
    <n v="181166"/>
    <n v="0.155"/>
  </r>
  <r>
    <n v="0.76100000000000001"/>
    <n v="147216"/>
    <n v="0.64900000000000002"/>
    <n v="0.313"/>
    <n v="73"/>
    <x v="1"/>
    <n v="8"/>
    <n v="150204"/>
    <n v="6.94E-3"/>
  </r>
  <r>
    <n v="0.69199999999999995"/>
    <n v="140203"/>
    <n v="0.63700000000000001"/>
    <n v="0.42699999999999999"/>
    <n v="73"/>
    <x v="0"/>
    <n v="1"/>
    <n v="164366"/>
    <n v="1.5299999999999999E-2"/>
  </r>
  <r>
    <n v="0.39600000000000002"/>
    <n v="78022"/>
    <n v="0.72599999999999998"/>
    <n v="0.41299999999999998"/>
    <n v="73"/>
    <x v="0"/>
    <n v="5"/>
    <n v="197428"/>
    <n v="0.26900000000000002"/>
  </r>
  <r>
    <n v="0.75800000000000001"/>
    <n v="165409"/>
    <n v="0.68100000000000005"/>
    <n v="0.33100000000000002"/>
    <n v="73"/>
    <x v="1"/>
    <n v="1"/>
    <n v="220584"/>
    <n v="4.6499999999999996E-3"/>
  </r>
  <r>
    <n v="0.44900000000000001"/>
    <n v="136006"/>
    <n v="0.57799999999999996"/>
    <n v="0.1"/>
    <n v="73"/>
    <x v="1"/>
    <n v="1"/>
    <n v="192956"/>
    <n v="6.1800000000000001E-2"/>
  </r>
  <r>
    <n v="0.73199999999999998"/>
    <n v="149012"/>
    <n v="0.84099999999999997"/>
    <n v="0.57599999999999996"/>
    <n v="73"/>
    <x v="0"/>
    <n v="7"/>
    <n v="143480"/>
    <n v="1.15E-2"/>
  </r>
  <r>
    <n v="0.63700000000000001"/>
    <n v="135055"/>
    <n v="0.85099999999999998"/>
    <n v="0.61599999999999999"/>
    <n v="73"/>
    <x v="1"/>
    <n v="0"/>
    <n v="179556"/>
    <n v="0.22500000000000001"/>
  </r>
  <r>
    <n v="0.53100000000000003"/>
    <s v="118.96"/>
    <n v="0.56599999999999995"/>
    <n v="0.36699999999999999"/>
    <n v="73"/>
    <x v="1"/>
    <n v="6"/>
    <n v="227518"/>
    <n v="0.192"/>
  </r>
  <r>
    <n v="0.88"/>
    <n v="92055"/>
    <n v="0.753"/>
    <n v="0.58199999999999996"/>
    <n v="73"/>
    <x v="1"/>
    <n v="11"/>
    <n v="127826"/>
    <n v="0.45500000000000002"/>
  </r>
  <r>
    <n v="0.73499999999999999"/>
    <n v="99827"/>
    <n v="0.69699999999999995"/>
    <n v="0.40300000000000002"/>
    <n v="73"/>
    <x v="0"/>
    <n v="10"/>
    <n v="162970"/>
    <n v="0.17199999999999999"/>
  </r>
  <r>
    <n v="0.44500000000000001"/>
    <n v="156023"/>
    <n v="0.55000000000000004"/>
    <n v="0.51200000000000001"/>
    <n v="73"/>
    <x v="1"/>
    <n v="7"/>
    <n v="166159"/>
    <n v="0.26200000000000001"/>
  </r>
  <r>
    <n v="0.80600000000000005"/>
    <n v="123009"/>
    <n v="0.76300000000000001"/>
    <n v="0.59399999999999997"/>
    <n v="73"/>
    <x v="1"/>
    <n v="2"/>
    <n v="193521"/>
    <n v="1.1999999999999999E-3"/>
  </r>
  <r>
    <n v="0.46800000000000003"/>
    <n v="135875"/>
    <n v="0.48299999999999998"/>
    <n v="0.31900000000000001"/>
    <n v="73"/>
    <x v="1"/>
    <n v="8"/>
    <n v="247941"/>
    <n v="0.78400000000000003"/>
  </r>
  <r>
    <n v="0.94"/>
    <s v="100.99"/>
    <n v="0.438"/>
    <n v="0.42099999999999999"/>
    <n v="73"/>
    <x v="1"/>
    <n v="2"/>
    <n v="261000"/>
    <n v="8.7399999999999997E-5"/>
  </r>
  <r>
    <n v="0.94"/>
    <s v="100.99"/>
    <n v="0.438"/>
    <n v="0.42099999999999999"/>
    <n v="73"/>
    <x v="1"/>
    <n v="2"/>
    <n v="261000"/>
    <n v="8.7399999999999997E-5"/>
  </r>
  <r>
    <n v="0.57199999999999995"/>
    <n v="131272"/>
    <n v="0.63600000000000001"/>
    <n v="0.66"/>
    <n v="73"/>
    <x v="1"/>
    <n v="9"/>
    <n v="192128"/>
    <n v="0.28699999999999998"/>
  </r>
  <r>
    <n v="0.60299999999999998"/>
    <s v="102.99"/>
    <n v="0.66"/>
    <n v="0.52700000000000002"/>
    <n v="73"/>
    <x v="0"/>
    <n v="3"/>
    <n v="214087"/>
    <n v="5.6600000000000001E-3"/>
  </r>
  <r>
    <n v="0.501"/>
    <n v="87086"/>
    <n v="0.66800000000000004"/>
    <n v="0.85799999999999998"/>
    <n v="73"/>
    <x v="1"/>
    <n v="4"/>
    <n v="214880"/>
    <n v="0.34200000000000003"/>
  </r>
  <r>
    <n v="0.70699999999999996"/>
    <n v="93145"/>
    <n v="0.70399999999999996"/>
    <n v="0.76100000000000001"/>
    <n v="73"/>
    <x v="0"/>
    <n v="1"/>
    <n v="294787"/>
    <n v="0.53900000000000003"/>
  </r>
  <r>
    <n v="0.72499999999999998"/>
    <n v="146163"/>
    <n v="0.61"/>
    <n v="0.29099999999999998"/>
    <n v="73"/>
    <x v="1"/>
    <n v="8"/>
    <n v="201788"/>
    <n v="0.36699999999999999"/>
  </r>
  <r>
    <n v="0.876"/>
    <s v="130.21"/>
    <n v="0.41199999999999998"/>
    <n v="0.70599999999999996"/>
    <n v="73"/>
    <x v="0"/>
    <n v="5"/>
    <n v="273133"/>
    <n v="0.10199999999999999"/>
  </r>
  <r>
    <n v="0.36599999999999999"/>
    <n v="73313"/>
    <n v="0.4"/>
    <n v="0.161"/>
    <n v="73"/>
    <x v="0"/>
    <n v="8"/>
    <n v="272187"/>
    <n v="0.24199999999999999"/>
  </r>
  <r>
    <n v="0.69499999999999995"/>
    <n v="104879"/>
    <n v="0.58299999999999996"/>
    <n v="0.224"/>
    <n v="73"/>
    <x v="1"/>
    <n v="9"/>
    <n v="220573"/>
    <n v="1.38E-2"/>
  </r>
  <r>
    <n v="0.86199999999999999"/>
    <n v="128036"/>
    <n v="0.498"/>
    <n v="0.46899999999999997"/>
    <n v="73"/>
    <x v="0"/>
    <n v="7"/>
    <n v="192294"/>
    <n v="3.1300000000000002E-4"/>
  </r>
  <r>
    <n v="0.85699999999999998"/>
    <n v="119975"/>
    <n v="0.56000000000000005"/>
    <n v="0.432"/>
    <n v="73"/>
    <x v="0"/>
    <n v="4"/>
    <n v="215360"/>
    <n v="5.9400000000000001E-2"/>
  </r>
  <r>
    <n v="0.78100000000000003"/>
    <s v="128.0"/>
    <n v="0.50900000000000001"/>
    <n v="0.17599999999999999"/>
    <n v="73"/>
    <x v="1"/>
    <n v="8"/>
    <n v="271427"/>
    <n v="3.9800000000000002E-2"/>
  </r>
  <r>
    <n v="0.73"/>
    <n v="85979"/>
    <n v="0.59599999999999997"/>
    <n v="0.52500000000000002"/>
    <n v="73"/>
    <x v="1"/>
    <n v="9"/>
    <n v="192560"/>
    <n v="0.24"/>
  </r>
  <r>
    <n v="0.56799999999999995"/>
    <n v="117973"/>
    <n v="0.78"/>
    <n v="0.45900000000000002"/>
    <n v="73"/>
    <x v="0"/>
    <n v="2"/>
    <n v="186147"/>
    <n v="0.66800000000000004"/>
  </r>
  <r>
    <n v="0.46300000000000002"/>
    <n v="121999"/>
    <n v="0.77800000000000002"/>
    <n v="0.496"/>
    <n v="73"/>
    <x v="1"/>
    <n v="11"/>
    <n v="194840"/>
    <n v="0.54600000000000004"/>
  </r>
  <r>
    <n v="0.77400000000000002"/>
    <s v="112.05"/>
    <n v="0.67400000000000004"/>
    <n v="0.33"/>
    <n v="73"/>
    <x v="0"/>
    <n v="11"/>
    <n v="176547"/>
    <n v="6.8599999999999994E-2"/>
  </r>
  <r>
    <n v="0.622"/>
    <s v="102.04"/>
    <n v="0.69"/>
    <n v="0.54400000000000004"/>
    <n v="73"/>
    <x v="0"/>
    <n v="5"/>
    <n v="210091"/>
    <n v="0.253"/>
  </r>
  <r>
    <n v="0.89500000000000002"/>
    <n v="125985"/>
    <n v="0.76200000000000001"/>
    <n v="0.75700000000000001"/>
    <n v="73"/>
    <x v="1"/>
    <n v="8"/>
    <n v="182857"/>
    <n v="6.2300000000000003E-3"/>
  </r>
  <r>
    <n v="0.91500000000000004"/>
    <n v="154964"/>
    <n v="0.73699999999999999"/>
    <n v="0.30399999999999999"/>
    <n v="73"/>
    <x v="1"/>
    <n v="0"/>
    <n v="86710"/>
    <n v="3.2200000000000002E-3"/>
  </r>
  <r>
    <n v="0.85"/>
    <n v="106036"/>
    <n v="0.81499999999999995"/>
    <n v="0.69399999999999995"/>
    <n v="73"/>
    <x v="0"/>
    <n v="4"/>
    <n v="133707"/>
    <n v="2.3199999999999998E-2"/>
  </r>
  <r>
    <n v="0.54600000000000004"/>
    <n v="118051"/>
    <n v="0.76"/>
    <n v="0.113"/>
    <n v="73"/>
    <x v="1"/>
    <n v="11"/>
    <n v="170847"/>
    <n v="2.8400000000000002E-2"/>
  </r>
  <r>
    <n v="0.86"/>
    <n v="146441"/>
    <n v="0.58499999999999996"/>
    <n v="0.60699999999999998"/>
    <n v="73"/>
    <x v="1"/>
    <n v="6"/>
    <n v="102557"/>
    <n v="5.6599999999999998E-2"/>
  </r>
  <r>
    <n v="0.63600000000000001"/>
    <n v="75486"/>
    <n v="0.65400000000000003"/>
    <n v="0.26700000000000002"/>
    <n v="73"/>
    <x v="1"/>
    <n v="8"/>
    <n v="140107"/>
    <n v="2.5799999999999998E-3"/>
  </r>
  <r>
    <n v="0.76500000000000001"/>
    <n v="145988"/>
    <n v="0.58799999999999997"/>
    <n v="0.49199999999999999"/>
    <n v="73"/>
    <x v="0"/>
    <n v="3"/>
    <n v="220878"/>
    <n v="6.8500000000000002E-3"/>
  </r>
  <r>
    <n v="0.75800000000000001"/>
    <n v="165409"/>
    <n v="0.68100000000000005"/>
    <n v="0.33100000000000002"/>
    <n v="73"/>
    <x v="1"/>
    <n v="1"/>
    <n v="220584"/>
    <n v="4.6499999999999996E-3"/>
  </r>
  <r>
    <n v="0.90500000000000003"/>
    <n v="141131"/>
    <n v="0.54500000000000004"/>
    <n v="0.73499999999999999"/>
    <n v="73"/>
    <x v="1"/>
    <n v="5"/>
    <n v="243027"/>
    <n v="0.10299999999999999"/>
  </r>
  <r>
    <n v="0.70399999999999996"/>
    <n v="118242"/>
    <n v="0.43"/>
    <n v="0.70299999999999996"/>
    <n v="73"/>
    <x v="0"/>
    <n v="1"/>
    <n v="315120"/>
    <n v="1.55E-4"/>
  </r>
  <r>
    <n v="0.70599999999999996"/>
    <n v="174039"/>
    <n v="0.58399999999999996"/>
    <n v="0.57899999999999996"/>
    <n v="73"/>
    <x v="0"/>
    <n v="10"/>
    <n v="253533"/>
    <n v="0.20899999999999999"/>
  </r>
  <r>
    <n v="0.81799999999999995"/>
    <n v="96063"/>
    <n v="0.88900000000000001"/>
    <n v="0.78200000000000003"/>
    <n v="73"/>
    <x v="1"/>
    <n v="9"/>
    <n v="302760"/>
    <n v="0.47"/>
  </r>
  <r>
    <n v="0.873"/>
    <n v="106767"/>
    <n v="0.38900000000000001"/>
    <n v="0.30299999999999999"/>
    <n v="73"/>
    <x v="0"/>
    <n v="4"/>
    <n v="312293"/>
    <n v="5.3200000000000001E-3"/>
  </r>
  <r>
    <n v="0.76800000000000002"/>
    <n v="81909"/>
    <n v="0.55800000000000005"/>
    <n v="0.42899999999999999"/>
    <n v="73"/>
    <x v="1"/>
    <n v="2"/>
    <n v="260573"/>
    <n v="0.121"/>
  </r>
  <r>
    <n v="0.54900000000000004"/>
    <n v="176941"/>
    <n v="0.51600000000000001"/>
    <n v="0.90700000000000003"/>
    <n v="73"/>
    <x v="1"/>
    <n v="6"/>
    <n v="288733"/>
    <n v="0.501"/>
  </r>
  <r>
    <n v="0.47799999999999998"/>
    <s v="114.02"/>
    <n v="0.76600000000000001"/>
    <n v="0.96499999999999997"/>
    <n v="73"/>
    <x v="1"/>
    <n v="7"/>
    <n v="178360"/>
    <n v="5.1299999999999998E-2"/>
  </r>
  <r>
    <n v="0.92600000000000005"/>
    <n v="105969"/>
    <n v="0.68200000000000005"/>
    <n v="0.86"/>
    <n v="73"/>
    <x v="0"/>
    <n v="3"/>
    <n v="162840"/>
    <n v="4.0399999999999998E-2"/>
  </r>
  <r>
    <n v="0.35299999999999998"/>
    <n v="87997"/>
    <n v="0.79700000000000004"/>
    <n v="7.3099999999999998E-2"/>
    <n v="73"/>
    <x v="0"/>
    <n v="6"/>
    <n v="208293"/>
    <n v="0.59"/>
  </r>
  <r>
    <n v="0.51500000000000001"/>
    <s v="120.1"/>
    <n v="0.56699999999999995"/>
    <n v="0.32100000000000001"/>
    <n v="73"/>
    <x v="0"/>
    <n v="6"/>
    <n v="224000"/>
    <n v="0.35399999999999998"/>
  </r>
  <r>
    <n v="0.33100000000000002"/>
    <n v="72023"/>
    <n v="0.45900000000000002"/>
    <n v="0.27100000000000002"/>
    <n v="73"/>
    <x v="0"/>
    <n v="9"/>
    <n v="183624"/>
    <n v="0.81699999999999995"/>
  </r>
  <r>
    <n v="0.71399999999999997"/>
    <n v="175924"/>
    <n v="0.56399999999999995"/>
    <n v="0.33"/>
    <n v="73"/>
    <x v="1"/>
    <n v="7"/>
    <n v="204013"/>
    <n v="5.4899999999999997E-2"/>
  </r>
  <r>
    <n v="0.79800000000000004"/>
    <n v="120012"/>
    <n v="0.71899999999999997"/>
    <n v="0.59099999999999997"/>
    <n v="73"/>
    <x v="1"/>
    <n v="10"/>
    <n v="227741"/>
    <n v="1.6199999999999999E-2"/>
  </r>
  <r>
    <n v="0.83299999999999996"/>
    <n v="95487"/>
    <n v="0.71499999999999997"/>
    <n v="0.61199999999999999"/>
    <n v="73"/>
    <x v="1"/>
    <n v="2"/>
    <n v="213093"/>
    <n v="6.3099999999999996E-3"/>
  </r>
  <r>
    <n v="0.82099999999999995"/>
    <n v="118881"/>
    <n v="0.878"/>
    <n v="0.94699999999999995"/>
    <n v="73"/>
    <x v="1"/>
    <n v="11"/>
    <n v="365467"/>
    <n v="0.126"/>
  </r>
  <r>
    <n v="0.86199999999999999"/>
    <n v="128036"/>
    <n v="0.498"/>
    <n v="0.46899999999999997"/>
    <n v="73"/>
    <x v="0"/>
    <n v="7"/>
    <n v="192294"/>
    <n v="3.1300000000000002E-4"/>
  </r>
  <r>
    <n v="0.85699999999999998"/>
    <n v="119975"/>
    <n v="0.56000000000000005"/>
    <n v="0.432"/>
    <n v="73"/>
    <x v="0"/>
    <n v="4"/>
    <n v="215360"/>
    <n v="5.9400000000000001E-2"/>
  </r>
  <r>
    <n v="0.495"/>
    <n v="104409"/>
    <n v="0.73699999999999999"/>
    <n v="0.96699999999999997"/>
    <n v="73"/>
    <x v="1"/>
    <n v="1"/>
    <n v="197147"/>
    <n v="5.8799999999999998E-2"/>
  </r>
  <r>
    <n v="0.69899999999999995"/>
    <n v="122987"/>
    <n v="0.81100000000000005"/>
    <n v="0.73299999999999998"/>
    <n v="73"/>
    <x v="1"/>
    <n v="7"/>
    <n v="214789"/>
    <n v="7.2599999999999998E-2"/>
  </r>
  <r>
    <n v="0.95399999999999996"/>
    <n v="178043"/>
    <n v="0.42499999999999999"/>
    <n v="0.93300000000000005"/>
    <n v="73"/>
    <x v="0"/>
    <n v="1"/>
    <n v="243160"/>
    <n v="4.1399999999999996E-3"/>
  </r>
  <r>
    <n v="0.59899999999999998"/>
    <n v="119993"/>
    <n v="0.85299999999999998"/>
    <n v="0.84299999999999997"/>
    <n v="73"/>
    <x v="1"/>
    <n v="7"/>
    <n v="263827"/>
    <n v="3.3400000000000001E-3"/>
  </r>
  <r>
    <n v="0.93100000000000005"/>
    <n v="113026"/>
    <n v="0.753"/>
    <n v="0.76700000000000002"/>
    <n v="73"/>
    <x v="1"/>
    <n v="2"/>
    <n v="189693"/>
    <n v="9.9399999999999992E-3"/>
  </r>
  <r>
    <n v="0.83699999999999997"/>
    <n v="126342"/>
    <n v="0.59699999999999998"/>
    <n v="0.44700000000000001"/>
    <n v="73"/>
    <x v="1"/>
    <n v="10"/>
    <n v="171360"/>
    <n v="4.2700000000000004E-3"/>
  </r>
  <r>
    <n v="0.71299999999999997"/>
    <n v="115443"/>
    <n v="0.78400000000000003"/>
    <n v="0.97"/>
    <n v="73"/>
    <x v="1"/>
    <n v="0"/>
    <n v="220560"/>
    <n v="0.44700000000000001"/>
  </r>
  <r>
    <n v="0.27100000000000002"/>
    <n v="111485"/>
    <n v="0.89800000000000002"/>
    <n v="0.74199999999999999"/>
    <n v="73"/>
    <x v="1"/>
    <n v="7"/>
    <n v="226240"/>
    <n v="1.35E-2"/>
  </r>
  <r>
    <n v="8.6699999999999999E-2"/>
    <n v="129989"/>
    <n v="0.69599999999999995"/>
    <n v="0.34899999999999998"/>
    <n v="73"/>
    <x v="1"/>
    <n v="7"/>
    <n v="98750"/>
    <n v="0.98799999999999999"/>
  </r>
  <r>
    <n v="0.58499999999999996"/>
    <n v="102331"/>
    <n v="0.75"/>
    <n v="0.58399999999999996"/>
    <n v="73"/>
    <x v="0"/>
    <n v="9"/>
    <n v="159595"/>
    <n v="4.9000000000000002E-2"/>
  </r>
  <r>
    <n v="0.38200000000000001"/>
    <n v="155901"/>
    <n v="0.54100000000000004"/>
    <n v="0.34300000000000003"/>
    <n v="73"/>
    <x v="1"/>
    <n v="7"/>
    <n v="204991"/>
    <n v="2.1499999999999998E-2"/>
  </r>
  <r>
    <n v="0.83899999999999997"/>
    <n v="94015"/>
    <n v="0.51700000000000002"/>
    <n v="0.41599999999999998"/>
    <n v="73"/>
    <x v="1"/>
    <n v="0"/>
    <n v="215880"/>
    <n v="1.4E-3"/>
  </r>
  <r>
    <n v="0.68400000000000005"/>
    <s v="77.15"/>
    <n v="0.36"/>
    <n v="0.2"/>
    <n v="73"/>
    <x v="0"/>
    <n v="4"/>
    <n v="342653"/>
    <n v="0.32300000000000001"/>
  </r>
  <r>
    <n v="0.83899999999999997"/>
    <n v="143969"/>
    <n v="0.57199999999999995"/>
    <n v="0.46500000000000002"/>
    <n v="73"/>
    <x v="0"/>
    <n v="4"/>
    <n v="196784"/>
    <n v="1.2999999999999999E-2"/>
  </r>
  <r>
    <n v="0.94"/>
    <n v="151417"/>
    <n v="0.437"/>
    <n v="0.48"/>
    <n v="73"/>
    <x v="1"/>
    <n v="9"/>
    <n v="212013"/>
    <n v="5.2400000000000002E-2"/>
  </r>
  <r>
    <n v="0.70399999999999996"/>
    <n v="118242"/>
    <n v="0.43"/>
    <n v="0.70299999999999996"/>
    <n v="73"/>
    <x v="0"/>
    <n v="1"/>
    <n v="315120"/>
    <n v="1.55E-4"/>
  </r>
  <r>
    <n v="0.90600000000000003"/>
    <n v="172977"/>
    <n v="0.51700000000000002"/>
    <n v="0.73099999999999998"/>
    <n v="73"/>
    <x v="1"/>
    <n v="1"/>
    <n v="211520"/>
    <n v="2.7200000000000002E-3"/>
  </r>
  <r>
    <n v="0.40600000000000003"/>
    <s v="151.95"/>
    <n v="0.45700000000000002"/>
    <n v="0.20799999999999999"/>
    <n v="73"/>
    <x v="1"/>
    <n v="9"/>
    <n v="223067"/>
    <n v="0.08"/>
  </r>
  <r>
    <n v="0.91400000000000003"/>
    <n v="196482"/>
    <n v="0.40300000000000002"/>
    <n v="0.626"/>
    <n v="73"/>
    <x v="1"/>
    <n v="9"/>
    <n v="178267"/>
    <n v="5.7899999999999998E-4"/>
  </r>
  <r>
    <n v="0.81799999999999995"/>
    <n v="119965"/>
    <n v="0.69499999999999995"/>
    <n v="0.91600000000000004"/>
    <n v="73"/>
    <x v="0"/>
    <n v="5"/>
    <n v="182693"/>
    <n v="6.4700000000000001E-3"/>
  </r>
  <r>
    <n v="0.60199999999999998"/>
    <n v="94382"/>
    <n v="0.80500000000000005"/>
    <n v="0.74399999999999999"/>
    <n v="73"/>
    <x v="0"/>
    <n v="0"/>
    <n v="238600"/>
    <n v="0.11899999999999999"/>
  </r>
  <r>
    <n v="0.752"/>
    <s v="120.47"/>
    <n v="0.42199999999999999"/>
    <n v="0.40400000000000003"/>
    <n v="73"/>
    <x v="1"/>
    <n v="6"/>
    <n v="356627"/>
    <n v="3.6600000000000001E-2"/>
  </r>
  <r>
    <n v="0.48499999999999999"/>
    <n v="95968"/>
    <n v="0.753"/>
    <n v="0.54700000000000004"/>
    <n v="73"/>
    <x v="1"/>
    <n v="11"/>
    <n v="206250"/>
    <n v="0.34499999999999997"/>
  </r>
  <r>
    <n v="0.378"/>
    <n v="120133"/>
    <n v="0.66200000000000003"/>
    <n v="0.20699999999999999"/>
    <n v="73"/>
    <x v="1"/>
    <n v="9"/>
    <n v="297103"/>
    <n v="0.47499999999999998"/>
  </r>
  <r>
    <n v="0.439"/>
    <n v="122877"/>
    <n v="0.58599999999999997"/>
    <n v="0.36499999999999999"/>
    <n v="73"/>
    <x v="1"/>
    <n v="0"/>
    <n v="199756"/>
    <n v="0.71499999999999997"/>
  </r>
  <r>
    <n v="0.33100000000000002"/>
    <n v="95015"/>
    <n v="0.61099999999999999"/>
    <n v="0.55900000000000005"/>
    <n v="73"/>
    <x v="1"/>
    <n v="4"/>
    <n v="178293"/>
    <n v="0.93"/>
  </r>
  <r>
    <n v="0.33100000000000002"/>
    <n v="95015"/>
    <n v="0.61099999999999999"/>
    <n v="0.55900000000000005"/>
    <n v="73"/>
    <x v="1"/>
    <n v="4"/>
    <n v="178293"/>
    <n v="0.93"/>
  </r>
  <r>
    <n v="0.748"/>
    <n v="119965"/>
    <n v="0.86799999999999999"/>
    <n v="0.82899999999999996"/>
    <n v="73"/>
    <x v="0"/>
    <n v="1"/>
    <n v="176000"/>
    <n v="0.28999999999999998"/>
  </r>
  <r>
    <n v="0.23499999999999999"/>
    <n v="118917"/>
    <n v="0.498"/>
    <n v="8.9499999999999996E-2"/>
    <n v="73"/>
    <x v="0"/>
    <n v="1"/>
    <n v="179080"/>
    <n v="0.72"/>
  </r>
  <r>
    <n v="0.64700000000000002"/>
    <n v="117737"/>
    <n v="0.58099999999999996"/>
    <n v="0.25700000000000001"/>
    <n v="73"/>
    <x v="0"/>
    <n v="11"/>
    <n v="139384"/>
    <n v="7.7799999999999994E-2"/>
  </r>
  <r>
    <n v="0.78500000000000003"/>
    <s v="123.96"/>
    <n v="0.621"/>
    <n v="0.77900000000000003"/>
    <n v="73"/>
    <x v="1"/>
    <n v="6"/>
    <n v="155253"/>
    <n v="1.6500000000000001E-2"/>
  </r>
  <r>
    <n v="0.53800000000000003"/>
    <n v="80096"/>
    <n v="0.72"/>
    <n v="0.80500000000000005"/>
    <n v="73"/>
    <x v="1"/>
    <n v="10"/>
    <n v="177040"/>
    <n v="0.34799999999999998"/>
  </r>
  <r>
    <n v="0.68100000000000005"/>
    <n v="99998"/>
    <n v="0.72499999999999998"/>
    <n v="0.76200000000000001"/>
    <n v="73"/>
    <x v="0"/>
    <n v="8"/>
    <n v="230526"/>
    <n v="0.318"/>
  </r>
  <r>
    <n v="0.72399999999999998"/>
    <n v="94601"/>
    <n v="0.84699999999999998"/>
    <n v="0.39600000000000002"/>
    <n v="73"/>
    <x v="1"/>
    <n v="1"/>
    <n v="216328"/>
    <n v="8.6900000000000005E-2"/>
  </r>
  <r>
    <n v="0.70599999999999996"/>
    <n v="140017"/>
    <n v="0.86299999999999999"/>
    <n v="0.68600000000000005"/>
    <n v="73"/>
    <x v="0"/>
    <n v="3"/>
    <n v="208125"/>
    <n v="0.14299999999999999"/>
  </r>
  <r>
    <n v="0.78600000000000003"/>
    <s v="196.12"/>
    <n v="0.66300000000000003"/>
    <n v="0.57899999999999996"/>
    <n v="73"/>
    <x v="0"/>
    <n v="11"/>
    <n v="198367"/>
    <n v="0.22900000000000001"/>
  </r>
  <r>
    <n v="0.70699999999999996"/>
    <n v="127963"/>
    <n v="0.77100000000000002"/>
    <n v="0.317"/>
    <n v="73"/>
    <x v="0"/>
    <n v="2"/>
    <n v="228750"/>
    <n v="0.38900000000000001"/>
  </r>
  <r>
    <n v="0.68799999999999994"/>
    <n v="153979"/>
    <n v="0.65900000000000003"/>
    <n v="0.63200000000000001"/>
    <n v="73"/>
    <x v="1"/>
    <n v="6"/>
    <n v="273474"/>
    <n v="0.20699999999999999"/>
  </r>
  <r>
    <n v="0.79100000000000004"/>
    <n v="92023"/>
    <n v="0.86"/>
    <n v="0.88700000000000001"/>
    <n v="73"/>
    <x v="1"/>
    <n v="0"/>
    <n v="175918"/>
    <n v="0.16900000000000001"/>
  </r>
  <r>
    <n v="0.59899999999999998"/>
    <n v="86533"/>
    <n v="0.82799999999999996"/>
    <n v="0.47799999999999998"/>
    <n v="73"/>
    <x v="1"/>
    <n v="11"/>
    <n v="171692"/>
    <n v="0.38100000000000001"/>
  </r>
  <r>
    <n v="0.53800000000000003"/>
    <n v="141894"/>
    <n v="0.52"/>
    <n v="0.17699999999999999"/>
    <n v="73"/>
    <x v="1"/>
    <n v="1"/>
    <n v="345133"/>
    <n v="0.36699999999999999"/>
  </r>
  <r>
    <n v="0.63800000000000001"/>
    <s v="82.81"/>
    <n v="0.67700000000000005"/>
    <n v="0.435"/>
    <n v="73"/>
    <x v="1"/>
    <n v="8"/>
    <n v="211497"/>
    <n v="0.58899999999999997"/>
  </r>
  <r>
    <n v="0.42099999999999999"/>
    <n v="95977"/>
    <n v="0.85199999999999998"/>
    <n v="0.45700000000000002"/>
    <n v="73"/>
    <x v="0"/>
    <n v="10"/>
    <n v="202285"/>
    <n v="0.42799999999999999"/>
  </r>
  <r>
    <n v="0.65300000000000002"/>
    <n v="142347"/>
    <n v="0.49299999999999999"/>
    <n v="0.85199999999999998"/>
    <n v="73"/>
    <x v="0"/>
    <n v="0"/>
    <n v="121573"/>
    <n v="0.26900000000000002"/>
  </r>
  <r>
    <n v="0.496"/>
    <n v="109979"/>
    <n v="0.81200000000000006"/>
    <n v="0.55000000000000004"/>
    <n v="73"/>
    <x v="0"/>
    <n v="9"/>
    <n v="241293"/>
    <n v="0.27100000000000002"/>
  </r>
  <r>
    <n v="0.11899999999999999"/>
    <n v="70499"/>
    <n v="0.46700000000000003"/>
    <n v="0.156"/>
    <n v="73"/>
    <x v="1"/>
    <n v="2"/>
    <n v="272485"/>
    <n v="0.96899999999999997"/>
  </r>
  <r>
    <n v="0.31"/>
    <n v="137474"/>
    <n v="0.50900000000000001"/>
    <n v="0.151"/>
    <n v="73"/>
    <x v="1"/>
    <n v="9"/>
    <n v="208653"/>
    <n v="0.95899999999999996"/>
  </r>
  <r>
    <n v="0.48299999999999998"/>
    <s v="144.99"/>
    <n v="0.61699999999999999"/>
    <n v="0.17599999999999999"/>
    <n v="73"/>
    <x v="1"/>
    <n v="11"/>
    <n v="152318"/>
    <n v="0.70199999999999996"/>
  </r>
  <r>
    <n v="0.51500000000000001"/>
    <s v="120.1"/>
    <n v="0.56699999999999995"/>
    <n v="0.32100000000000001"/>
    <n v="73"/>
    <x v="0"/>
    <n v="6"/>
    <n v="224000"/>
    <n v="0.35399999999999998"/>
  </r>
  <r>
    <n v="0.67100000000000004"/>
    <n v="179987"/>
    <n v="0.68400000000000005"/>
    <n v="0.45"/>
    <n v="73"/>
    <x v="0"/>
    <n v="2"/>
    <n v="171253"/>
    <n v="1.1900000000000001E-2"/>
  </r>
  <r>
    <n v="0.8"/>
    <n v="139918"/>
    <n v="0.498"/>
    <n v="0.27200000000000002"/>
    <n v="73"/>
    <x v="0"/>
    <n v="1"/>
    <n v="229573"/>
    <n v="9.0300000000000005E-2"/>
  </r>
  <r>
    <n v="0.54500000000000004"/>
    <n v="97008"/>
    <n v="0.80900000000000005"/>
    <n v="0.24399999999999999"/>
    <n v="73"/>
    <x v="1"/>
    <n v="7"/>
    <n v="180435"/>
    <n v="0.39200000000000002"/>
  </r>
  <r>
    <n v="0.36899999999999999"/>
    <n v="140004"/>
    <n v="0.73499999999999999"/>
    <n v="0.23499999999999999"/>
    <n v="73"/>
    <x v="0"/>
    <n v="9"/>
    <n v="222997"/>
    <n v="0.33400000000000002"/>
  </r>
  <r>
    <n v="0.64600000000000002"/>
    <n v="127978"/>
    <n v="0.94599999999999995"/>
    <n v="0.96099999999999997"/>
    <n v="73"/>
    <x v="1"/>
    <n v="5"/>
    <n v="246988"/>
    <n v="0.219"/>
  </r>
  <r>
    <n v="0.45500000000000002"/>
    <n v="99958"/>
    <n v="0.79600000000000004"/>
    <n v="0.35199999999999998"/>
    <n v="73"/>
    <x v="0"/>
    <n v="1"/>
    <n v="117606"/>
    <n v="0.63700000000000001"/>
  </r>
  <r>
    <n v="0.71799999999999997"/>
    <n v="89906"/>
    <n v="0.71599999999999997"/>
    <n v="0.91"/>
    <n v="73"/>
    <x v="0"/>
    <n v="6"/>
    <n v="154667"/>
    <n v="4.5199999999999997E-2"/>
  </r>
  <r>
    <n v="0.874"/>
    <n v="91038"/>
    <n v="0.53200000000000003"/>
    <n v="0.36099999999999999"/>
    <n v="73"/>
    <x v="0"/>
    <n v="9"/>
    <n v="258413"/>
    <n v="8.4200000000000004E-3"/>
  </r>
  <r>
    <n v="0.91"/>
    <n v="130032"/>
    <n v="0.52800000000000002"/>
    <n v="0.13700000000000001"/>
    <n v="73"/>
    <x v="0"/>
    <n v="9"/>
    <n v="222000"/>
    <n v="0.34599999999999997"/>
  </r>
  <r>
    <n v="0.55300000000000005"/>
    <n v="126043"/>
    <n v="0.48699999999999999"/>
    <n v="0.69899999999999995"/>
    <n v="73"/>
    <x v="0"/>
    <n v="6"/>
    <n v="288600"/>
    <n v="0.20899999999999999"/>
  </r>
  <r>
    <n v="0.68100000000000005"/>
    <n v="101005"/>
    <n v="0.79800000000000004"/>
    <n v="0.434"/>
    <n v="73"/>
    <x v="0"/>
    <n v="10"/>
    <n v="188485"/>
    <n v="0.219"/>
  </r>
  <r>
    <n v="0.89900000000000002"/>
    <n v="152445"/>
    <n v="0.47499999999999998"/>
    <n v="0.60299999999999998"/>
    <n v="72"/>
    <x v="0"/>
    <n v="9"/>
    <n v="230667"/>
    <n v="3.7499999999999999E-3"/>
  </r>
  <r>
    <n v="0.90200000000000002"/>
    <s v="89.74"/>
    <n v="0.41199999999999998"/>
    <n v="0.42199999999999999"/>
    <n v="72"/>
    <x v="1"/>
    <n v="9"/>
    <n v="333893"/>
    <n v="4.8399999999999999E-2"/>
  </r>
  <r>
    <n v="0.95199999999999996"/>
    <n v="122093"/>
    <n v="0.39800000000000002"/>
    <n v="0.58399999999999996"/>
    <n v="72"/>
    <x v="1"/>
    <n v="4"/>
    <n v="278680"/>
    <n v="3.7300000000000001E-4"/>
  </r>
  <r>
    <n v="0.80500000000000005"/>
    <n v="113253"/>
    <n v="0.438"/>
    <n v="0.56399999999999995"/>
    <n v="72"/>
    <x v="1"/>
    <n v="8"/>
    <n v="240800"/>
    <n v="2.5500000000000002E-3"/>
  </r>
  <r>
    <n v="0.75800000000000001"/>
    <n v="112113"/>
    <n v="0.48899999999999999"/>
    <n v="0.435"/>
    <n v="72"/>
    <x v="1"/>
    <n v="7"/>
    <n v="371413"/>
    <n v="6.78E-4"/>
  </r>
  <r>
    <n v="0.93600000000000005"/>
    <n v="91577"/>
    <n v="0.66600000000000004"/>
    <n v="0.77600000000000002"/>
    <n v="72"/>
    <x v="1"/>
    <n v="7"/>
    <n v="282907"/>
    <n v="2.4399999999999999E-3"/>
  </r>
  <r>
    <n v="0.751"/>
    <n v="89839"/>
    <n v="0.42099999999999999"/>
    <n v="0.78900000000000003"/>
    <n v="72"/>
    <x v="1"/>
    <n v="9"/>
    <n v="145867"/>
    <n v="0.2"/>
  </r>
  <r>
    <n v="0.95299999999999996"/>
    <n v="84989"/>
    <n v="0.26700000000000002"/>
    <n v="0.56799999999999995"/>
    <n v="72"/>
    <x v="0"/>
    <n v="1"/>
    <n v="267307"/>
    <n v="2.1099999999999999E-3"/>
  </r>
  <r>
    <n v="0.92700000000000005"/>
    <n v="170814"/>
    <n v="0.215"/>
    <n v="0.49"/>
    <n v="72"/>
    <x v="1"/>
    <n v="9"/>
    <n v="194853"/>
    <n v="2.7300000000000002E-4"/>
  </r>
  <r>
    <n v="0.97799999999999998"/>
    <n v="141167"/>
    <n v="0.52600000000000002"/>
    <n v="0.45100000000000001"/>
    <n v="72"/>
    <x v="1"/>
    <n v="8"/>
    <n v="210227"/>
    <n v="1.2199999999999999E-3"/>
  </r>
  <r>
    <n v="0.84199999999999997"/>
    <n v="100127"/>
    <n v="0.29699999999999999"/>
    <n v="0.58599999999999997"/>
    <n v="72"/>
    <x v="1"/>
    <n v="6"/>
    <n v="206773"/>
    <n v="2.8600000000000001E-4"/>
  </r>
  <r>
    <n v="0.69899999999999995"/>
    <n v="129054"/>
    <n v="0.92"/>
    <n v="0.48399999999999999"/>
    <n v="72"/>
    <x v="1"/>
    <n v="11"/>
    <n v="138180"/>
    <n v="7.6800000000000002E-3"/>
  </r>
  <r>
    <n v="0.68500000000000005"/>
    <n v="121991"/>
    <n v="0.73099999999999998"/>
    <n v="0.45800000000000002"/>
    <n v="72"/>
    <x v="0"/>
    <n v="11"/>
    <n v="167229"/>
    <n v="5.3999999999999999E-2"/>
  </r>
  <r>
    <n v="0.71099999999999997"/>
    <n v="117038"/>
    <n v="0.97399999999999998"/>
    <n v="0.32800000000000001"/>
    <n v="72"/>
    <x v="0"/>
    <n v="11"/>
    <n v="126832"/>
    <n v="9.8799999999999999E-2"/>
  </r>
  <r>
    <n v="0.752"/>
    <n v="158042"/>
    <n v="0.63800000000000001"/>
    <n v="0.24199999999999999"/>
    <n v="72"/>
    <x v="0"/>
    <n v="1"/>
    <n v="170188"/>
    <n v="6.6E-3"/>
  </r>
  <r>
    <n v="0.59199999999999997"/>
    <n v="188051"/>
    <n v="0.69599999999999995"/>
    <n v="0.23200000000000001"/>
    <n v="72"/>
    <x v="1"/>
    <n v="1"/>
    <n v="122680"/>
    <n v="0.152"/>
  </r>
  <r>
    <n v="0.57699999999999996"/>
    <n v="148107"/>
    <n v="0.79700000000000004"/>
    <n v="0.17"/>
    <n v="72"/>
    <x v="1"/>
    <n v="1"/>
    <n v="206031"/>
    <n v="1.7399999999999999E-2"/>
  </r>
  <r>
    <n v="0.57499999999999996"/>
    <s v="145.95"/>
    <n v="0.71299999999999997"/>
    <n v="0.189"/>
    <n v="72"/>
    <x v="1"/>
    <n v="1"/>
    <n v="226400"/>
    <n v="6.6899999999999998E-3"/>
  </r>
  <r>
    <n v="0.71799999999999997"/>
    <s v="128.14"/>
    <n v="0.76"/>
    <n v="0.55700000000000005"/>
    <n v="72"/>
    <x v="1"/>
    <n v="1"/>
    <n v="191295"/>
    <n v="0.34799999999999998"/>
  </r>
  <r>
    <n v="0.6"/>
    <n v="113903"/>
    <n v="0.88300000000000001"/>
    <n v="0.69099999999999995"/>
    <n v="72"/>
    <x v="1"/>
    <n v="7"/>
    <n v="156430"/>
    <n v="0.114"/>
  </r>
  <r>
    <n v="0.63400000000000001"/>
    <n v="101837"/>
    <n v="0.502"/>
    <n v="0.64500000000000002"/>
    <n v="72"/>
    <x v="0"/>
    <n v="8"/>
    <n v="219628"/>
    <n v="0.67700000000000005"/>
  </r>
  <r>
    <n v="0.66200000000000003"/>
    <n v="95999"/>
    <n v="0.86299999999999999"/>
    <n v="0.307"/>
    <n v="72"/>
    <x v="0"/>
    <n v="4"/>
    <n v="248363"/>
    <n v="8.43E-2"/>
  </r>
  <r>
    <n v="0.76200000000000001"/>
    <n v="90025"/>
    <n v="0.81599999999999995"/>
    <n v="0.78200000000000003"/>
    <n v="72"/>
    <x v="1"/>
    <n v="0"/>
    <n v="218701"/>
    <n v="0.53400000000000003"/>
  </r>
  <r>
    <n v="0.48299999999999998"/>
    <n v="171831"/>
    <n v="0.753"/>
    <n v="0.82599999999999996"/>
    <n v="72"/>
    <x v="0"/>
    <n v="3"/>
    <n v="177209"/>
    <n v="1.89E-2"/>
  </r>
  <r>
    <n v="0.61599999999999999"/>
    <n v="104008"/>
    <n v="0.77300000000000002"/>
    <n v="0.25"/>
    <n v="72"/>
    <x v="1"/>
    <n v="0"/>
    <n v="190107"/>
    <n v="5.6500000000000002E-2"/>
  </r>
  <r>
    <n v="0.95699999999999996"/>
    <n v="105105"/>
    <n v="0.60599999999999998"/>
    <n v="0.60299999999999998"/>
    <n v="72"/>
    <x v="1"/>
    <n v="2"/>
    <n v="213800"/>
    <n v="1.17E-3"/>
  </r>
  <r>
    <n v="0.79800000000000004"/>
    <n v="126976"/>
    <n v="0.502"/>
    <n v="0.307"/>
    <n v="72"/>
    <x v="1"/>
    <n v="1"/>
    <n v="234933"/>
    <n v="2.9099999999999998E-3"/>
  </r>
  <r>
    <n v="0.69499999999999995"/>
    <n v="90119"/>
    <n v="0.66500000000000004"/>
    <n v="0.70699999999999996"/>
    <n v="72"/>
    <x v="1"/>
    <n v="0"/>
    <n v="227387"/>
    <n v="0.34699999999999998"/>
  </r>
  <r>
    <n v="0.70499999999999996"/>
    <n v="96644"/>
    <n v="0.83799999999999997"/>
    <n v="0.83699999999999997"/>
    <n v="72"/>
    <x v="0"/>
    <n v="5"/>
    <n v="245093"/>
    <n v="0.19500000000000001"/>
  </r>
  <r>
    <n v="0.61799999999999999"/>
    <n v="133876"/>
    <n v="0.70699999999999996"/>
    <n v="0.51700000000000002"/>
    <n v="72"/>
    <x v="0"/>
    <n v="1"/>
    <n v="231498"/>
    <n v="0.17"/>
  </r>
  <r>
    <n v="0.81"/>
    <n v="126052"/>
    <n v="0.57199999999999995"/>
    <n v="0.11"/>
    <n v="72"/>
    <x v="0"/>
    <n v="1"/>
    <n v="214912"/>
    <n v="1.5699999999999999E-2"/>
  </r>
  <r>
    <n v="0.78100000000000003"/>
    <n v="119977"/>
    <n v="0.751"/>
    <n v="0.81399999999999995"/>
    <n v="72"/>
    <x v="1"/>
    <n v="4"/>
    <n v="202613"/>
    <n v="3.8999999999999998E-3"/>
  </r>
  <r>
    <n v="0.58599999999999997"/>
    <s v="120.97"/>
    <n v="0.79900000000000004"/>
    <n v="0.54900000000000004"/>
    <n v="72"/>
    <x v="1"/>
    <n v="11"/>
    <n v="227833"/>
    <n v="0.16200000000000001"/>
  </r>
  <r>
    <n v="0.72"/>
    <n v="122031"/>
    <n v="0.78900000000000003"/>
    <n v="0.66400000000000003"/>
    <n v="72"/>
    <x v="0"/>
    <n v="8"/>
    <n v="166794"/>
    <n v="0.223"/>
  </r>
  <r>
    <n v="0.62"/>
    <n v="120031"/>
    <n v="0.79800000000000004"/>
    <n v="0.23499999999999999"/>
    <n v="72"/>
    <x v="0"/>
    <n v="8"/>
    <n v="164000"/>
    <n v="0.41399999999999998"/>
  </r>
  <r>
    <n v="0.73599999999999999"/>
    <n v="130011"/>
    <n v="0.75"/>
    <n v="0.35499999999999998"/>
    <n v="72"/>
    <x v="0"/>
    <n v="5"/>
    <n v="262147"/>
    <n v="2.0199999999999999E-2"/>
  </r>
  <r>
    <n v="0.63400000000000001"/>
    <n v="101837"/>
    <n v="0.502"/>
    <n v="0.64500000000000002"/>
    <n v="72"/>
    <x v="0"/>
    <n v="8"/>
    <n v="219628"/>
    <n v="0.67700000000000005"/>
  </r>
  <r>
    <n v="0.93500000000000005"/>
    <n v="166008"/>
    <n v="0.57399999999999995"/>
    <n v="0.83599999999999997"/>
    <n v="72"/>
    <x v="1"/>
    <n v="1"/>
    <n v="213234"/>
    <n v="0.112"/>
  </r>
  <r>
    <n v="0.94099999999999995"/>
    <n v="101921"/>
    <n v="0.57699999999999996"/>
    <n v="0.29199999999999998"/>
    <n v="72"/>
    <x v="1"/>
    <n v="1"/>
    <n v="193495"/>
    <n v="2.0699999999999998E-3"/>
  </r>
  <r>
    <n v="0.69499999999999995"/>
    <n v="102178"/>
    <n v="0.437"/>
    <n v="0.41299999999999998"/>
    <n v="72"/>
    <x v="1"/>
    <n v="7"/>
    <n v="447440"/>
    <n v="1.1100000000000001E-3"/>
  </r>
  <r>
    <n v="0.62"/>
    <n v="94121"/>
    <n v="0.9"/>
    <n v="0.86699999999999999"/>
    <n v="72"/>
    <x v="0"/>
    <n v="4"/>
    <n v="236800"/>
    <n v="0.2"/>
  </r>
  <r>
    <n v="0.51400000000000001"/>
    <n v="181033"/>
    <n v="0.51200000000000001"/>
    <n v="0.56499999999999995"/>
    <n v="72"/>
    <x v="0"/>
    <n v="11"/>
    <n v="252027"/>
    <n v="0.55500000000000005"/>
  </r>
  <r>
    <n v="0.88400000000000001"/>
    <n v="104536"/>
    <n v="0.84499999999999997"/>
    <n v="0.90400000000000003"/>
    <n v="72"/>
    <x v="0"/>
    <n v="6"/>
    <n v="257400"/>
    <n v="1.2800000000000001E-2"/>
  </r>
  <r>
    <n v="0.80200000000000005"/>
    <s v="119.25"/>
    <n v="0.49099999999999999"/>
    <n v="0.47199999999999998"/>
    <n v="72"/>
    <x v="1"/>
    <n v="4"/>
    <n v="248907"/>
    <n v="0.25"/>
  </r>
  <r>
    <n v="0.75800000000000001"/>
    <n v="112113"/>
    <n v="0.48899999999999999"/>
    <n v="0.435"/>
    <n v="72"/>
    <x v="1"/>
    <n v="7"/>
    <n v="371413"/>
    <n v="6.78E-4"/>
  </r>
  <r>
    <n v="0.95199999999999996"/>
    <n v="122093"/>
    <n v="0.39800000000000002"/>
    <n v="0.58399999999999996"/>
    <n v="72"/>
    <x v="1"/>
    <n v="4"/>
    <n v="278680"/>
    <n v="3.7300000000000001E-4"/>
  </r>
  <r>
    <n v="0.95299999999999996"/>
    <n v="84989"/>
    <n v="0.26700000000000002"/>
    <n v="0.56799999999999995"/>
    <n v="72"/>
    <x v="0"/>
    <n v="1"/>
    <n v="267307"/>
    <n v="2.1099999999999999E-3"/>
  </r>
  <r>
    <n v="0.80300000000000005"/>
    <n v="150036"/>
    <n v="0.253"/>
    <n v="0.25800000000000001"/>
    <n v="72"/>
    <x v="1"/>
    <n v="7"/>
    <n v="308667"/>
    <n v="0.129"/>
  </r>
  <r>
    <n v="0.97799999999999998"/>
    <n v="141167"/>
    <n v="0.52600000000000002"/>
    <n v="0.45100000000000001"/>
    <n v="72"/>
    <x v="1"/>
    <n v="8"/>
    <n v="210227"/>
    <n v="1.2199999999999999E-3"/>
  </r>
  <r>
    <n v="0.89900000000000002"/>
    <n v="152445"/>
    <n v="0.47499999999999998"/>
    <n v="0.60299999999999998"/>
    <n v="72"/>
    <x v="0"/>
    <n v="9"/>
    <n v="230667"/>
    <n v="3.7499999999999999E-3"/>
  </r>
  <r>
    <n v="0.747"/>
    <n v="120073"/>
    <n v="0.745"/>
    <n v="0.36299999999999999"/>
    <n v="72"/>
    <x v="0"/>
    <n v="11"/>
    <n v="178880"/>
    <n v="7.3000000000000001E-3"/>
  </r>
  <r>
    <n v="0.59699999999999998"/>
    <n v="170022"/>
    <n v="0.77"/>
    <n v="0.875"/>
    <n v="72"/>
    <x v="1"/>
    <n v="1"/>
    <n v="189707"/>
    <n v="0.53"/>
  </r>
  <r>
    <n v="0.59799999999999998"/>
    <n v="107732"/>
    <n v="0.73299999999999998"/>
    <n v="0.93500000000000005"/>
    <n v="72"/>
    <x v="1"/>
    <n v="2"/>
    <n v="265960"/>
    <n v="0.21199999999999999"/>
  </r>
  <r>
    <n v="0.88800000000000001"/>
    <s v="130.97"/>
    <n v="0.61699999999999999"/>
    <n v="0.77100000000000002"/>
    <n v="72"/>
    <x v="1"/>
    <n v="4"/>
    <n v="240560"/>
    <n v="7.0499999999999993E-2"/>
  </r>
  <r>
    <n v="0.34699999999999998"/>
    <n v="75016"/>
    <n v="0.88400000000000001"/>
    <n v="0.376"/>
    <n v="72"/>
    <x v="0"/>
    <n v="8"/>
    <n v="220307"/>
    <n v="1.4999999999999999E-2"/>
  </r>
  <r>
    <n v="0.61899999999999999"/>
    <n v="127956"/>
    <n v="0.96199999999999997"/>
    <n v="0.154"/>
    <n v="72"/>
    <x v="0"/>
    <n v="10"/>
    <n v="144652"/>
    <n v="3.5400000000000001E-2"/>
  </r>
  <r>
    <n v="0.46300000000000002"/>
    <n v="108003"/>
    <n v="0.97"/>
    <n v="0.46"/>
    <n v="72"/>
    <x v="1"/>
    <n v="10"/>
    <n v="142417"/>
    <n v="9.5699999999999993E-2"/>
  </r>
  <r>
    <n v="0.63400000000000001"/>
    <n v="101837"/>
    <n v="0.502"/>
    <n v="0.64500000000000002"/>
    <n v="72"/>
    <x v="0"/>
    <n v="8"/>
    <n v="219628"/>
    <n v="0.67700000000000005"/>
  </r>
  <r>
    <n v="0.54100000000000004"/>
    <n v="139978"/>
    <n v="0.71599999999999997"/>
    <n v="0.38700000000000001"/>
    <n v="72"/>
    <x v="1"/>
    <n v="1"/>
    <n v="247055"/>
    <n v="2.0999999999999999E-3"/>
  </r>
  <r>
    <n v="0.58799999999999997"/>
    <n v="113608"/>
    <n v="0.49099999999999999"/>
    <n v="0.193"/>
    <n v="72"/>
    <x v="1"/>
    <n v="1"/>
    <n v="269600"/>
    <n v="2.81E-2"/>
  </r>
  <r>
    <n v="0.71"/>
    <n v="89929"/>
    <n v="0.5"/>
    <n v="0.41899999999999998"/>
    <n v="72"/>
    <x v="1"/>
    <n v="3"/>
    <n v="175200"/>
    <n v="0.19"/>
  </r>
  <r>
    <n v="0.44500000000000001"/>
    <n v="50827"/>
    <n v="0.28599999999999998"/>
    <n v="0.27800000000000002"/>
    <n v="72"/>
    <x v="1"/>
    <n v="6"/>
    <n v="217352"/>
    <n v="0.35499999999999998"/>
  </r>
  <r>
    <n v="0.41499999999999998"/>
    <n v="114145"/>
    <n v="0.72799999999999998"/>
    <n v="0.45500000000000002"/>
    <n v="72"/>
    <x v="1"/>
    <n v="8"/>
    <n v="176320"/>
    <n v="0.40100000000000002"/>
  </r>
  <r>
    <n v="0.63200000000000001"/>
    <n v="147873"/>
    <n v="0.49399999999999999"/>
    <n v="7.9699999999999993E-2"/>
    <n v="72"/>
    <x v="1"/>
    <n v="5"/>
    <n v="274693"/>
    <n v="0.68200000000000005"/>
  </r>
  <r>
    <n v="0.47299999999999998"/>
    <n v="75801"/>
    <n v="0.46400000000000002"/>
    <n v="0.60399999999999998"/>
    <n v="72"/>
    <x v="1"/>
    <n v="1"/>
    <n v="208687"/>
    <n v="0.86599999999999999"/>
  </r>
  <r>
    <n v="0.98499999999999999"/>
    <s v="127.99"/>
    <n v="0.80100000000000005"/>
    <n v="0.72"/>
    <n v="72"/>
    <x v="1"/>
    <n v="7"/>
    <n v="166933"/>
    <n v="2.0500000000000001E-2"/>
  </r>
  <r>
    <n v="0.876"/>
    <n v="129884"/>
    <n v="0.66600000000000004"/>
    <n v="0.55200000000000005"/>
    <n v="72"/>
    <x v="1"/>
    <n v="3"/>
    <n v="194840"/>
    <n v="5.5E-2"/>
  </r>
  <r>
    <n v="0.76"/>
    <n v="129996"/>
    <n v="0.70199999999999996"/>
    <n v="0.69599999999999995"/>
    <n v="72"/>
    <x v="1"/>
    <n v="5"/>
    <n v="179640"/>
    <n v="2.2599999999999999E-3"/>
  </r>
  <r>
    <n v="0.81"/>
    <n v="126052"/>
    <n v="0.57199999999999995"/>
    <n v="0.11"/>
    <n v="72"/>
    <x v="0"/>
    <n v="1"/>
    <n v="214912"/>
    <n v="1.5699999999999999E-2"/>
  </r>
  <r>
    <n v="0.78100000000000003"/>
    <n v="119977"/>
    <n v="0.751"/>
    <n v="0.81399999999999995"/>
    <n v="72"/>
    <x v="1"/>
    <n v="4"/>
    <n v="202613"/>
    <n v="3.8999999999999998E-3"/>
  </r>
  <r>
    <n v="0.95199999999999996"/>
    <n v="122093"/>
    <n v="0.39800000000000002"/>
    <n v="0.58399999999999996"/>
    <n v="72"/>
    <x v="1"/>
    <n v="4"/>
    <n v="278680"/>
    <n v="3.7300000000000001E-4"/>
  </r>
  <r>
    <n v="0.53400000000000003"/>
    <s v="108.17"/>
    <n v="0.877"/>
    <n v="0.89"/>
    <n v="72"/>
    <x v="1"/>
    <n v="1"/>
    <n v="197560"/>
    <n v="3.39E-2"/>
  </r>
  <r>
    <n v="0.83799999999999997"/>
    <n v="100021"/>
    <n v="0.83199999999999996"/>
    <n v="0.96499999999999997"/>
    <n v="72"/>
    <x v="0"/>
    <n v="1"/>
    <n v="218733"/>
    <n v="7.9100000000000004E-2"/>
  </r>
  <r>
    <n v="0.86799999999999999"/>
    <n v="131468"/>
    <n v="0.70399999999999996"/>
    <n v="0.80800000000000005"/>
    <n v="72"/>
    <x v="1"/>
    <n v="2"/>
    <n v="188133"/>
    <n v="8.3400000000000002E-2"/>
  </r>
  <r>
    <n v="0.66200000000000003"/>
    <n v="124149"/>
    <n v="0.72899999999999998"/>
    <n v="0.35899999999999999"/>
    <n v="72"/>
    <x v="0"/>
    <n v="5"/>
    <n v="260907"/>
    <n v="1.2800000000000001E-3"/>
  </r>
  <r>
    <n v="0.93700000000000006"/>
    <n v="132067"/>
    <n v="0.72699999999999998"/>
    <n v="0.749"/>
    <n v="72"/>
    <x v="0"/>
    <n v="11"/>
    <n v="219493"/>
    <n v="4.1700000000000001E-3"/>
  </r>
  <r>
    <n v="0.73599999999999999"/>
    <n v="130011"/>
    <n v="0.75"/>
    <n v="0.35499999999999998"/>
    <n v="72"/>
    <x v="0"/>
    <n v="5"/>
    <n v="262147"/>
    <n v="2.0199999999999999E-2"/>
  </r>
  <r>
    <n v="0.442"/>
    <n v="81201"/>
    <n v="0.51300000000000001"/>
    <n v="0.24299999999999999"/>
    <n v="72"/>
    <x v="1"/>
    <n v="4"/>
    <n v="229227"/>
    <n v="7.3099999999999997E-3"/>
  </r>
  <r>
    <n v="0.84199999999999997"/>
    <n v="100127"/>
    <n v="0.29699999999999999"/>
    <n v="0.58599999999999997"/>
    <n v="72"/>
    <x v="1"/>
    <n v="6"/>
    <n v="206773"/>
    <n v="2.8600000000000001E-4"/>
  </r>
  <r>
    <n v="0.69499999999999995"/>
    <n v="102178"/>
    <n v="0.437"/>
    <n v="0.41299999999999998"/>
    <n v="72"/>
    <x v="1"/>
    <n v="7"/>
    <n v="447440"/>
    <n v="1.1100000000000001E-3"/>
  </r>
  <r>
    <n v="0.75"/>
    <n v="118015"/>
    <n v="0.77400000000000002"/>
    <n v="0.92700000000000005"/>
    <n v="72"/>
    <x v="0"/>
    <n v="11"/>
    <n v="197987"/>
    <n v="2.0699999999999998E-3"/>
  </r>
  <r>
    <n v="0.83"/>
    <n v="170094"/>
    <n v="0.56899999999999995"/>
    <n v="0.60899999999999999"/>
    <n v="72"/>
    <x v="0"/>
    <n v="9"/>
    <n v="186635"/>
    <n v="8.0699999999999994E-2"/>
  </r>
  <r>
    <n v="0.88300000000000001"/>
    <n v="122252"/>
    <n v="0.46700000000000003"/>
    <n v="0.309"/>
    <n v="72"/>
    <x v="0"/>
    <n v="2"/>
    <n v="299227"/>
    <n v="3.21E-4"/>
  </r>
  <r>
    <n v="0.42199999999999999"/>
    <n v="112751"/>
    <n v="0.75600000000000001"/>
    <n v="0.48699999999999999"/>
    <n v="72"/>
    <x v="0"/>
    <n v="11"/>
    <n v="304133"/>
    <n v="1.6500000000000001E-2"/>
  </r>
  <r>
    <n v="0.438"/>
    <n v="87903"/>
    <n v="0.38400000000000001"/>
    <n v="0.28699999999999998"/>
    <n v="72"/>
    <x v="1"/>
    <n v="0"/>
    <n v="456867"/>
    <n v="0.753"/>
  </r>
  <r>
    <n v="0.42199999999999999"/>
    <n v="74375"/>
    <n v="0.69199999999999995"/>
    <n v="0.46800000000000003"/>
    <n v="72"/>
    <x v="1"/>
    <n v="2"/>
    <n v="193120"/>
    <n v="8.1100000000000005E-2"/>
  </r>
  <r>
    <n v="0.247"/>
    <n v="140232"/>
    <n v="0.46700000000000003"/>
    <n v="0.25800000000000001"/>
    <n v="72"/>
    <x v="1"/>
    <n v="7"/>
    <n v="209078"/>
    <n v="0.90600000000000003"/>
  </r>
  <r>
    <n v="0.122"/>
    <n v="148658"/>
    <n v="0.26400000000000001"/>
    <n v="7.3499999999999996E-2"/>
    <n v="72"/>
    <x v="1"/>
    <n v="9"/>
    <n v="371320"/>
    <n v="0.88500000000000001"/>
  </r>
  <r>
    <n v="0.94199999999999995"/>
    <s v="120.0"/>
    <n v="0.76200000000000001"/>
    <n v="3.7999999999999999E-2"/>
    <n v="72"/>
    <x v="0"/>
    <n v="9"/>
    <n v="140000"/>
    <n v="0.58599999999999997"/>
  </r>
  <r>
    <n v="0.84099999999999997"/>
    <n v="129973"/>
    <n v="0.71399999999999997"/>
    <n v="0.86499999999999999"/>
    <n v="72"/>
    <x v="0"/>
    <n v="5"/>
    <n v="137223"/>
    <n v="6.2199999999999998E-2"/>
  </r>
  <r>
    <n v="0.82099999999999995"/>
    <n v="125051"/>
    <n v="0.84799999999999998"/>
    <n v="0.249"/>
    <n v="72"/>
    <x v="0"/>
    <n v="2"/>
    <n v="157445"/>
    <n v="1.6899999999999998E-2"/>
  </r>
  <r>
    <n v="0.85499999999999998"/>
    <n v="75031"/>
    <n v="0.60499999999999998"/>
    <n v="0.30199999999999999"/>
    <n v="72"/>
    <x v="0"/>
    <n v="10"/>
    <n v="140987"/>
    <n v="0.47299999999999998"/>
  </r>
  <r>
    <n v="0.94199999999999995"/>
    <s v="120.0"/>
    <n v="0.76200000000000001"/>
    <n v="3.7999999999999999E-2"/>
    <n v="72"/>
    <x v="0"/>
    <n v="9"/>
    <n v="140000"/>
    <n v="0.58599999999999997"/>
  </r>
  <r>
    <n v="0.61599999999999999"/>
    <n v="104008"/>
    <n v="0.77300000000000002"/>
    <n v="0.25"/>
    <n v="72"/>
    <x v="1"/>
    <n v="0"/>
    <n v="190107"/>
    <n v="5.6500000000000002E-2"/>
  </r>
  <r>
    <n v="0.63700000000000001"/>
    <n v="92025"/>
    <n v="0.81100000000000005"/>
    <n v="0.47099999999999997"/>
    <n v="72"/>
    <x v="0"/>
    <n v="10"/>
    <n v="130014"/>
    <n v="0.23400000000000001"/>
  </r>
  <r>
    <n v="0.82899999999999996"/>
    <n v="96172"/>
    <n v="0.60699999999999998"/>
    <n v="0.68500000000000005"/>
    <n v="72"/>
    <x v="1"/>
    <n v="2"/>
    <n v="295177"/>
    <n v="1.03E-2"/>
  </r>
  <r>
    <n v="0.624"/>
    <n v="176169"/>
    <n v="0.61"/>
    <n v="0.24399999999999999"/>
    <n v="72"/>
    <x v="1"/>
    <n v="2"/>
    <n v="250534"/>
    <n v="0.6"/>
  </r>
  <r>
    <n v="0.71099999999999997"/>
    <n v="173916"/>
    <n v="0.71799999999999997"/>
    <n v="0.92"/>
    <n v="72"/>
    <x v="0"/>
    <n v="8"/>
    <n v="226413"/>
    <n v="0.157"/>
  </r>
  <r>
    <n v="0.81200000000000006"/>
    <n v="162087"/>
    <n v="0.78500000000000003"/>
    <n v="0.90300000000000002"/>
    <n v="72"/>
    <x v="1"/>
    <n v="3"/>
    <n v="206103"/>
    <n v="0.14699999999999999"/>
  </r>
  <r>
    <n v="0.67200000000000004"/>
    <n v="93999"/>
    <n v="0.81699999999999995"/>
    <n v="0.77400000000000002"/>
    <n v="72"/>
    <x v="0"/>
    <n v="11"/>
    <n v="332240"/>
    <n v="0.441"/>
  </r>
  <r>
    <n v="0.99"/>
    <n v="126015"/>
    <n v="0.748"/>
    <n v="0.38600000000000001"/>
    <n v="72"/>
    <x v="1"/>
    <n v="1"/>
    <n v="118194"/>
    <n v="0.30299999999999999"/>
  </r>
  <r>
    <n v="0.41299999999999998"/>
    <n v="130078"/>
    <n v="0.92"/>
    <n v="0.67900000000000005"/>
    <n v="72"/>
    <x v="0"/>
    <n v="7"/>
    <n v="138462"/>
    <n v="0.504"/>
  </r>
  <r>
    <n v="0.90700000000000003"/>
    <n v="117054"/>
    <n v="0.86299999999999999"/>
    <n v="0.30399999999999999"/>
    <n v="72"/>
    <x v="0"/>
    <n v="4"/>
    <n v="107971"/>
    <n v="6.83E-2"/>
  </r>
  <r>
    <n v="0.60599999999999998"/>
    <n v="95056"/>
    <n v="0.83099999999999996"/>
    <n v="0.88300000000000001"/>
    <n v="72"/>
    <x v="0"/>
    <n v="8"/>
    <n v="146526"/>
    <n v="0.68400000000000005"/>
  </r>
  <r>
    <n v="0.84"/>
    <n v="95416"/>
    <n v="0.85599999999999998"/>
    <n v="0.79200000000000004"/>
    <n v="72"/>
    <x v="0"/>
    <n v="6"/>
    <n v="298053"/>
    <n v="9.7299999999999998E-2"/>
  </r>
  <r>
    <n v="0.80300000000000005"/>
    <n v="67536"/>
    <n v="0.28399999999999997"/>
    <n v="0.55300000000000005"/>
    <n v="72"/>
    <x v="0"/>
    <n v="2"/>
    <n v="323960"/>
    <n v="0.30199999999999999"/>
  </r>
  <r>
    <n v="0.86"/>
    <s v="76.54"/>
    <n v="0.57499999999999996"/>
    <n v="0.83399999999999996"/>
    <n v="72"/>
    <x v="0"/>
    <n v="9"/>
    <n v="107314"/>
    <n v="0.29799999999999999"/>
  </r>
  <r>
    <n v="0.498"/>
    <n v="81958"/>
    <n v="0.66500000000000004"/>
    <n v="0.127"/>
    <n v="72"/>
    <x v="1"/>
    <n v="5"/>
    <n v="179613"/>
    <n v="0.23"/>
  </r>
  <r>
    <n v="0.435"/>
    <n v="120058"/>
    <n v="0.84299999999999997"/>
    <n v="0.19"/>
    <n v="72"/>
    <x v="1"/>
    <n v="8"/>
    <n v="208080"/>
    <n v="0.47"/>
  </r>
  <r>
    <n v="0.73099999999999998"/>
    <n v="174516"/>
    <n v="0.55200000000000005"/>
    <n v="0.63200000000000001"/>
    <n v="72"/>
    <x v="1"/>
    <n v="7"/>
    <n v="248613"/>
    <n v="5.3600000000000002E-2"/>
  </r>
  <r>
    <n v="0.63400000000000001"/>
    <n v="101837"/>
    <n v="0.502"/>
    <n v="0.64500000000000002"/>
    <n v="72"/>
    <x v="0"/>
    <n v="8"/>
    <n v="219628"/>
    <n v="0.67700000000000005"/>
  </r>
  <r>
    <n v="0.75600000000000001"/>
    <n v="105024"/>
    <n v="0.71899999999999997"/>
    <n v="0.64700000000000002"/>
    <n v="72"/>
    <x v="0"/>
    <n v="5"/>
    <n v="219500"/>
    <n v="5.4100000000000002E-2"/>
  </r>
  <r>
    <n v="0.46300000000000002"/>
    <s v="125.15"/>
    <n v="0.56200000000000006"/>
    <n v="0.41599999999999998"/>
    <n v="72"/>
    <x v="1"/>
    <n v="6"/>
    <n v="247579"/>
    <n v="0.442"/>
  </r>
  <r>
    <n v="0.58099999999999996"/>
    <n v="102964"/>
    <n v="0.60899999999999999"/>
    <n v="0.52800000000000002"/>
    <n v="72"/>
    <x v="1"/>
    <n v="2"/>
    <n v="196204"/>
    <n v="0.50900000000000001"/>
  </r>
  <r>
    <n v="1.6100000000000001E-3"/>
    <n v="140997"/>
    <n v="0.13800000000000001"/>
    <n v="0.155"/>
    <n v="72"/>
    <x v="1"/>
    <n v="5"/>
    <n v="144750"/>
    <n v="0.97699999999999998"/>
  </r>
  <r>
    <n v="0.13500000000000001"/>
    <n v="82987"/>
    <n v="0.38700000000000001"/>
    <n v="0.21"/>
    <n v="72"/>
    <x v="1"/>
    <n v="7"/>
    <n v="216448"/>
    <n v="0.92900000000000005"/>
  </r>
  <r>
    <n v="0.17899999999999999"/>
    <s v="140.01"/>
    <n v="0.53900000000000003"/>
    <n v="0.14499999999999999"/>
    <n v="72"/>
    <x v="1"/>
    <n v="7"/>
    <n v="198027"/>
    <n v="0.92100000000000004"/>
  </r>
  <r>
    <n v="0.34300000000000003"/>
    <n v="145115"/>
    <n v="0.47399999999999998"/>
    <n v="0.152"/>
    <n v="72"/>
    <x v="0"/>
    <n v="4"/>
    <n v="243907"/>
    <n v="0.57799999999999996"/>
  </r>
  <r>
    <n v="0.22500000000000001"/>
    <n v="104007"/>
    <n v="0.55400000000000005"/>
    <n v="0.221"/>
    <n v="72"/>
    <x v="1"/>
    <n v="3"/>
    <n v="239880"/>
    <n v="0.89200000000000002"/>
  </r>
  <r>
    <n v="0.34699999999999998"/>
    <n v="141332"/>
    <n v="0.40899999999999997"/>
    <n v="0.19900000000000001"/>
    <n v="72"/>
    <x v="0"/>
    <n v="11"/>
    <n v="205484"/>
    <n v="0.83399999999999996"/>
  </r>
  <r>
    <n v="0.56100000000000005"/>
    <n v="148775"/>
    <n v="0.68600000000000005"/>
    <n v="0.186"/>
    <n v="72"/>
    <x v="0"/>
    <n v="10"/>
    <n v="116240"/>
    <n v="0.185"/>
  </r>
  <r>
    <n v="0.56599999999999995"/>
    <n v="85953"/>
    <n v="0.79400000000000004"/>
    <n v="0.68"/>
    <n v="72"/>
    <x v="0"/>
    <n v="11"/>
    <n v="226933"/>
    <n v="0.30099999999999999"/>
  </r>
  <r>
    <n v="0.13800000000000001"/>
    <n v="128563"/>
    <n v="0.34"/>
    <n v="0.32500000000000001"/>
    <n v="72"/>
    <x v="0"/>
    <n v="2"/>
    <n v="137547"/>
    <n v="0.98399999999999999"/>
  </r>
  <r>
    <n v="0.71499999999999997"/>
    <n v="113861"/>
    <n v="0.55200000000000005"/>
    <n v="0.85799999999999998"/>
    <n v="72"/>
    <x v="1"/>
    <n v="2"/>
    <n v="69565"/>
    <n v="2.86E-2"/>
  </r>
  <r>
    <n v="0.41299999999999998"/>
    <s v="146.05"/>
    <n v="0.747"/>
    <n v="0.48099999999999998"/>
    <n v="72"/>
    <x v="0"/>
    <n v="2"/>
    <n v="174247"/>
    <n v="0.84799999999999998"/>
  </r>
  <r>
    <n v="0.73099999999999998"/>
    <n v="97007"/>
    <n v="0.751"/>
    <n v="0.97299999999999998"/>
    <n v="72"/>
    <x v="0"/>
    <n v="6"/>
    <n v="216707"/>
    <n v="8.3799999999999999E-2"/>
  </r>
  <r>
    <n v="0.84"/>
    <n v="97027"/>
    <n v="0.67300000000000004"/>
    <n v="0.94"/>
    <n v="72"/>
    <x v="1"/>
    <n v="7"/>
    <n v="205373"/>
    <n v="6.83E-2"/>
  </r>
  <r>
    <n v="0.47899999999999998"/>
    <n v="123217"/>
    <n v="0.42499999999999999"/>
    <n v="0.27900000000000003"/>
    <n v="72"/>
    <x v="1"/>
    <n v="2"/>
    <n v="215867"/>
    <n v="0.44"/>
  </r>
  <r>
    <n v="0.879"/>
    <n v="133946"/>
    <n v="0.74199999999999999"/>
    <n v="0.93600000000000005"/>
    <n v="72"/>
    <x v="0"/>
    <n v="0"/>
    <n v="227091"/>
    <n v="6.9599999999999995E-2"/>
  </r>
  <r>
    <n v="0.41599999999999998"/>
    <n v="94926"/>
    <n v="0.49199999999999999"/>
    <n v="0.29699999999999999"/>
    <n v="71"/>
    <x v="1"/>
    <n v="11"/>
    <n v="211979"/>
    <n v="0.68600000000000005"/>
  </r>
  <r>
    <n v="0.67"/>
    <n v="129269"/>
    <n v="0.61899999999999999"/>
    <n v="0.77700000000000002"/>
    <n v="71"/>
    <x v="0"/>
    <n v="11"/>
    <n v="211933"/>
    <n v="1.65E-3"/>
  </r>
  <r>
    <n v="0.52800000000000002"/>
    <n v="109975"/>
    <n v="0.93200000000000005"/>
    <n v="0.75700000000000001"/>
    <n v="71"/>
    <x v="0"/>
    <n v="5"/>
    <n v="214653"/>
    <n v="0.115"/>
  </r>
  <r>
    <n v="0.36599999999999999"/>
    <n v="127163"/>
    <n v="0.47199999999999998"/>
    <n v="0.17100000000000001"/>
    <n v="71"/>
    <x v="0"/>
    <n v="11"/>
    <n v="382297"/>
    <n v="0.15"/>
  </r>
  <r>
    <n v="0.93799999999999994"/>
    <n v="168131"/>
    <n v="0.32400000000000001"/>
    <n v="0.54300000000000004"/>
    <n v="71"/>
    <x v="0"/>
    <n v="6"/>
    <n v="178440"/>
    <n v="3.2000000000000001E-2"/>
  </r>
  <r>
    <n v="0.80200000000000005"/>
    <n v="128085"/>
    <n v="0.83499999999999996"/>
    <n v="0.374"/>
    <n v="71"/>
    <x v="1"/>
    <n v="7"/>
    <n v="143778"/>
    <n v="3.1099999999999999E-2"/>
  </r>
  <r>
    <n v="0.82599999999999996"/>
    <s v="108.52"/>
    <n v="0.65400000000000003"/>
    <n v="0.41699999999999998"/>
    <n v="71"/>
    <x v="0"/>
    <n v="6"/>
    <n v="256227"/>
    <n v="1.5299999999999999E-2"/>
  </r>
  <r>
    <n v="0.73199999999999998"/>
    <n v="142791"/>
    <n v="0.54800000000000004"/>
    <n v="0.61199999999999999"/>
    <n v="71"/>
    <x v="0"/>
    <n v="11"/>
    <n v="127547"/>
    <n v="0.125"/>
  </r>
  <r>
    <n v="0.57499999999999996"/>
    <n v="120031"/>
    <n v="0.88"/>
    <n v="0.67100000000000004"/>
    <n v="71"/>
    <x v="1"/>
    <n v="6"/>
    <n v="232048"/>
    <n v="0.41499999999999998"/>
  </r>
  <r>
    <n v="0.70799999999999996"/>
    <n v="96914"/>
    <n v="0.71199999999999997"/>
    <n v="0.63400000000000001"/>
    <n v="71"/>
    <x v="0"/>
    <n v="10"/>
    <n v="165773"/>
    <n v="0.40400000000000003"/>
  </r>
  <r>
    <n v="0.60299999999999998"/>
    <n v="135993"/>
    <n v="0.73499999999999999"/>
    <n v="0.42899999999999999"/>
    <n v="71"/>
    <x v="0"/>
    <n v="6"/>
    <n v="326937"/>
    <n v="0.22600000000000001"/>
  </r>
  <r>
    <n v="0.68300000000000005"/>
    <n v="145379"/>
    <n v="0.501"/>
    <n v="0.623"/>
    <n v="71"/>
    <x v="0"/>
    <n v="6"/>
    <n v="161379"/>
    <n v="0.109"/>
  </r>
  <r>
    <n v="0.48099999999999998"/>
    <n v="124914"/>
    <n v="0.53400000000000003"/>
    <n v="0.29299999999999998"/>
    <n v="71"/>
    <x v="0"/>
    <n v="0"/>
    <n v="280282"/>
    <n v="0.69699999999999995"/>
  </r>
  <r>
    <n v="0.68400000000000005"/>
    <n v="209688"/>
    <n v="0.63300000000000001"/>
    <n v="0.72499999999999998"/>
    <n v="71"/>
    <x v="0"/>
    <n v="10"/>
    <n v="213573"/>
    <n v="0.314"/>
  </r>
  <r>
    <n v="0.35099999999999998"/>
    <n v="87057"/>
    <n v="0.66500000000000004"/>
    <n v="0.45100000000000001"/>
    <n v="71"/>
    <x v="1"/>
    <n v="2"/>
    <n v="126120"/>
    <n v="0.51600000000000001"/>
  </r>
  <r>
    <n v="0.61199999999999999"/>
    <n v="86768"/>
    <n v="0.53600000000000003"/>
    <n v="0.56999999999999995"/>
    <n v="71"/>
    <x v="1"/>
    <n v="4"/>
    <n v="229040"/>
    <n v="0.11899999999999999"/>
  </r>
  <r>
    <n v="0.24199999999999999"/>
    <n v="144211"/>
    <n v="0.54900000000000004"/>
    <n v="0.28599999999999998"/>
    <n v="71"/>
    <x v="1"/>
    <n v="5"/>
    <n v="180304"/>
    <n v="0.80900000000000005"/>
  </r>
  <r>
    <n v="0.80200000000000005"/>
    <n v="100001"/>
    <n v="0.71299999999999997"/>
    <n v="0.34300000000000003"/>
    <n v="71"/>
    <x v="1"/>
    <n v="4"/>
    <n v="226739"/>
    <n v="4.3499999999999997E-2"/>
  </r>
  <r>
    <n v="0.90600000000000003"/>
    <n v="125916"/>
    <n v="0.71099999999999997"/>
    <n v="0.82399999999999995"/>
    <n v="71"/>
    <x v="1"/>
    <n v="8"/>
    <n v="157153"/>
    <n v="9.5200000000000007E-3"/>
  </r>
  <r>
    <n v="0.92100000000000004"/>
    <n v="130072"/>
    <n v="0.69099999999999995"/>
    <n v="0.8"/>
    <n v="71"/>
    <x v="0"/>
    <n v="8"/>
    <n v="201000"/>
    <n v="0.17299999999999999"/>
  </r>
  <r>
    <n v="0.79500000000000004"/>
    <n v="121294"/>
    <n v="0.95599999999999996"/>
    <n v="0.84099999999999997"/>
    <n v="71"/>
    <x v="1"/>
    <n v="7"/>
    <n v="429533"/>
    <n v="3.5599999999999998E-3"/>
  </r>
  <r>
    <n v="0.68300000000000005"/>
    <n v="145379"/>
    <n v="0.501"/>
    <n v="0.623"/>
    <n v="71"/>
    <x v="0"/>
    <n v="6"/>
    <n v="161379"/>
    <n v="0.109"/>
  </r>
  <r>
    <n v="0.71899999999999997"/>
    <n v="113012"/>
    <n v="0.89700000000000002"/>
    <n v="0.54600000000000004"/>
    <n v="71"/>
    <x v="0"/>
    <n v="6"/>
    <n v="157756"/>
    <n v="0.11600000000000001"/>
  </r>
  <r>
    <n v="0.90800000000000003"/>
    <n v="159756"/>
    <n v="0.28499999999999998"/>
    <n v="0.66900000000000004"/>
    <n v="71"/>
    <x v="0"/>
    <n v="4"/>
    <n v="252733"/>
    <n v="3.1800000000000002E-2"/>
  </r>
  <r>
    <n v="0.90800000000000003"/>
    <n v="114816"/>
    <n v="0.41499999999999998"/>
    <n v="0.437"/>
    <n v="71"/>
    <x v="1"/>
    <n v="2"/>
    <n v="243533"/>
    <n v="4.3699999999999998E-3"/>
  </r>
  <r>
    <n v="0.81100000000000005"/>
    <s v="126.59"/>
    <n v="0.56100000000000005"/>
    <n v="0.63500000000000001"/>
    <n v="71"/>
    <x v="1"/>
    <n v="4"/>
    <n v="233270"/>
    <n v="5.1500000000000001E-3"/>
  </r>
  <r>
    <n v="0.872"/>
    <n v="129885"/>
    <n v="0.79700000000000004"/>
    <n v="0.86599999999999999"/>
    <n v="71"/>
    <x v="0"/>
    <n v="9"/>
    <n v="222427"/>
    <n v="0.29099999999999998"/>
  </r>
  <r>
    <n v="0.90800000000000003"/>
    <n v="159756"/>
    <n v="0.28499999999999998"/>
    <n v="0.66900000000000004"/>
    <n v="71"/>
    <x v="0"/>
    <n v="4"/>
    <n v="252733"/>
    <n v="3.1800000000000002E-2"/>
  </r>
  <r>
    <n v="0.52800000000000002"/>
    <n v="109975"/>
    <n v="0.93200000000000005"/>
    <n v="0.75700000000000001"/>
    <n v="71"/>
    <x v="0"/>
    <n v="5"/>
    <n v="214653"/>
    <n v="0.115"/>
  </r>
  <r>
    <n v="0.81200000000000006"/>
    <n v="127568"/>
    <n v="0.69099999999999995"/>
    <n v="0.68500000000000005"/>
    <n v="71"/>
    <x v="1"/>
    <n v="0"/>
    <n v="220627"/>
    <n v="4.3299999999999998E-2"/>
  </r>
  <r>
    <n v="0.93"/>
    <n v="190818"/>
    <n v="0.39800000000000002"/>
    <n v="0.72499999999999998"/>
    <n v="71"/>
    <x v="1"/>
    <n v="11"/>
    <n v="408173"/>
    <n v="8.5400000000000005E-4"/>
  </r>
  <r>
    <n v="0.94199999999999995"/>
    <n v="97909"/>
    <n v="0.51100000000000001"/>
    <n v="0.498"/>
    <n v="71"/>
    <x v="1"/>
    <n v="0"/>
    <n v="393667"/>
    <n v="0.17399999999999999"/>
  </r>
  <r>
    <n v="0.71099999999999997"/>
    <n v="146921"/>
    <n v="0.48699999999999999"/>
    <n v="0.317"/>
    <n v="71"/>
    <x v="1"/>
    <n v="8"/>
    <n v="151647"/>
    <n v="1.75E-4"/>
  </r>
  <r>
    <n v="0.41099999999999998"/>
    <n v="169934"/>
    <n v="0.58399999999999996"/>
    <n v="0.41199999999999998"/>
    <n v="71"/>
    <x v="0"/>
    <n v="10"/>
    <n v="217769"/>
    <n v="0.86899999999999999"/>
  </r>
  <r>
    <n v="0.51600000000000001"/>
    <n v="111005"/>
    <n v="0.87"/>
    <n v="0.53"/>
    <n v="71"/>
    <x v="1"/>
    <n v="1"/>
    <n v="210200"/>
    <n v="0.65600000000000003"/>
  </r>
  <r>
    <n v="0.623"/>
    <n v="130037"/>
    <n v="0.91900000000000004"/>
    <n v="0.77500000000000002"/>
    <n v="71"/>
    <x v="1"/>
    <n v="7"/>
    <n v="157018"/>
    <n v="0.184"/>
  </r>
  <r>
    <n v="0.58599999999999997"/>
    <n v="189978"/>
    <n v="0.32600000000000001"/>
    <n v="0.29499999999999998"/>
    <n v="71"/>
    <x v="1"/>
    <n v="6"/>
    <n v="262309"/>
    <n v="0.53100000000000003"/>
  </r>
  <r>
    <n v="0.52400000000000002"/>
    <n v="140053"/>
    <n v="0.747"/>
    <n v="0.36299999999999999"/>
    <n v="71"/>
    <x v="0"/>
    <n v="10"/>
    <n v="213132"/>
    <n v="3.0599999999999999E-2"/>
  </r>
  <r>
    <n v="0.74399999999999999"/>
    <n v="84005"/>
    <n v="0.86699999999999999"/>
    <n v="0.64500000000000002"/>
    <n v="71"/>
    <x v="1"/>
    <n v="2"/>
    <n v="173288"/>
    <n v="0.26800000000000002"/>
  </r>
  <r>
    <n v="0.73599999999999999"/>
    <n v="147946"/>
    <n v="0.77600000000000002"/>
    <n v="0.23300000000000001"/>
    <n v="71"/>
    <x v="1"/>
    <n v="7"/>
    <n v="186945"/>
    <n v="8.0199999999999994E-2"/>
  </r>
  <r>
    <n v="0.71899999999999997"/>
    <n v="113012"/>
    <n v="0.89700000000000002"/>
    <n v="0.54600000000000004"/>
    <n v="71"/>
    <x v="0"/>
    <n v="6"/>
    <n v="157756"/>
    <n v="0.11600000000000001"/>
  </r>
  <r>
    <n v="0.68300000000000005"/>
    <n v="145379"/>
    <n v="0.501"/>
    <n v="0.623"/>
    <n v="71"/>
    <x v="0"/>
    <n v="6"/>
    <n v="161379"/>
    <n v="0.109"/>
  </r>
  <r>
    <n v="0.70599999999999996"/>
    <n v="122013"/>
    <n v="0.66300000000000003"/>
    <n v="0.47399999999999998"/>
    <n v="71"/>
    <x v="0"/>
    <n v="1"/>
    <n v="257840"/>
    <n v="6.54E-2"/>
  </r>
  <r>
    <n v="0.72"/>
    <n v="79983"/>
    <n v="0.50800000000000001"/>
    <n v="0.47199999999999998"/>
    <n v="71"/>
    <x v="0"/>
    <n v="11"/>
    <n v="261640"/>
    <n v="0.27200000000000002"/>
  </r>
  <r>
    <n v="0.63800000000000001"/>
    <n v="184086"/>
    <n v="0.378"/>
    <n v="0.73499999999999999"/>
    <n v="71"/>
    <x v="1"/>
    <n v="10"/>
    <n v="250627"/>
    <n v="0.02"/>
  </r>
  <r>
    <n v="0.54900000000000004"/>
    <s v="90.04"/>
    <n v="0.64400000000000002"/>
    <n v="0.16700000000000001"/>
    <n v="71"/>
    <x v="0"/>
    <n v="1"/>
    <n v="253813"/>
    <n v="2.0899999999999998E-2"/>
  </r>
  <r>
    <n v="0.85899999999999999"/>
    <n v="124948"/>
    <n v="0.73299999999999998"/>
    <n v="0.52"/>
    <n v="71"/>
    <x v="0"/>
    <n v="9"/>
    <n v="147840"/>
    <n v="0.47899999999999998"/>
  </r>
  <r>
    <n v="0.78600000000000003"/>
    <n v="96987"/>
    <n v="0.80800000000000005"/>
    <n v="0.89900000000000002"/>
    <n v="71"/>
    <x v="0"/>
    <n v="4"/>
    <n v="191240"/>
    <n v="9.2800000000000001E-3"/>
  </r>
  <r>
    <n v="0.63"/>
    <n v="120016"/>
    <n v="0.875"/>
    <n v="0.54800000000000004"/>
    <n v="71"/>
    <x v="1"/>
    <n v="1"/>
    <n v="272080"/>
    <n v="5.4599999999999996E-3"/>
  </r>
  <r>
    <n v="0.51700000000000002"/>
    <n v="133149"/>
    <n v="0.86699999999999999"/>
    <n v="0.86199999999999999"/>
    <n v="71"/>
    <x v="0"/>
    <n v="11"/>
    <n v="257360"/>
    <n v="4.4900000000000001E-3"/>
  </r>
  <r>
    <n v="0.90700000000000003"/>
    <n v="140982"/>
    <n v="0.51800000000000002"/>
    <n v="0.96099999999999997"/>
    <n v="71"/>
    <x v="1"/>
    <n v="5"/>
    <n v="179013"/>
    <n v="2.2100000000000002E-3"/>
  </r>
  <r>
    <n v="0.93600000000000005"/>
    <n v="131986"/>
    <n v="0.72899999999999998"/>
    <n v="0.59799999999999998"/>
    <n v="71"/>
    <x v="1"/>
    <n v="9"/>
    <n v="194000"/>
    <n v="1.29E-2"/>
  </r>
  <r>
    <n v="0.82799999999999996"/>
    <n v="123907"/>
    <n v="0.58699999999999997"/>
    <n v="0.49299999999999999"/>
    <n v="71"/>
    <x v="1"/>
    <n v="11"/>
    <n v="260253"/>
    <n v="3.2699999999999999E-3"/>
  </r>
  <r>
    <n v="0.35099999999999998"/>
    <n v="87057"/>
    <n v="0.66500000000000004"/>
    <n v="0.45100000000000001"/>
    <n v="71"/>
    <x v="1"/>
    <n v="2"/>
    <n v="126120"/>
    <n v="0.51600000000000001"/>
  </r>
  <r>
    <n v="0.28599999999999998"/>
    <n v="71123"/>
    <n v="0.58699999999999997"/>
    <n v="0.30199999999999999"/>
    <n v="71"/>
    <x v="1"/>
    <n v="9"/>
    <n v="224680"/>
    <n v="0.185"/>
  </r>
  <r>
    <n v="0.87"/>
    <n v="164057"/>
    <n v="0.28000000000000003"/>
    <n v="0.28399999999999997"/>
    <n v="71"/>
    <x v="0"/>
    <n v="10"/>
    <n v="261960"/>
    <n v="6.8599999999999998E-4"/>
  </r>
  <r>
    <n v="0.63700000000000001"/>
    <n v="80401"/>
    <n v="0.51400000000000001"/>
    <n v="0.18"/>
    <n v="71"/>
    <x v="1"/>
    <n v="0"/>
    <n v="209307"/>
    <n v="0.21299999999999999"/>
  </r>
  <r>
    <n v="0.79600000000000004"/>
    <n v="105991"/>
    <n v="0.6"/>
    <n v="0.75"/>
    <n v="71"/>
    <x v="1"/>
    <n v="2"/>
    <n v="257920"/>
    <n v="1.0900000000000001E-4"/>
  </r>
  <r>
    <n v="0.90800000000000003"/>
    <n v="114816"/>
    <n v="0.41499999999999998"/>
    <n v="0.437"/>
    <n v="71"/>
    <x v="1"/>
    <n v="2"/>
    <n v="243533"/>
    <n v="4.3699999999999998E-3"/>
  </r>
  <r>
    <n v="0.90800000000000003"/>
    <n v="159756"/>
    <n v="0.28499999999999998"/>
    <n v="0.66900000000000004"/>
    <n v="71"/>
    <x v="0"/>
    <n v="4"/>
    <n v="252733"/>
    <n v="3.1800000000000002E-2"/>
  </r>
  <r>
    <n v="0.90800000000000003"/>
    <n v="114816"/>
    <n v="0.41499999999999998"/>
    <n v="0.437"/>
    <n v="71"/>
    <x v="1"/>
    <n v="2"/>
    <n v="243533"/>
    <n v="4.3699999999999998E-3"/>
  </r>
  <r>
    <n v="0.89300000000000002"/>
    <n v="104031"/>
    <n v="0.61"/>
    <n v="0.67300000000000004"/>
    <n v="71"/>
    <x v="1"/>
    <n v="9"/>
    <n v="296520"/>
    <n v="0.154"/>
  </r>
  <r>
    <n v="0.92600000000000005"/>
    <n v="149976"/>
    <n v="0.57799999999999996"/>
    <n v="0.877"/>
    <n v="71"/>
    <x v="0"/>
    <n v="6"/>
    <n v="220707"/>
    <n v="4.7200000000000002E-3"/>
  </r>
  <r>
    <n v="0.90400000000000003"/>
    <n v="173734"/>
    <n v="0.48599999999999999"/>
    <n v="0.78600000000000003"/>
    <n v="71"/>
    <x v="0"/>
    <n v="6"/>
    <n v="198267"/>
    <n v="3.43E-5"/>
  </r>
  <r>
    <n v="0.87"/>
    <n v="164057"/>
    <n v="0.28000000000000003"/>
    <n v="0.28399999999999997"/>
    <n v="71"/>
    <x v="0"/>
    <n v="10"/>
    <n v="261960"/>
    <n v="6.8599999999999998E-4"/>
  </r>
  <r>
    <n v="0.77500000000000002"/>
    <s v="136.02"/>
    <n v="0.52"/>
    <n v="0.38300000000000001"/>
    <n v="71"/>
    <x v="1"/>
    <n v="0"/>
    <n v="249627"/>
    <n v="3.4000000000000002E-2"/>
  </r>
  <r>
    <n v="0.51900000000000002"/>
    <n v="140054"/>
    <n v="0.54600000000000004"/>
    <n v="0.247"/>
    <n v="71"/>
    <x v="1"/>
    <n v="8"/>
    <n v="342400"/>
    <n v="0.36"/>
  </r>
  <r>
    <n v="0.249"/>
    <n v="82803"/>
    <n v="0.41799999999999998"/>
    <n v="0.21299999999999999"/>
    <n v="71"/>
    <x v="1"/>
    <n v="3"/>
    <n v="218547"/>
    <n v="0.84099999999999997"/>
  </r>
  <r>
    <n v="0.53300000000000003"/>
    <n v="131745"/>
    <n v="0.58399999999999996"/>
    <n v="0.224"/>
    <n v="71"/>
    <x v="0"/>
    <n v="10"/>
    <n v="288427"/>
    <n v="0.68400000000000005"/>
  </r>
  <r>
    <n v="0.72"/>
    <n v="79983"/>
    <n v="0.50800000000000001"/>
    <n v="0.47199999999999998"/>
    <n v="71"/>
    <x v="0"/>
    <n v="11"/>
    <n v="261640"/>
    <n v="0.27200000000000002"/>
  </r>
  <r>
    <n v="0.61199999999999999"/>
    <n v="86768"/>
    <n v="0.53600000000000003"/>
    <n v="0.56999999999999995"/>
    <n v="71"/>
    <x v="1"/>
    <n v="4"/>
    <n v="229040"/>
    <n v="0.11899999999999999"/>
  </r>
  <r>
    <n v="0.54900000000000004"/>
    <s v="90.04"/>
    <n v="0.64400000000000002"/>
    <n v="0.16700000000000001"/>
    <n v="71"/>
    <x v="0"/>
    <n v="1"/>
    <n v="253813"/>
    <n v="2.0899999999999998E-2"/>
  </r>
  <r>
    <n v="0.61399999999999999"/>
    <n v="136628"/>
    <n v="0.55300000000000005"/>
    <n v="0.34499999999999997"/>
    <n v="71"/>
    <x v="1"/>
    <n v="1"/>
    <n v="242679"/>
    <n v="0.76400000000000001"/>
  </r>
  <r>
    <n v="0.32400000000000001"/>
    <s v="141.8"/>
    <n v="0.73299999999999998"/>
    <n v="0.38800000000000001"/>
    <n v="71"/>
    <x v="1"/>
    <n v="5"/>
    <n v="199391"/>
    <n v="0.47899999999999998"/>
  </r>
  <r>
    <n v="0.73099999999999998"/>
    <n v="94009"/>
    <n v="0.65600000000000003"/>
    <n v="0.376"/>
    <n v="71"/>
    <x v="1"/>
    <n v="4"/>
    <n v="147167"/>
    <n v="0.57499999999999996"/>
  </r>
  <r>
    <n v="0.39900000000000002"/>
    <n v="171402"/>
    <n v="0.53700000000000003"/>
    <n v="0.83199999999999996"/>
    <n v="71"/>
    <x v="0"/>
    <n v="4"/>
    <n v="187110"/>
    <n v="0.20200000000000001"/>
  </r>
  <r>
    <n v="0.53300000000000003"/>
    <n v="130398"/>
    <n v="0.68700000000000006"/>
    <n v="0.81399999999999995"/>
    <n v="71"/>
    <x v="1"/>
    <n v="7"/>
    <n v="229707"/>
    <n v="0.57299999999999995"/>
  </r>
  <r>
    <n v="0.83599999999999997"/>
    <n v="113998"/>
    <n v="0.72899999999999998"/>
    <n v="0.28799999999999998"/>
    <n v="71"/>
    <x v="1"/>
    <n v="8"/>
    <n v="154731"/>
    <n v="0.156"/>
  </r>
  <r>
    <n v="0.78200000000000003"/>
    <n v="127034"/>
    <n v="0.76300000000000001"/>
    <n v="0.502"/>
    <n v="71"/>
    <x v="0"/>
    <n v="7"/>
    <n v="177689"/>
    <n v="0.182"/>
  </r>
  <r>
    <n v="0.82099999999999995"/>
    <n v="140039"/>
    <n v="0.77700000000000002"/>
    <n v="0.439"/>
    <n v="71"/>
    <x v="1"/>
    <n v="1"/>
    <n v="169535"/>
    <n v="0.14000000000000001"/>
  </r>
  <r>
    <n v="0.59399999999999997"/>
    <n v="129995"/>
    <n v="0.85299999999999998"/>
    <n v="0.83"/>
    <n v="71"/>
    <x v="0"/>
    <n v="6"/>
    <n v="188360"/>
    <n v="5.1999999999999998E-2"/>
  </r>
  <r>
    <n v="0.80200000000000005"/>
    <n v="100001"/>
    <n v="0.71299999999999997"/>
    <n v="0.34300000000000003"/>
    <n v="71"/>
    <x v="1"/>
    <n v="4"/>
    <n v="226739"/>
    <n v="4.3499999999999997E-2"/>
  </r>
  <r>
    <n v="0.432"/>
    <n v="81109"/>
    <n v="0.69499999999999995"/>
    <n v="0.76500000000000001"/>
    <n v="71"/>
    <x v="0"/>
    <n v="11"/>
    <n v="216107"/>
    <n v="0.312"/>
  </r>
  <r>
    <n v="0.57799999999999996"/>
    <n v="167985"/>
    <n v="0.72399999999999998"/>
    <n v="0.75700000000000001"/>
    <n v="71"/>
    <x v="1"/>
    <n v="10"/>
    <n v="211879"/>
    <n v="0.63200000000000001"/>
  </r>
  <r>
    <n v="0.70299999999999996"/>
    <n v="94004"/>
    <n v="0.879"/>
    <n v="0.78800000000000003"/>
    <n v="71"/>
    <x v="1"/>
    <n v="1"/>
    <n v="199711"/>
    <n v="0.14299999999999999"/>
  </r>
  <r>
    <n v="0.90300000000000002"/>
    <n v="78293"/>
    <n v="0.56399999999999995"/>
    <n v="0.60699999999999998"/>
    <n v="71"/>
    <x v="1"/>
    <n v="5"/>
    <n v="230400"/>
    <n v="0.35599999999999998"/>
  </r>
  <r>
    <n v="0.58399999999999996"/>
    <n v="115018"/>
    <n v="0.84899999999999998"/>
    <n v="0.72399999999999998"/>
    <n v="71"/>
    <x v="0"/>
    <n v="1"/>
    <n v="139041"/>
    <n v="9.2899999999999996E-2"/>
  </r>
  <r>
    <n v="0.69399999999999995"/>
    <s v="95.0"/>
    <n v="0.70299999999999996"/>
    <n v="0.29799999999999999"/>
    <n v="71"/>
    <x v="0"/>
    <n v="3"/>
    <n v="245739"/>
    <n v="0.436"/>
  </r>
  <r>
    <n v="0.71099999999999997"/>
    <n v="102984"/>
    <n v="0.82199999999999995"/>
    <n v="0.93400000000000005"/>
    <n v="71"/>
    <x v="1"/>
    <n v="6"/>
    <n v="199947"/>
    <n v="0.17899999999999999"/>
  </r>
  <r>
    <n v="0.54300000000000004"/>
    <n v="98992"/>
    <n v="0.89800000000000002"/>
    <n v="0.35899999999999999"/>
    <n v="71"/>
    <x v="0"/>
    <n v="6"/>
    <n v="305114"/>
    <n v="0.34300000000000003"/>
  </r>
  <r>
    <n v="0.77900000000000003"/>
    <n v="128028"/>
    <n v="0.93700000000000006"/>
    <n v="0.95"/>
    <n v="71"/>
    <x v="0"/>
    <n v="4"/>
    <n v="155625"/>
    <n v="0.22"/>
  </r>
  <r>
    <n v="0.95499999999999996"/>
    <n v="130068"/>
    <n v="0.67900000000000005"/>
    <n v="0.71299999999999997"/>
    <n v="71"/>
    <x v="1"/>
    <n v="6"/>
    <n v="119221"/>
    <n v="7.3700000000000002E-4"/>
  </r>
  <r>
    <n v="0.96"/>
    <n v="130118"/>
    <n v="0.86299999999999999"/>
    <n v="0.58599999999999997"/>
    <n v="71"/>
    <x v="1"/>
    <n v="11"/>
    <n v="92093"/>
    <n v="0.497"/>
  </r>
  <r>
    <n v="0.38500000000000001"/>
    <n v="106312"/>
    <n v="0.61899999999999999"/>
    <n v="0.29399999999999998"/>
    <n v="71"/>
    <x v="0"/>
    <n v="0"/>
    <n v="135577"/>
    <n v="0.129"/>
  </r>
  <r>
    <n v="0.54900000000000004"/>
    <n v="123879"/>
    <n v="0.61299999999999999"/>
    <n v="0.78"/>
    <n v="71"/>
    <x v="1"/>
    <n v="9"/>
    <n v="180000"/>
    <n v="9.7000000000000003E-2"/>
  </r>
  <r>
    <n v="0.42199999999999999"/>
    <n v="144678"/>
    <n v="0.71799999999999997"/>
    <n v="0.45500000000000002"/>
    <n v="71"/>
    <x v="0"/>
    <n v="4"/>
    <n v="207027"/>
    <n v="7.6399999999999996E-2"/>
  </r>
  <r>
    <n v="0.377"/>
    <s v="101.96"/>
    <n v="0.60599999999999998"/>
    <n v="0.44600000000000001"/>
    <n v="71"/>
    <x v="1"/>
    <n v="0"/>
    <n v="258813"/>
    <n v="0.81699999999999995"/>
  </r>
  <r>
    <n v="0.19900000000000001"/>
    <n v="165476"/>
    <n v="0.48"/>
    <n v="0.20100000000000001"/>
    <n v="71"/>
    <x v="1"/>
    <n v="6"/>
    <n v="221510"/>
    <n v="0.93100000000000005"/>
  </r>
  <r>
    <n v="0.81899999999999995"/>
    <n v="94011"/>
    <n v="0.56499999999999995"/>
    <n v="0.68200000000000005"/>
    <n v="71"/>
    <x v="1"/>
    <n v="9"/>
    <n v="176874"/>
    <n v="0.23200000000000001"/>
  </r>
  <r>
    <n v="0.54"/>
    <n v="143968"/>
    <n v="0.63400000000000001"/>
    <n v="0.54300000000000004"/>
    <n v="71"/>
    <x v="1"/>
    <n v="8"/>
    <n v="149360"/>
    <n v="2.23E-2"/>
  </r>
  <r>
    <n v="0.63100000000000001"/>
    <n v="105989"/>
    <n v="0.64800000000000002"/>
    <n v="0.14199999999999999"/>
    <n v="71"/>
    <x v="0"/>
    <n v="4"/>
    <n v="349933"/>
    <n v="0.38"/>
  </r>
  <r>
    <n v="0.61399999999999999"/>
    <n v="136628"/>
    <n v="0.55300000000000005"/>
    <n v="0.34499999999999997"/>
    <n v="71"/>
    <x v="1"/>
    <n v="1"/>
    <n v="242679"/>
    <n v="0.76400000000000001"/>
  </r>
  <r>
    <n v="0.499"/>
    <s v="93.99"/>
    <n v="0.79600000000000004"/>
    <n v="0.79800000000000004"/>
    <n v="71"/>
    <x v="0"/>
    <n v="2"/>
    <n v="266016"/>
    <n v="0.39200000000000002"/>
  </r>
  <r>
    <n v="0.43099999999999999"/>
    <s v="94.0"/>
    <n v="0.88100000000000001"/>
    <n v="0.246"/>
    <n v="71"/>
    <x v="0"/>
    <n v="6"/>
    <n v="174730"/>
    <n v="0.182"/>
  </r>
  <r>
    <n v="0.73299999999999998"/>
    <n v="92969"/>
    <n v="0.86399999999999999"/>
    <n v="0.183"/>
    <n v="71"/>
    <x v="0"/>
    <n v="4"/>
    <n v="128098"/>
    <n v="0.14399999999999999"/>
  </r>
  <r>
    <n v="0.94599999999999995"/>
    <n v="120036"/>
    <n v="0.54200000000000004"/>
    <n v="0.22900000000000001"/>
    <n v="71"/>
    <x v="0"/>
    <n v="9"/>
    <n v="140500"/>
    <n v="3.1199999999999999E-2"/>
  </r>
  <r>
    <n v="5.16E-2"/>
    <n v="87587"/>
    <n v="0.27"/>
    <n v="0.19900000000000001"/>
    <n v="71"/>
    <x v="0"/>
    <n v="8"/>
    <n v="64788"/>
    <n v="0.98599999999999999"/>
  </r>
  <r>
    <n v="0.14599999999999999"/>
    <s v="172.13"/>
    <n v="0.26500000000000001"/>
    <n v="0.41599999999999998"/>
    <n v="71"/>
    <x v="0"/>
    <n v="8"/>
    <n v="154500"/>
    <n v="0.98499999999999999"/>
  </r>
  <r>
    <n v="9.6799999999999997E-2"/>
    <n v="62881"/>
    <n v="0.28599999999999998"/>
    <n v="3.95E-2"/>
    <n v="71"/>
    <x v="1"/>
    <n v="7"/>
    <n v="275556"/>
    <n v="0.17799999999999999"/>
  </r>
  <r>
    <n v="0.83099999999999996"/>
    <n v="132029"/>
    <n v="0.79800000000000004"/>
    <n v="0.72099999999999997"/>
    <n v="71"/>
    <x v="0"/>
    <n v="7"/>
    <n v="189091"/>
    <n v="0.69699999999999995"/>
  </r>
  <r>
    <n v="0.58299999999999996"/>
    <n v="126036"/>
    <n v="0.79300000000000004"/>
    <n v="0.97"/>
    <n v="71"/>
    <x v="0"/>
    <n v="1"/>
    <n v="217260"/>
    <n v="0.106"/>
  </r>
  <r>
    <n v="0.56899999999999995"/>
    <s v="115.03"/>
    <n v="0.77200000000000002"/>
    <n v="0.52500000000000002"/>
    <n v="71"/>
    <x v="0"/>
    <n v="6"/>
    <n v="246979"/>
    <n v="0.23499999999999999"/>
  </r>
  <r>
    <n v="0.70899999999999996"/>
    <n v="130081"/>
    <n v="0.872"/>
    <n v="0.309"/>
    <n v="71"/>
    <x v="1"/>
    <n v="10"/>
    <n v="169846"/>
    <n v="0.33600000000000002"/>
  </r>
  <r>
    <n v="0.53300000000000003"/>
    <n v="102025"/>
    <n v="0.86299999999999999"/>
    <n v="0.73799999999999999"/>
    <n v="71"/>
    <x v="0"/>
    <n v="5"/>
    <n v="249957"/>
    <n v="0.29099999999999998"/>
  </r>
  <r>
    <n v="0.54900000000000004"/>
    <n v="123879"/>
    <n v="0.61299999999999999"/>
    <n v="0.78"/>
    <n v="71"/>
    <x v="1"/>
    <n v="9"/>
    <n v="180000"/>
    <n v="9.7000000000000003E-2"/>
  </r>
  <r>
    <n v="0.69099999999999995"/>
    <n v="167029"/>
    <n v="0.83599999999999997"/>
    <n v="0.70299999999999996"/>
    <n v="70"/>
    <x v="1"/>
    <n v="1"/>
    <n v="149461"/>
    <n v="5.8599999999999998E-3"/>
  </r>
  <r>
    <n v="0.81399999999999995"/>
    <n v="147193"/>
    <n v="0.67300000000000004"/>
    <n v="0.72799999999999998"/>
    <n v="70"/>
    <x v="1"/>
    <n v="9"/>
    <n v="252200"/>
    <n v="1.34E-2"/>
  </r>
  <r>
    <n v="0.72199999999999998"/>
    <n v="103886"/>
    <n v="0.55000000000000004"/>
    <n v="0.71599999999999997"/>
    <n v="70"/>
    <x v="0"/>
    <n v="11"/>
    <n v="434720"/>
    <n v="0.25"/>
  </r>
  <r>
    <n v="0.82799999999999996"/>
    <s v="105.25"/>
    <n v="0.53900000000000003"/>
    <n v="0.56200000000000006"/>
    <n v="70"/>
    <x v="0"/>
    <n v="4"/>
    <n v="515387"/>
    <n v="6.7000000000000002E-4"/>
  </r>
  <r>
    <n v="0.34899999999999998"/>
    <n v="124348"/>
    <n v="0.48899999999999999"/>
    <n v="0.622"/>
    <n v="70"/>
    <x v="0"/>
    <n v="2"/>
    <n v="196467"/>
    <n v="0.67600000000000005"/>
  </r>
  <r>
    <n v="0.70599999999999996"/>
    <n v="80823"/>
    <n v="0.44500000000000001"/>
    <n v="0.76800000000000002"/>
    <n v="70"/>
    <x v="1"/>
    <n v="8"/>
    <n v="266720"/>
    <n v="0.23400000000000001"/>
  </r>
  <r>
    <n v="0.57999999999999996"/>
    <n v="127402"/>
    <n v="0.74099999999999999"/>
    <n v="0.94399999999999995"/>
    <n v="70"/>
    <x v="1"/>
    <n v="4"/>
    <n v="171267"/>
    <n v="0.11700000000000001"/>
  </r>
  <r>
    <n v="0.80100000000000005"/>
    <n v="133769"/>
    <n v="0.65100000000000002"/>
    <n v="0.77600000000000002"/>
    <n v="70"/>
    <x v="1"/>
    <n v="0"/>
    <n v="200480"/>
    <n v="0.123"/>
  </r>
  <r>
    <n v="0.94399999999999995"/>
    <n v="146347"/>
    <n v="0.27"/>
    <n v="0.60599999999999998"/>
    <n v="70"/>
    <x v="1"/>
    <n v="4"/>
    <n v="269920"/>
    <n v="5.0099999999999997E-3"/>
  </r>
  <r>
    <n v="0.64200000000000002"/>
    <n v="111907"/>
    <n v="0.65"/>
    <n v="0.186"/>
    <n v="70"/>
    <x v="1"/>
    <n v="2"/>
    <n v="127154"/>
    <n v="5.0200000000000002E-3"/>
  </r>
  <r>
    <n v="0.50900000000000001"/>
    <s v="157.94"/>
    <n v="0.66200000000000003"/>
    <n v="0.54900000000000004"/>
    <n v="70"/>
    <x v="1"/>
    <n v="1"/>
    <n v="136709"/>
    <n v="0.247"/>
  </r>
  <r>
    <n v="0.52500000000000002"/>
    <n v="75013"/>
    <n v="0.77600000000000002"/>
    <n v="0.46700000000000003"/>
    <n v="70"/>
    <x v="1"/>
    <n v="1"/>
    <n v="217613"/>
    <n v="3.6600000000000001E-2"/>
  </r>
  <r>
    <n v="0.63100000000000001"/>
    <n v="121854"/>
    <n v="0.77200000000000002"/>
    <n v="0.433"/>
    <n v="70"/>
    <x v="1"/>
    <n v="10"/>
    <n v="173253"/>
    <n v="6.4799999999999996E-2"/>
  </r>
  <r>
    <n v="0.68"/>
    <n v="144006"/>
    <n v="0.85"/>
    <n v="0.69399999999999995"/>
    <n v="70"/>
    <x v="0"/>
    <n v="3"/>
    <n v="173333"/>
    <n v="0.73199999999999998"/>
  </r>
  <r>
    <n v="0.65800000000000003"/>
    <n v="151951"/>
    <n v="0.752"/>
    <n v="0.38700000000000001"/>
    <n v="70"/>
    <x v="1"/>
    <n v="0"/>
    <n v="213520"/>
    <n v="4.2099999999999999E-2"/>
  </r>
  <r>
    <n v="0.94599999999999995"/>
    <n v="150141"/>
    <n v="0.80400000000000005"/>
    <n v="0.745"/>
    <n v="70"/>
    <x v="1"/>
    <n v="7"/>
    <n v="146880"/>
    <n v="2E-3"/>
  </r>
  <r>
    <n v="0.54700000000000004"/>
    <s v="138.05"/>
    <n v="0.92"/>
    <n v="0.60599999999999998"/>
    <n v="70"/>
    <x v="0"/>
    <n v="6"/>
    <n v="89536"/>
    <n v="2.41E-2"/>
  </r>
  <r>
    <n v="0.72699999999999998"/>
    <n v="150062"/>
    <n v="0.47699999999999998"/>
    <n v="0.22700000000000001"/>
    <n v="70"/>
    <x v="1"/>
    <n v="2"/>
    <n v="236524"/>
    <n v="8.6600000000000002E-4"/>
  </r>
  <r>
    <n v="0.56399999999999995"/>
    <n v="77972"/>
    <n v="0.85599999999999998"/>
    <n v="0.48299999999999998"/>
    <n v="70"/>
    <x v="0"/>
    <n v="6"/>
    <n v="135960"/>
    <n v="3.2699999999999999E-3"/>
  </r>
  <r>
    <n v="0.63100000000000001"/>
    <n v="129902"/>
    <n v="0.80700000000000005"/>
    <n v="0.126"/>
    <n v="70"/>
    <x v="1"/>
    <n v="8"/>
    <n v="213613"/>
    <n v="0.40699999999999997"/>
  </r>
  <r>
    <n v="0.66600000000000004"/>
    <n v="127079"/>
    <n v="0.92600000000000005"/>
    <n v="0.16800000000000001"/>
    <n v="70"/>
    <x v="1"/>
    <n v="11"/>
    <n v="343150"/>
    <n v="6.1100000000000002E-2"/>
  </r>
  <r>
    <n v="0.92800000000000005"/>
    <n v="109966"/>
    <n v="0.61599999999999999"/>
    <n v="0.23"/>
    <n v="70"/>
    <x v="0"/>
    <n v="9"/>
    <n v="230182"/>
    <n v="1.6799999999999999E-2"/>
  </r>
  <r>
    <n v="0.54200000000000004"/>
    <s v="135.14"/>
    <n v="0.92600000000000005"/>
    <n v="0.56399999999999995"/>
    <n v="70"/>
    <x v="1"/>
    <n v="1"/>
    <n v="181929"/>
    <n v="0.13500000000000001"/>
  </r>
  <r>
    <n v="0.748"/>
    <s v="115.01"/>
    <n v="0.752"/>
    <n v="0.497"/>
    <n v="70"/>
    <x v="1"/>
    <n v="6"/>
    <n v="295304"/>
    <n v="0.28899999999999998"/>
  </r>
  <r>
    <n v="0.41099999999999998"/>
    <n v="172445"/>
    <n v="0.72199999999999998"/>
    <n v="0.503"/>
    <n v="70"/>
    <x v="0"/>
    <n v="2"/>
    <n v="142026"/>
    <n v="0.50900000000000001"/>
  </r>
  <r>
    <n v="0.48399999999999999"/>
    <s v="133.03"/>
    <n v="0.93"/>
    <n v="0.747"/>
    <n v="70"/>
    <x v="1"/>
    <n v="2"/>
    <n v="144361"/>
    <n v="0.35499999999999998"/>
  </r>
  <r>
    <n v="0.63"/>
    <n v="81009"/>
    <n v="0.72"/>
    <n v="0.51200000000000001"/>
    <n v="70"/>
    <x v="1"/>
    <n v="10"/>
    <n v="230292"/>
    <n v="0.61499999999999999"/>
  </r>
  <r>
    <n v="0.51900000000000002"/>
    <n v="122925"/>
    <n v="0.56200000000000006"/>
    <n v="0.41499999999999998"/>
    <n v="70"/>
    <x v="1"/>
    <n v="3"/>
    <n v="341055"/>
    <n v="0.55700000000000005"/>
  </r>
  <r>
    <n v="0.36099999999999999"/>
    <n v="121059"/>
    <n v="0.60599999999999998"/>
    <n v="0.621"/>
    <n v="70"/>
    <x v="1"/>
    <n v="9"/>
    <n v="173467"/>
    <n v="0.26400000000000001"/>
  </r>
  <r>
    <n v="0.47699999999999998"/>
    <n v="119928"/>
    <n v="0.79600000000000004"/>
    <n v="0.68500000000000005"/>
    <n v="70"/>
    <x v="1"/>
    <n v="1"/>
    <n v="231933"/>
    <n v="0.314"/>
  </r>
  <r>
    <n v="0.83299999999999996"/>
    <n v="129885"/>
    <n v="0.55100000000000005"/>
    <n v="0.14499999999999999"/>
    <n v="70"/>
    <x v="1"/>
    <n v="8"/>
    <n v="204360"/>
    <n v="3.9100000000000003E-2"/>
  </r>
  <r>
    <n v="0.81699999999999995"/>
    <n v="128078"/>
    <n v="0.88300000000000001"/>
    <n v="0.59499999999999997"/>
    <n v="70"/>
    <x v="1"/>
    <n v="0"/>
    <n v="166849"/>
    <n v="0.60099999999999998"/>
  </r>
  <r>
    <n v="0.748"/>
    <n v="125896"/>
    <n v="0.503"/>
    <n v="0.35599999999999998"/>
    <n v="70"/>
    <x v="1"/>
    <n v="5"/>
    <n v="210013"/>
    <n v="3.0499999999999999E-2"/>
  </r>
  <r>
    <n v="0.39200000000000002"/>
    <n v="75066"/>
    <n v="0.59899999999999998"/>
    <n v="0.26"/>
    <n v="70"/>
    <x v="0"/>
    <n v="10"/>
    <n v="282813"/>
    <n v="0.378"/>
  </r>
  <r>
    <n v="0.47299999999999998"/>
    <s v="152.88"/>
    <n v="0.59099999999999997"/>
    <n v="0.45100000000000001"/>
    <n v="70"/>
    <x v="0"/>
    <n v="7"/>
    <n v="216524"/>
    <n v="0.69399999999999995"/>
  </r>
  <r>
    <n v="0.81899999999999995"/>
    <s v="110.14"/>
    <n v="0.72599999999999998"/>
    <n v="0.63600000000000001"/>
    <n v="70"/>
    <x v="1"/>
    <n v="8"/>
    <n v="141818"/>
    <n v="0.47699999999999998"/>
  </r>
  <r>
    <n v="0.94899999999999995"/>
    <n v="129984"/>
    <n v="0.55400000000000005"/>
    <n v="0.23300000000000001"/>
    <n v="70"/>
    <x v="1"/>
    <n v="2"/>
    <n v="374453"/>
    <n v="3.1799999999999998E-4"/>
  </r>
  <r>
    <n v="0.46300000000000002"/>
    <n v="124084"/>
    <n v="0.92900000000000005"/>
    <n v="0.755"/>
    <n v="70"/>
    <x v="1"/>
    <n v="9"/>
    <n v="255840"/>
    <n v="0.14299999999999999"/>
  </r>
  <r>
    <n v="0.61099999999999999"/>
    <n v="102304"/>
    <n v="0.89700000000000002"/>
    <n v="0.76900000000000002"/>
    <n v="70"/>
    <x v="1"/>
    <n v="11"/>
    <n v="208267"/>
    <n v="2.9100000000000001E-2"/>
  </r>
  <r>
    <n v="0.73399999999999999"/>
    <n v="97044"/>
    <n v="0.91800000000000004"/>
    <n v="0.60799999999999998"/>
    <n v="70"/>
    <x v="0"/>
    <n v="11"/>
    <n v="230693"/>
    <n v="2.9600000000000001E-2"/>
  </r>
  <r>
    <n v="0.91"/>
    <n v="84099"/>
    <n v="0.66500000000000004"/>
    <n v="0.88700000000000001"/>
    <n v="70"/>
    <x v="0"/>
    <n v="6"/>
    <n v="293973"/>
    <n v="3.9399999999999998E-2"/>
  </r>
  <r>
    <n v="0.96"/>
    <n v="131707"/>
    <n v="0.46899999999999997"/>
    <n v="0.37"/>
    <n v="70"/>
    <x v="0"/>
    <n v="4"/>
    <n v="323453"/>
    <n v="0.14099999999999999"/>
  </r>
  <r>
    <n v="0.96"/>
    <n v="117486"/>
    <n v="0.57399999999999995"/>
    <n v="0.97799999999999998"/>
    <n v="70"/>
    <x v="1"/>
    <n v="9"/>
    <n v="254733"/>
    <n v="4.5699999999999998E-2"/>
  </r>
  <r>
    <n v="0.57999999999999996"/>
    <n v="127402"/>
    <n v="0.74099999999999999"/>
    <n v="0.94399999999999995"/>
    <n v="70"/>
    <x v="1"/>
    <n v="4"/>
    <n v="171267"/>
    <n v="0.11700000000000001"/>
  </r>
  <r>
    <n v="0.78"/>
    <n v="134937"/>
    <n v="0.72399999999999998"/>
    <n v="0.72"/>
    <n v="70"/>
    <x v="0"/>
    <n v="1"/>
    <n v="170800"/>
    <n v="0.29399999999999998"/>
  </r>
  <r>
    <n v="0.58799999999999997"/>
    <n v="142004"/>
    <n v="0.872"/>
    <n v="0.93"/>
    <n v="70"/>
    <x v="1"/>
    <n v="0"/>
    <n v="230704"/>
    <n v="0.27500000000000002"/>
  </r>
  <r>
    <n v="0.54300000000000004"/>
    <n v="139929"/>
    <n v="0.84"/>
    <n v="0.74"/>
    <n v="70"/>
    <x v="1"/>
    <n v="0"/>
    <n v="225812"/>
    <n v="0.67800000000000005"/>
  </r>
  <r>
    <n v="0.54200000000000004"/>
    <s v="135.14"/>
    <n v="0.92600000000000005"/>
    <n v="0.56399999999999995"/>
    <n v="70"/>
    <x v="1"/>
    <n v="1"/>
    <n v="181929"/>
    <n v="0.13500000000000001"/>
  </r>
  <r>
    <n v="0.56399999999999995"/>
    <n v="77972"/>
    <n v="0.85599999999999998"/>
    <n v="0.48299999999999998"/>
    <n v="70"/>
    <x v="0"/>
    <n v="6"/>
    <n v="135960"/>
    <n v="3.2699999999999999E-3"/>
  </r>
  <r>
    <n v="0.72699999999999998"/>
    <n v="150062"/>
    <n v="0.47699999999999998"/>
    <n v="0.22700000000000001"/>
    <n v="70"/>
    <x v="1"/>
    <n v="2"/>
    <n v="236524"/>
    <n v="8.6600000000000002E-4"/>
  </r>
  <r>
    <n v="0.80100000000000005"/>
    <n v="104986"/>
    <n v="0.77800000000000002"/>
    <n v="0.91400000000000003"/>
    <n v="70"/>
    <x v="0"/>
    <n v="6"/>
    <n v="157714"/>
    <n v="0.69199999999999995"/>
  </r>
  <r>
    <n v="0.81899999999999995"/>
    <s v="110.14"/>
    <n v="0.72599999999999998"/>
    <n v="0.63600000000000001"/>
    <n v="70"/>
    <x v="1"/>
    <n v="8"/>
    <n v="141818"/>
    <n v="0.47699999999999998"/>
  </r>
  <r>
    <n v="0.72499999999999998"/>
    <s v="123.28"/>
    <n v="0.49"/>
    <n v="0.33500000000000002"/>
    <n v="70"/>
    <x v="1"/>
    <n v="10"/>
    <n v="240440"/>
    <n v="0.123"/>
  </r>
  <r>
    <n v="0.63"/>
    <n v="89991"/>
    <n v="0.65400000000000003"/>
    <n v="0.43"/>
    <n v="70"/>
    <x v="1"/>
    <n v="10"/>
    <n v="167693"/>
    <n v="0.153"/>
  </r>
  <r>
    <n v="0.316"/>
    <n v="118582"/>
    <n v="0.39800000000000002"/>
    <n v="0.17399999999999999"/>
    <n v="70"/>
    <x v="1"/>
    <n v="1"/>
    <n v="253342"/>
    <n v="0.80500000000000005"/>
  </r>
  <r>
    <n v="0.92200000000000004"/>
    <n v="130007"/>
    <n v="0.66600000000000004"/>
    <n v="0.75800000000000001"/>
    <n v="70"/>
    <x v="1"/>
    <n v="5"/>
    <n v="216160"/>
    <n v="3.48E-4"/>
  </r>
  <r>
    <n v="0.76300000000000001"/>
    <n v="101965"/>
    <n v="0.72"/>
    <n v="0.74199999999999999"/>
    <n v="70"/>
    <x v="0"/>
    <n v="9"/>
    <n v="251088"/>
    <n v="0.40600000000000003"/>
  </r>
  <r>
    <n v="0.748"/>
    <n v="125896"/>
    <n v="0.503"/>
    <n v="0.35599999999999998"/>
    <n v="70"/>
    <x v="1"/>
    <n v="5"/>
    <n v="210013"/>
    <n v="3.0499999999999999E-2"/>
  </r>
  <r>
    <n v="0.57299999999999995"/>
    <n v="107363"/>
    <n v="0.68400000000000005"/>
    <n v="0.71599999999999997"/>
    <n v="70"/>
    <x v="1"/>
    <n v="5"/>
    <n v="378947"/>
    <n v="0.318"/>
  </r>
  <r>
    <n v="0.80500000000000005"/>
    <n v="127808"/>
    <n v="0.69"/>
    <n v="0.79900000000000004"/>
    <n v="70"/>
    <x v="0"/>
    <n v="5"/>
    <n v="264280"/>
    <n v="2.32E-4"/>
  </r>
  <r>
    <n v="0.73199999999999998"/>
    <n v="146005"/>
    <n v="0.58299999999999996"/>
    <n v="0.27700000000000002"/>
    <n v="70"/>
    <x v="0"/>
    <n v="11"/>
    <n v="213428"/>
    <n v="3.15E-3"/>
  </r>
  <r>
    <n v="0.79200000000000004"/>
    <n v="116012"/>
    <n v="0.97899999999999998"/>
    <n v="0.58299999999999996"/>
    <n v="70"/>
    <x v="1"/>
    <n v="2"/>
    <n v="254467"/>
    <n v="2.5000000000000001E-3"/>
  </r>
  <r>
    <n v="0.80800000000000005"/>
    <n v="117971"/>
    <n v="0.49299999999999999"/>
    <n v="0.38"/>
    <n v="70"/>
    <x v="0"/>
    <n v="5"/>
    <n v="268613"/>
    <n v="2.3499999999999999E-4"/>
  </r>
  <r>
    <n v="0.65200000000000002"/>
    <n v="173008"/>
    <n v="0.27400000000000002"/>
    <n v="0.1"/>
    <n v="70"/>
    <x v="0"/>
    <n v="5"/>
    <n v="288036"/>
    <n v="7.6800000000000002E-3"/>
  </r>
  <r>
    <n v="0.94899999999999995"/>
    <n v="129984"/>
    <n v="0.55400000000000005"/>
    <n v="0.23300000000000001"/>
    <n v="70"/>
    <x v="1"/>
    <n v="2"/>
    <n v="374453"/>
    <n v="3.1799999999999998E-4"/>
  </r>
  <r>
    <n v="0.95399999999999996"/>
    <s v="143.85"/>
    <n v="0.46500000000000002"/>
    <n v="0.45800000000000002"/>
    <n v="70"/>
    <x v="1"/>
    <n v="10"/>
    <n v="193653"/>
    <n v="3.4600000000000001E-4"/>
  </r>
  <r>
    <n v="0.93600000000000005"/>
    <n v="170229"/>
    <n v="0.41399999999999998"/>
    <n v="0.74"/>
    <n v="70"/>
    <x v="1"/>
    <n v="2"/>
    <n v="242413"/>
    <n v="1.3600000000000001E-3"/>
  </r>
  <r>
    <n v="0.68200000000000005"/>
    <s v="167.06"/>
    <n v="0.496"/>
    <n v="0.47399999999999998"/>
    <n v="70"/>
    <x v="1"/>
    <n v="8"/>
    <n v="262333"/>
    <n v="5.5199999999999997E-3"/>
  </r>
  <r>
    <n v="0.88600000000000001"/>
    <n v="145781"/>
    <n v="0.20200000000000001"/>
    <n v="0.192"/>
    <n v="70"/>
    <x v="0"/>
    <n v="11"/>
    <n v="194253"/>
    <n v="2.86E-2"/>
  </r>
  <r>
    <n v="0.42799999999999999"/>
    <n v="149705"/>
    <n v="0.64100000000000001"/>
    <n v="0.53"/>
    <n v="70"/>
    <x v="0"/>
    <n v="5"/>
    <n v="351467"/>
    <n v="6.6600000000000006E-2"/>
  </r>
  <r>
    <n v="0.38100000000000001"/>
    <n v="121948"/>
    <n v="0.47599999999999998"/>
    <n v="0.33"/>
    <n v="70"/>
    <x v="0"/>
    <n v="5"/>
    <n v="286920"/>
    <n v="0.72699999999999998"/>
  </r>
  <r>
    <n v="0.65"/>
    <n v="129993"/>
    <n v="0.72699999999999998"/>
    <n v="0.66800000000000004"/>
    <n v="70"/>
    <x v="1"/>
    <n v="0"/>
    <n v="254533"/>
    <n v="0.66200000000000003"/>
  </r>
  <r>
    <n v="0.621"/>
    <n v="140036"/>
    <n v="0.58299999999999996"/>
    <n v="0.39900000000000002"/>
    <n v="70"/>
    <x v="0"/>
    <n v="5"/>
    <n v="323480"/>
    <n v="9.7199999999999995E-3"/>
  </r>
  <r>
    <n v="0.624"/>
    <n v="170076"/>
    <n v="0.505"/>
    <n v="0.41299999999999998"/>
    <n v="70"/>
    <x v="1"/>
    <n v="6"/>
    <n v="194417"/>
    <n v="2.53E-2"/>
  </r>
  <r>
    <n v="0.316"/>
    <n v="127823"/>
    <n v="0.625"/>
    <n v="0.45200000000000001"/>
    <n v="70"/>
    <x v="0"/>
    <n v="6"/>
    <n v="236027"/>
    <n v="0.77700000000000002"/>
  </r>
  <r>
    <n v="0.128"/>
    <n v="109986"/>
    <n v="0.52200000000000002"/>
    <n v="0.124"/>
    <n v="70"/>
    <x v="1"/>
    <n v="4"/>
    <n v="187932"/>
    <n v="0.89400000000000002"/>
  </r>
  <r>
    <n v="3.62E-3"/>
    <n v="69677"/>
    <n v="0.23499999999999999"/>
    <n v="8.8499999999999995E-2"/>
    <n v="70"/>
    <x v="0"/>
    <n v="3"/>
    <n v="105941"/>
    <n v="0.995"/>
  </r>
  <r>
    <n v="0.79100000000000004"/>
    <n v="122085"/>
    <n v="0.57099999999999995"/>
    <n v="0.58499999999999996"/>
    <n v="70"/>
    <x v="1"/>
    <n v="1"/>
    <n v="175803"/>
    <n v="4.9399999999999999E-2"/>
  </r>
  <r>
    <n v="0.86699999999999999"/>
    <n v="124015"/>
    <n v="0.747"/>
    <n v="0.68400000000000005"/>
    <n v="70"/>
    <x v="1"/>
    <n v="0"/>
    <n v="220653"/>
    <n v="0.58199999999999996"/>
  </r>
  <r>
    <n v="0.39200000000000002"/>
    <n v="75066"/>
    <n v="0.59899999999999998"/>
    <n v="0.26"/>
    <n v="70"/>
    <x v="0"/>
    <n v="10"/>
    <n v="282813"/>
    <n v="0.378"/>
  </r>
  <r>
    <n v="0.64500000000000002"/>
    <n v="119935"/>
    <n v="0.80100000000000005"/>
    <n v="0.52800000000000002"/>
    <n v="70"/>
    <x v="0"/>
    <n v="6"/>
    <n v="208000"/>
    <n v="0.60399999999999998"/>
  </r>
  <r>
    <n v="0.84799999999999998"/>
    <s v="179.87"/>
    <n v="0.68500000000000005"/>
    <n v="0.76100000000000001"/>
    <n v="70"/>
    <x v="0"/>
    <n v="8"/>
    <n v="163084"/>
    <n v="8.6099999999999996E-2"/>
  </r>
  <r>
    <n v="0.59599999999999997"/>
    <n v="165951"/>
    <n v="0.81899999999999995"/>
    <n v="0.622"/>
    <n v="70"/>
    <x v="1"/>
    <n v="2"/>
    <n v="225542"/>
    <n v="0.22500000000000001"/>
  </r>
  <r>
    <n v="0.83599999999999997"/>
    <n v="96993"/>
    <n v="0.746"/>
    <n v="0.874"/>
    <n v="70"/>
    <x v="0"/>
    <n v="5"/>
    <n v="203187"/>
    <n v="0.14499999999999999"/>
  </r>
  <r>
    <n v="0.69"/>
    <n v="106034"/>
    <n v="0.79900000000000004"/>
    <n v="0.68200000000000005"/>
    <n v="70"/>
    <x v="1"/>
    <n v="7"/>
    <n v="352442"/>
    <n v="0.28199999999999997"/>
  </r>
  <r>
    <n v="0.61699999999999999"/>
    <n v="168021"/>
    <n v="0.71299999999999997"/>
    <n v="0.68200000000000005"/>
    <n v="70"/>
    <x v="1"/>
    <n v="8"/>
    <n v="232853"/>
    <n v="0.122"/>
  </r>
  <r>
    <n v="0.70599999999999996"/>
    <n v="88863"/>
    <n v="0.63500000000000001"/>
    <n v="0.443"/>
    <n v="70"/>
    <x v="0"/>
    <n v="5"/>
    <n v="209160"/>
    <n v="0.25600000000000001"/>
  </r>
  <r>
    <n v="0.76600000000000001"/>
    <n v="93956"/>
    <n v="0.73699999999999999"/>
    <n v="0.66200000000000003"/>
    <n v="70"/>
    <x v="0"/>
    <n v="10"/>
    <n v="196500"/>
    <n v="0.31"/>
  </r>
  <r>
    <n v="0.70299999999999996"/>
    <n v="169888"/>
    <n v="0.63900000000000001"/>
    <n v="0.13800000000000001"/>
    <n v="70"/>
    <x v="0"/>
    <n v="4"/>
    <n v="207301"/>
    <n v="8.8900000000000007E-2"/>
  </r>
  <r>
    <n v="0.63600000000000001"/>
    <s v="174.14"/>
    <n v="0.69499999999999995"/>
    <n v="0.57499999999999996"/>
    <n v="70"/>
    <x v="1"/>
    <n v="5"/>
    <n v="172235"/>
    <n v="0.23400000000000001"/>
  </r>
  <r>
    <n v="0.67300000000000004"/>
    <n v="181891"/>
    <n v="0.65500000000000003"/>
    <n v="0.34200000000000003"/>
    <n v="70"/>
    <x v="0"/>
    <n v="0"/>
    <n v="249520"/>
    <n v="0.47299999999999998"/>
  </r>
  <r>
    <n v="0.73899999999999999"/>
    <n v="179879"/>
    <n v="0.70399999999999996"/>
    <n v="0.42499999999999999"/>
    <n v="70"/>
    <x v="1"/>
    <n v="8"/>
    <n v="208292"/>
    <n v="0.32800000000000001"/>
  </r>
  <r>
    <n v="0.84599999999999997"/>
    <n v="98026"/>
    <n v="0.73399999999999999"/>
    <n v="0.60399999999999998"/>
    <n v="70"/>
    <x v="0"/>
    <n v="9"/>
    <n v="209884"/>
    <n v="0.16600000000000001"/>
  </r>
  <r>
    <n v="0.71"/>
    <n v="92009"/>
    <n v="0.53500000000000003"/>
    <n v="0.52300000000000002"/>
    <n v="70"/>
    <x v="0"/>
    <n v="1"/>
    <n v="212653"/>
    <n v="0.42799999999999999"/>
  </r>
  <r>
    <n v="0.82699999999999996"/>
    <n v="129949"/>
    <n v="0.95599999999999996"/>
    <n v="0.61399999999999999"/>
    <n v="70"/>
    <x v="1"/>
    <n v="9"/>
    <n v="133846"/>
    <n v="0.13600000000000001"/>
  </r>
  <r>
    <n v="0.59"/>
    <n v="86429"/>
    <n v="0.71099999999999997"/>
    <n v="0.70199999999999996"/>
    <n v="70"/>
    <x v="0"/>
    <n v="6"/>
    <n v="121384"/>
    <n v="0.26"/>
  </r>
  <r>
    <n v="0.65600000000000003"/>
    <n v="120001"/>
    <n v="0.68500000000000005"/>
    <n v="0.55600000000000005"/>
    <n v="70"/>
    <x v="0"/>
    <n v="7"/>
    <n v="172000"/>
    <n v="0.70199999999999996"/>
  </r>
  <r>
    <n v="0.57899999999999996"/>
    <n v="84143"/>
    <n v="0.56200000000000006"/>
    <n v="0.57699999999999996"/>
    <n v="70"/>
    <x v="0"/>
    <n v="10"/>
    <n v="176591"/>
    <n v="0.27400000000000002"/>
  </r>
  <r>
    <n v="0.73399999999999999"/>
    <n v="97044"/>
    <n v="0.91800000000000004"/>
    <n v="0.60799999999999998"/>
    <n v="70"/>
    <x v="0"/>
    <n v="11"/>
    <n v="230693"/>
    <n v="2.9600000000000001E-2"/>
  </r>
  <r>
    <n v="0.63100000000000001"/>
    <n v="84166"/>
    <n v="0.48"/>
    <n v="0.51500000000000001"/>
    <n v="70"/>
    <x v="1"/>
    <n v="7"/>
    <n v="195093"/>
    <n v="7.9100000000000004E-2"/>
  </r>
  <r>
    <n v="0.41499999999999998"/>
    <n v="113976"/>
    <n v="0.82299999999999995"/>
    <n v="0.48799999999999999"/>
    <n v="70"/>
    <x v="0"/>
    <n v="5"/>
    <n v="186154"/>
    <n v="0.47099999999999997"/>
  </r>
  <r>
    <n v="0.80100000000000005"/>
    <n v="104986"/>
    <n v="0.77800000000000002"/>
    <n v="0.91400000000000003"/>
    <n v="70"/>
    <x v="0"/>
    <n v="6"/>
    <n v="157714"/>
    <n v="0.69199999999999995"/>
  </r>
  <r>
    <n v="0.70699999999999996"/>
    <n v="104027"/>
    <n v="0.84899999999999998"/>
    <n v="0.60199999999999998"/>
    <n v="70"/>
    <x v="1"/>
    <n v="0"/>
    <n v="248040"/>
    <n v="2.6599999999999999E-2"/>
  </r>
  <r>
    <n v="0.65500000000000003"/>
    <s v="92.9"/>
    <n v="0.64900000000000002"/>
    <n v="0.79300000000000004"/>
    <n v="70"/>
    <x v="0"/>
    <n v="10"/>
    <n v="147581"/>
    <n v="0.307"/>
  </r>
  <r>
    <n v="0.128"/>
    <n v="159679"/>
    <n v="0.59899999999999998"/>
    <n v="0.36699999999999999"/>
    <n v="70"/>
    <x v="1"/>
    <n v="10"/>
    <n v="244221"/>
    <n v="0.97399999999999998"/>
  </r>
  <r>
    <n v="0.30399999999999999"/>
    <n v="78997"/>
    <n v="0.53800000000000003"/>
    <n v="6.5000000000000002E-2"/>
    <n v="70"/>
    <x v="1"/>
    <n v="9"/>
    <n v="228071"/>
    <n v="0.61299999999999999"/>
  </r>
  <r>
    <n v="0.28799999999999998"/>
    <n v="110927"/>
    <n v="0.68700000000000006"/>
    <n v="0.308"/>
    <n v="70"/>
    <x v="1"/>
    <n v="2"/>
    <n v="194887"/>
    <n v="0.86299999999999999"/>
  </r>
  <r>
    <n v="0.76700000000000002"/>
    <n v="160084"/>
    <n v="0.71799999999999997"/>
    <n v="0.51900000000000002"/>
    <n v="70"/>
    <x v="1"/>
    <n v="9"/>
    <n v="156000"/>
    <n v="0.13800000000000001"/>
  </r>
  <r>
    <n v="0.66200000000000003"/>
    <n v="150047"/>
    <n v="0.70899999999999996"/>
    <n v="0.439"/>
    <n v="70"/>
    <x v="1"/>
    <n v="8"/>
    <n v="218349"/>
    <n v="9.6600000000000002E-3"/>
  </r>
  <r>
    <n v="0.58799999999999997"/>
    <n v="114929"/>
    <n v="0.71199999999999997"/>
    <n v="0.47099999999999997"/>
    <n v="70"/>
    <x v="0"/>
    <n v="9"/>
    <n v="120035"/>
    <n v="0.112"/>
  </r>
  <r>
    <n v="0.50600000000000001"/>
    <n v="133403"/>
    <n v="0.46899999999999997"/>
    <n v="0.217"/>
    <n v="70"/>
    <x v="1"/>
    <n v="0"/>
    <n v="233031"/>
    <n v="0.58699999999999997"/>
  </r>
  <r>
    <n v="0.64500000000000002"/>
    <n v="85046"/>
    <n v="0.71399999999999997"/>
    <n v="0.434"/>
    <n v="70"/>
    <x v="1"/>
    <n v="10"/>
    <n v="180930"/>
    <n v="0.22900000000000001"/>
  </r>
  <r>
    <n v="0.79800000000000004"/>
    <n v="86638"/>
    <n v="0.50900000000000001"/>
    <n v="0.48"/>
    <n v="70"/>
    <x v="1"/>
    <n v="2"/>
    <n v="180345"/>
    <n v="6.2500000000000003E-3"/>
  </r>
  <r>
    <n v="0.57199999999999995"/>
    <n v="88041"/>
    <n v="0.74199999999999999"/>
    <n v="0.64400000000000002"/>
    <n v="70"/>
    <x v="0"/>
    <n v="7"/>
    <n v="196898"/>
    <n v="0.39100000000000001"/>
  </r>
  <r>
    <n v="0.75"/>
    <n v="139979"/>
    <n v="0.83099999999999996"/>
    <n v="0.66200000000000003"/>
    <n v="70"/>
    <x v="0"/>
    <n v="10"/>
    <n v="183429"/>
    <n v="1.8800000000000001E-2"/>
  </r>
  <r>
    <n v="0.72299999999999998"/>
    <n v="123993"/>
    <n v="0.78700000000000003"/>
    <n v="0.57899999999999996"/>
    <n v="70"/>
    <x v="0"/>
    <n v="10"/>
    <n v="197695"/>
    <n v="5.0900000000000001E-2"/>
  </r>
  <r>
    <n v="0.56999999999999995"/>
    <n v="121843"/>
    <n v="0.65500000000000003"/>
    <n v="0.48699999999999999"/>
    <n v="70"/>
    <x v="0"/>
    <n v="5"/>
    <n v="253770"/>
    <n v="0.52700000000000002"/>
  </r>
  <r>
    <n v="5.8200000000000002E-2"/>
    <n v="132614"/>
    <n v="0.191"/>
    <n v="4.5400000000000003E-2"/>
    <n v="70"/>
    <x v="1"/>
    <n v="8"/>
    <n v="357707"/>
    <n v="0.96099999999999997"/>
  </r>
  <r>
    <n v="5.5899999999999998E-2"/>
    <n v="95217"/>
    <n v="0.39600000000000002"/>
    <n v="0.27800000000000002"/>
    <n v="70"/>
    <x v="0"/>
    <n v="9"/>
    <n v="78413"/>
    <n v="0.98699999999999999"/>
  </r>
  <r>
    <n v="0.14899999999999999"/>
    <n v="82019"/>
    <n v="0.48499999999999999"/>
    <n v="0.112"/>
    <n v="70"/>
    <x v="0"/>
    <n v="8"/>
    <n v="99672"/>
    <n v="0.88600000000000001"/>
  </r>
  <r>
    <n v="8.2299999999999998E-2"/>
    <n v="67238"/>
    <n v="0.252"/>
    <n v="3.8100000000000002E-2"/>
    <n v="70"/>
    <x v="1"/>
    <n v="5"/>
    <n v="86320"/>
    <n v="0.95099999999999996"/>
  </r>
  <r>
    <n v="0.68700000000000006"/>
    <n v="106896"/>
    <n v="0.60499999999999998"/>
    <n v="0.12"/>
    <n v="70"/>
    <x v="0"/>
    <n v="9"/>
    <n v="345187"/>
    <n v="0.47899999999999998"/>
  </r>
  <r>
    <n v="0.44700000000000001"/>
    <n v="121989"/>
    <n v="0.65700000000000003"/>
    <n v="0.52300000000000002"/>
    <n v="70"/>
    <x v="1"/>
    <n v="0"/>
    <n v="268867"/>
    <n v="0.47799999999999998"/>
  </r>
  <r>
    <n v="0.77700000000000002"/>
    <n v="123003"/>
    <n v="0.64900000000000002"/>
    <n v="0.66700000000000004"/>
    <n v="70"/>
    <x v="1"/>
    <n v="7"/>
    <n v="222987"/>
    <n v="7.3800000000000003E-3"/>
  </r>
  <r>
    <n v="0.64300000000000002"/>
    <n v="76979"/>
    <n v="0.60099999999999998"/>
    <n v="0.38700000000000001"/>
    <n v="70"/>
    <x v="1"/>
    <n v="0"/>
    <n v="196360"/>
    <n v="0.155"/>
  </r>
  <r>
    <n v="0.82399999999999995"/>
    <n v="172006"/>
    <n v="0.77"/>
    <n v="0.49"/>
    <n v="70"/>
    <x v="0"/>
    <n v="1"/>
    <n v="178605"/>
    <n v="0.48499999999999999"/>
  </r>
  <r>
    <n v="0.80900000000000005"/>
    <n v="116015"/>
    <n v="0.73199999999999998"/>
    <n v="0.253"/>
    <n v="70"/>
    <x v="0"/>
    <n v="10"/>
    <n v="232147"/>
    <n v="2.6599999999999999E-2"/>
  </r>
  <r>
    <n v="0.91300000000000003"/>
    <s v="123.58"/>
    <n v="0.60599999999999998"/>
    <n v="0.83799999999999997"/>
    <n v="70"/>
    <x v="0"/>
    <n v="8"/>
    <n v="266600"/>
    <n v="0.246"/>
  </r>
  <r>
    <n v="0.629"/>
    <n v="70568"/>
    <n v="0.51300000000000001"/>
    <n v="0.498"/>
    <n v="70"/>
    <x v="0"/>
    <n v="4"/>
    <n v="213933"/>
    <n v="9.8599999999999993E-2"/>
  </r>
  <r>
    <n v="0.65500000000000003"/>
    <s v="92.9"/>
    <n v="0.64900000000000002"/>
    <n v="0.79300000000000004"/>
    <n v="70"/>
    <x v="0"/>
    <n v="10"/>
    <n v="147581"/>
    <n v="0.307"/>
  </r>
  <r>
    <n v="0.57899999999999996"/>
    <n v="127215"/>
    <n v="0.62"/>
    <n v="0.69099999999999995"/>
    <n v="69"/>
    <x v="1"/>
    <n v="4"/>
    <n v="225627"/>
    <n v="1.52E-2"/>
  </r>
  <r>
    <n v="0.86399999999999999"/>
    <n v="81394"/>
    <n v="0.437"/>
    <n v="0.749"/>
    <n v="69"/>
    <x v="0"/>
    <n v="4"/>
    <n v="295387"/>
    <n v="0.39600000000000002"/>
  </r>
  <r>
    <n v="0.58399999999999996"/>
    <n v="170411"/>
    <n v="0.50900000000000001"/>
    <n v="0.68500000000000005"/>
    <n v="69"/>
    <x v="1"/>
    <n v="0"/>
    <n v="278747"/>
    <n v="3.6799999999999999E-2"/>
  </r>
  <r>
    <n v="0.91200000000000003"/>
    <n v="117399"/>
    <n v="0.57499999999999996"/>
    <n v="0.84299999999999997"/>
    <n v="69"/>
    <x v="0"/>
    <n v="7"/>
    <n v="207267"/>
    <n v="9.1600000000000001E-2"/>
  </r>
  <r>
    <n v="0.61099999999999999"/>
    <n v="85387"/>
    <n v="0.65400000000000003"/>
    <n v="0.78600000000000003"/>
    <n v="69"/>
    <x v="1"/>
    <n v="2"/>
    <n v="235000"/>
    <n v="3.3700000000000001E-2"/>
  </r>
  <r>
    <n v="0.7"/>
    <n v="147245"/>
    <n v="0.58599999999999997"/>
    <n v="0.89700000000000002"/>
    <n v="69"/>
    <x v="1"/>
    <n v="0"/>
    <n v="295400"/>
    <n v="5.8900000000000001E-2"/>
  </r>
  <r>
    <n v="0.73699999999999999"/>
    <n v="103867"/>
    <n v="0.66200000000000003"/>
    <n v="0.74399999999999999"/>
    <n v="69"/>
    <x v="1"/>
    <n v="0"/>
    <n v="329800"/>
    <n v="0.108"/>
  </r>
  <r>
    <n v="0.182"/>
    <n v="136094"/>
    <n v="0.34899999999999998"/>
    <n v="0.17799999999999999"/>
    <n v="69"/>
    <x v="1"/>
    <n v="5"/>
    <n v="191973"/>
    <n v="0.92"/>
  </r>
  <r>
    <n v="0.4"/>
    <n v="106682"/>
    <n v="0.60799999999999998"/>
    <n v="8.8999999999999996E-2"/>
    <n v="69"/>
    <x v="1"/>
    <n v="1"/>
    <n v="159228"/>
    <n v="2.9000000000000001E-2"/>
  </r>
  <r>
    <n v="0.68100000000000005"/>
    <n v="114991"/>
    <n v="0.88400000000000001"/>
    <n v="0.32400000000000001"/>
    <n v="69"/>
    <x v="1"/>
    <n v="8"/>
    <n v="184294"/>
    <n v="4.3900000000000002E-2"/>
  </r>
  <r>
    <n v="0.47799999999999998"/>
    <n v="104563"/>
    <n v="0.67500000000000004"/>
    <n v="0.39"/>
    <n v="69"/>
    <x v="1"/>
    <n v="1"/>
    <n v="210286"/>
    <n v="7.3099999999999998E-2"/>
  </r>
  <r>
    <n v="0.70199999999999996"/>
    <n v="125089"/>
    <n v="0.871"/>
    <n v="0.67500000000000004"/>
    <n v="69"/>
    <x v="1"/>
    <n v="5"/>
    <n v="131286"/>
    <n v="0.29599999999999999"/>
  </r>
  <r>
    <n v="0.56999999999999995"/>
    <n v="142974"/>
    <n v="0.78700000000000003"/>
    <n v="0.73299999999999998"/>
    <n v="69"/>
    <x v="1"/>
    <n v="3"/>
    <n v="223879"/>
    <n v="4.4900000000000002E-2"/>
  </r>
  <r>
    <n v="0.67600000000000005"/>
    <n v="143477"/>
    <n v="0.59399999999999997"/>
    <n v="0.47199999999999998"/>
    <n v="69"/>
    <x v="1"/>
    <n v="2"/>
    <n v="181145"/>
    <n v="0.13500000000000001"/>
  </r>
  <r>
    <n v="0.39500000000000002"/>
    <n v="76984"/>
    <n v="0.79300000000000004"/>
    <n v="0.128"/>
    <n v="69"/>
    <x v="1"/>
    <n v="1"/>
    <n v="213287"/>
    <n v="0.27700000000000002"/>
  </r>
  <r>
    <n v="0.77400000000000002"/>
    <n v="130007"/>
    <n v="0.86699999999999999"/>
    <n v="0.54900000000000004"/>
    <n v="69"/>
    <x v="0"/>
    <n v="11"/>
    <n v="142498"/>
    <n v="0.11"/>
  </r>
  <r>
    <n v="0.82199999999999995"/>
    <n v="165946"/>
    <n v="0.51300000000000001"/>
    <n v="0.76800000000000002"/>
    <n v="69"/>
    <x v="1"/>
    <n v="1"/>
    <n v="204668"/>
    <n v="0.14000000000000001"/>
  </r>
  <r>
    <n v="0.53600000000000003"/>
    <n v="119967"/>
    <n v="0.68899999999999995"/>
    <n v="0.34899999999999998"/>
    <n v="69"/>
    <x v="1"/>
    <n v="8"/>
    <n v="341135"/>
    <n v="0.25"/>
  </r>
  <r>
    <n v="0.69599999999999995"/>
    <n v="120146"/>
    <n v="0.74399999999999999"/>
    <n v="0.40600000000000003"/>
    <n v="69"/>
    <x v="0"/>
    <n v="8"/>
    <n v="260493"/>
    <n v="0.71"/>
  </r>
  <r>
    <n v="0.59"/>
    <n v="161989"/>
    <n v="0.86399999999999999"/>
    <n v="0.57899999999999996"/>
    <n v="69"/>
    <x v="1"/>
    <n v="1"/>
    <n v="168560"/>
    <n v="1.9599999999999999E-2"/>
  </r>
  <r>
    <n v="0.52100000000000002"/>
    <n v="106035"/>
    <n v="0.53900000000000003"/>
    <n v="0.67900000000000005"/>
    <n v="69"/>
    <x v="1"/>
    <n v="9"/>
    <n v="183440"/>
    <n v="4.2500000000000003E-3"/>
  </r>
  <r>
    <n v="0.54400000000000004"/>
    <n v="121968"/>
    <n v="0.82299999999999995"/>
    <n v="0.82599999999999996"/>
    <n v="69"/>
    <x v="1"/>
    <n v="5"/>
    <n v="162663"/>
    <n v="0.38900000000000001"/>
  </r>
  <r>
    <n v="0.629"/>
    <n v="93985"/>
    <n v="0.65700000000000003"/>
    <n v="0.72599999999999998"/>
    <n v="69"/>
    <x v="1"/>
    <n v="6"/>
    <n v="266893"/>
    <n v="0.19400000000000001"/>
  </r>
  <r>
    <n v="0.5"/>
    <n v="124037"/>
    <n v="0.81599999999999995"/>
    <n v="0.64900000000000002"/>
    <n v="69"/>
    <x v="1"/>
    <n v="1"/>
    <n v="247840"/>
    <n v="2.2700000000000001E-2"/>
  </r>
  <r>
    <n v="0.52900000000000003"/>
    <n v="112014"/>
    <n v="0.78200000000000003"/>
    <n v="0.44"/>
    <n v="69"/>
    <x v="1"/>
    <n v="0"/>
    <n v="156429"/>
    <n v="0.50900000000000001"/>
  </r>
  <r>
    <n v="0.81100000000000005"/>
    <n v="139959"/>
    <n v="0.69299999999999995"/>
    <n v="0.94399999999999995"/>
    <n v="69"/>
    <x v="1"/>
    <n v="5"/>
    <n v="153626"/>
    <n v="0.39500000000000002"/>
  </r>
  <r>
    <n v="0.76300000000000001"/>
    <n v="148366"/>
    <n v="0.36499999999999999"/>
    <n v="0.34200000000000003"/>
    <n v="69"/>
    <x v="0"/>
    <n v="11"/>
    <n v="204867"/>
    <n v="7.26E-3"/>
  </r>
  <r>
    <n v="0.73499999999999999"/>
    <n v="101368"/>
    <n v="0.93400000000000005"/>
    <n v="0.76800000000000002"/>
    <n v="69"/>
    <x v="1"/>
    <n v="1"/>
    <n v="273107"/>
    <n v="3.1E-2"/>
  </r>
  <r>
    <n v="0.76300000000000001"/>
    <n v="148366"/>
    <n v="0.36499999999999999"/>
    <n v="0.34200000000000003"/>
    <n v="69"/>
    <x v="0"/>
    <n v="11"/>
    <n v="204867"/>
    <n v="7.26E-3"/>
  </r>
  <r>
    <n v="0.80400000000000005"/>
    <n v="111457"/>
    <n v="0.59099999999999997"/>
    <n v="0.65800000000000003"/>
    <n v="69"/>
    <x v="1"/>
    <n v="0"/>
    <n v="329413"/>
    <n v="0.32700000000000001"/>
  </r>
  <r>
    <n v="0.42699999999999999"/>
    <s v="119.18"/>
    <n v="0.753"/>
    <n v="0.29499999999999998"/>
    <n v="69"/>
    <x v="1"/>
    <n v="0"/>
    <n v="255680"/>
    <n v="7.8700000000000003E-3"/>
  </r>
  <r>
    <n v="0.50600000000000001"/>
    <n v="140309"/>
    <n v="0.79900000000000004"/>
    <n v="0.51800000000000002"/>
    <n v="69"/>
    <x v="1"/>
    <n v="2"/>
    <n v="242667"/>
    <n v="4.53E-2"/>
  </r>
  <r>
    <n v="0.73699999999999999"/>
    <n v="125447"/>
    <n v="0.78500000000000003"/>
    <n v="0.97099999999999997"/>
    <n v="69"/>
    <x v="1"/>
    <n v="9"/>
    <n v="218960"/>
    <n v="4.2000000000000003E-2"/>
  </r>
  <r>
    <n v="0.84599999999999997"/>
    <s v="107.01"/>
    <n v="0.65900000000000003"/>
    <n v="0.65900000000000003"/>
    <n v="69"/>
    <x v="1"/>
    <n v="7"/>
    <n v="354636"/>
    <n v="3.1800000000000002E-2"/>
  </r>
  <r>
    <n v="0.83299999999999996"/>
    <n v="142663"/>
    <n v="0.55300000000000005"/>
    <n v="0.77300000000000002"/>
    <n v="69"/>
    <x v="0"/>
    <n v="2"/>
    <n v="212227"/>
    <n v="6.4599999999999998E-4"/>
  </r>
  <r>
    <n v="0.77400000000000002"/>
    <n v="109945"/>
    <n v="0.80100000000000005"/>
    <n v="0.38300000000000001"/>
    <n v="69"/>
    <x v="1"/>
    <n v="1"/>
    <n v="188080"/>
    <n v="8.7100000000000007E-3"/>
  </r>
  <r>
    <n v="0.39500000000000002"/>
    <n v="76984"/>
    <n v="0.79300000000000004"/>
    <n v="0.128"/>
    <n v="69"/>
    <x v="1"/>
    <n v="1"/>
    <n v="213287"/>
    <n v="0.27700000000000002"/>
  </r>
  <r>
    <n v="0.66200000000000003"/>
    <n v="143943"/>
    <n v="0.76700000000000002"/>
    <n v="0.25900000000000001"/>
    <n v="69"/>
    <x v="0"/>
    <n v="5"/>
    <n v="193333"/>
    <n v="0.10299999999999999"/>
  </r>
  <r>
    <n v="0.57199999999999995"/>
    <n v="141996"/>
    <n v="0.82299999999999995"/>
    <n v="0.56799999999999995"/>
    <n v="69"/>
    <x v="0"/>
    <n v="6"/>
    <n v="175954"/>
    <n v="7.9000000000000008E-3"/>
  </r>
  <r>
    <n v="0.34799999999999998"/>
    <n v="74541"/>
    <n v="0.34899999999999998"/>
    <n v="8.8599999999999998E-2"/>
    <n v="69"/>
    <x v="1"/>
    <n v="3"/>
    <n v="246587"/>
    <n v="0.72599999999999998"/>
  </r>
  <r>
    <n v="0.78700000000000003"/>
    <n v="117089"/>
    <n v="0.39900000000000002"/>
    <n v="0.57199999999999995"/>
    <n v="69"/>
    <x v="1"/>
    <n v="1"/>
    <n v="216120"/>
    <n v="1.9699999999999999E-2"/>
  </r>
  <r>
    <n v="0.46500000000000002"/>
    <s v="113.81"/>
    <n v="0.6"/>
    <n v="6.8199999999999997E-2"/>
    <n v="69"/>
    <x v="1"/>
    <n v="4"/>
    <n v="230880"/>
    <n v="0.64300000000000002"/>
  </r>
  <r>
    <n v="0.58399999999999996"/>
    <n v="170411"/>
    <n v="0.50900000000000001"/>
    <n v="0.68500000000000005"/>
    <n v="69"/>
    <x v="1"/>
    <n v="0"/>
    <n v="278747"/>
    <n v="3.6799999999999999E-2"/>
  </r>
  <r>
    <n v="0.86199999999999999"/>
    <n v="98021"/>
    <n v="0.51100000000000001"/>
    <n v="0.36099999999999999"/>
    <n v="69"/>
    <x v="1"/>
    <n v="10"/>
    <n v="221451"/>
    <n v="6.5600000000000006E-2"/>
  </r>
  <r>
    <n v="0.81200000000000006"/>
    <n v="82002"/>
    <n v="0.41699999999999998"/>
    <n v="0.41899999999999998"/>
    <n v="69"/>
    <x v="1"/>
    <n v="10"/>
    <n v="230053"/>
    <n v="1.54E-2"/>
  </r>
  <r>
    <n v="0.86599999999999999"/>
    <n v="109825"/>
    <n v="0.308"/>
    <n v="0.22700000000000001"/>
    <n v="69"/>
    <x v="0"/>
    <n v="2"/>
    <n v="438120"/>
    <n v="7.3899999999999997E-4"/>
  </r>
  <r>
    <n v="0.76300000000000001"/>
    <n v="148366"/>
    <n v="0.36499999999999999"/>
    <n v="0.34200000000000003"/>
    <n v="69"/>
    <x v="0"/>
    <n v="11"/>
    <n v="204867"/>
    <n v="7.26E-3"/>
  </r>
  <r>
    <n v="0.69099999999999995"/>
    <n v="100008"/>
    <n v="0.71799999999999997"/>
    <n v="0.55200000000000005"/>
    <n v="69"/>
    <x v="1"/>
    <n v="4"/>
    <n v="213107"/>
    <n v="1.5900000000000001E-2"/>
  </r>
  <r>
    <n v="0.88700000000000001"/>
    <n v="119974"/>
    <n v="0.60599999999999998"/>
    <n v="0.90300000000000002"/>
    <n v="69"/>
    <x v="1"/>
    <n v="4"/>
    <n v="193000"/>
    <n v="2.42E-4"/>
  </r>
  <r>
    <n v="0.88300000000000001"/>
    <s v="93.41"/>
    <n v="0.45"/>
    <n v="0.32800000000000001"/>
    <n v="69"/>
    <x v="1"/>
    <n v="7"/>
    <n v="214707"/>
    <n v="1.9300000000000001E-3"/>
  </r>
  <r>
    <n v="0.95899999999999996"/>
    <n v="193144"/>
    <n v="0.40899999999999997"/>
    <n v="0.83"/>
    <n v="69"/>
    <x v="1"/>
    <n v="9"/>
    <n v="171600"/>
    <n v="3.2400000000000001E-4"/>
  </r>
  <r>
    <n v="0.82699999999999996"/>
    <n v="167086"/>
    <n v="0.28999999999999998"/>
    <n v="0.45"/>
    <n v="69"/>
    <x v="1"/>
    <n v="8"/>
    <n v="493400"/>
    <n v="6.5899999999999997E-4"/>
  </r>
  <r>
    <n v="0.317"/>
    <n v="131783"/>
    <n v="0.50900000000000001"/>
    <n v="0.247"/>
    <n v="69"/>
    <x v="1"/>
    <n v="5"/>
    <n v="192067"/>
    <n v="0.621"/>
  </r>
  <r>
    <n v="0.74"/>
    <s v="118.01"/>
    <n v="0.59299999999999997"/>
    <n v="0.501"/>
    <n v="69"/>
    <x v="1"/>
    <n v="8"/>
    <n v="208107"/>
    <n v="0.36399999999999999"/>
  </r>
  <r>
    <n v="0.64"/>
    <n v="101991"/>
    <n v="0.69099999999999995"/>
    <n v="0.45200000000000001"/>
    <n v="69"/>
    <x v="1"/>
    <n v="8"/>
    <n v="210227"/>
    <n v="2.47E-2"/>
  </r>
  <r>
    <n v="0.629"/>
    <n v="93985"/>
    <n v="0.65700000000000003"/>
    <n v="0.72599999999999998"/>
    <n v="69"/>
    <x v="1"/>
    <n v="6"/>
    <n v="266893"/>
    <n v="0.19400000000000001"/>
  </r>
  <r>
    <n v="0.73"/>
    <n v="93867"/>
    <n v="0.63700000000000001"/>
    <n v="0.73099999999999998"/>
    <n v="69"/>
    <x v="0"/>
    <n v="5"/>
    <n v="218947"/>
    <n v="0.32200000000000001"/>
  </r>
  <r>
    <n v="0.47899999999999998"/>
    <n v="184374"/>
    <n v="0.65600000000000003"/>
    <n v="0.70799999999999996"/>
    <n v="69"/>
    <x v="0"/>
    <n v="7"/>
    <n v="261867"/>
    <n v="6.6500000000000004E-2"/>
  </r>
  <r>
    <n v="0.59599999999999997"/>
    <n v="93135"/>
    <n v="0.56899999999999995"/>
    <n v="0.754"/>
    <n v="69"/>
    <x v="1"/>
    <n v="8"/>
    <n v="217347"/>
    <n v="0.45200000000000001"/>
  </r>
  <r>
    <n v="0.46700000000000003"/>
    <n v="157338"/>
    <n v="0.41299999999999998"/>
    <n v="0.377"/>
    <n v="69"/>
    <x v="1"/>
    <n v="9"/>
    <n v="200589"/>
    <n v="0.73199999999999998"/>
  </r>
  <r>
    <n v="0.45200000000000001"/>
    <n v="108953"/>
    <n v="0.41299999999999998"/>
    <n v="0.10199999999999999"/>
    <n v="69"/>
    <x v="1"/>
    <n v="0"/>
    <n v="196211"/>
    <n v="0.58799999999999997"/>
  </r>
  <r>
    <n v="0.86399999999999999"/>
    <n v="99995"/>
    <n v="0.63700000000000001"/>
    <n v="0.70599999999999996"/>
    <n v="69"/>
    <x v="1"/>
    <n v="8"/>
    <n v="214720"/>
    <n v="0.48399999999999999"/>
  </r>
  <r>
    <n v="0.312"/>
    <n v="128094"/>
    <n v="0.68100000000000005"/>
    <n v="0.78900000000000003"/>
    <n v="69"/>
    <x v="0"/>
    <n v="6"/>
    <n v="171853"/>
    <n v="0.81599999999999995"/>
  </r>
  <r>
    <n v="0.93700000000000006"/>
    <n v="123993"/>
    <n v="0.65100000000000002"/>
    <n v="0.66600000000000004"/>
    <n v="69"/>
    <x v="1"/>
    <n v="7"/>
    <n v="125179"/>
    <n v="0.23599999999999999"/>
  </r>
  <r>
    <n v="0.88800000000000001"/>
    <n v="123031"/>
    <n v="0.67100000000000004"/>
    <n v="0.41199999999999998"/>
    <n v="69"/>
    <x v="0"/>
    <n v="10"/>
    <n v="146341"/>
    <n v="2.2000000000000001E-3"/>
  </r>
  <r>
    <n v="0.71399999999999997"/>
    <n v="127993"/>
    <n v="0.63400000000000001"/>
    <n v="0.40899999999999997"/>
    <n v="69"/>
    <x v="1"/>
    <n v="7"/>
    <n v="146523"/>
    <n v="8.8199999999999997E-3"/>
  </r>
  <r>
    <n v="0.89700000000000002"/>
    <n v="124025"/>
    <n v="0.68899999999999995"/>
    <n v="0.58199999999999996"/>
    <n v="69"/>
    <x v="0"/>
    <n v="10"/>
    <n v="181957"/>
    <n v="0.14499999999999999"/>
  </r>
  <r>
    <n v="0.86299999999999999"/>
    <s v="130.02"/>
    <n v="0.65200000000000002"/>
    <n v="0.80500000000000005"/>
    <n v="69"/>
    <x v="0"/>
    <n v="7"/>
    <n v="155077"/>
    <n v="9.2100000000000001E-2"/>
  </r>
  <r>
    <n v="0.70299999999999996"/>
    <s v="123.06"/>
    <n v="0.71299999999999997"/>
    <n v="0.57599999999999996"/>
    <n v="69"/>
    <x v="1"/>
    <n v="8"/>
    <n v="255693"/>
    <n v="0.29799999999999999"/>
  </r>
  <r>
    <n v="0.75900000000000001"/>
    <n v="91952"/>
    <n v="0.78"/>
    <n v="0.57899999999999996"/>
    <n v="69"/>
    <x v="1"/>
    <n v="1"/>
    <n v="201040"/>
    <n v="0.46200000000000002"/>
  </r>
  <r>
    <n v="0.75800000000000001"/>
    <n v="97014"/>
    <n v="0.86"/>
    <n v="0.45300000000000001"/>
    <n v="69"/>
    <x v="1"/>
    <n v="11"/>
    <n v="172127"/>
    <n v="2.1000000000000001E-2"/>
  </r>
  <r>
    <n v="0.68899999999999995"/>
    <n v="97963"/>
    <n v="0.88200000000000001"/>
    <n v="0.746"/>
    <n v="69"/>
    <x v="1"/>
    <n v="6"/>
    <n v="161627"/>
    <n v="0.39"/>
  </r>
  <r>
    <n v="0.64700000000000002"/>
    <n v="95982"/>
    <n v="0.85699999999999998"/>
    <n v="0.55300000000000005"/>
    <n v="69"/>
    <x v="0"/>
    <n v="11"/>
    <n v="267500"/>
    <n v="0.39100000000000001"/>
  </r>
  <r>
    <n v="0.746"/>
    <n v="175965"/>
    <n v="0.746"/>
    <n v="0.73299999999999998"/>
    <n v="69"/>
    <x v="0"/>
    <n v="5"/>
    <n v="243227"/>
    <n v="0.152"/>
  </r>
  <r>
    <n v="0.68100000000000005"/>
    <n v="140006"/>
    <n v="0.80700000000000005"/>
    <n v="0.67600000000000005"/>
    <n v="69"/>
    <x v="1"/>
    <n v="11"/>
    <n v="297485"/>
    <n v="0.42299999999999999"/>
  </r>
  <r>
    <n v="0.81200000000000006"/>
    <n v="87864"/>
    <n v="0.68300000000000005"/>
    <n v="0.72399999999999998"/>
    <n v="69"/>
    <x v="1"/>
    <n v="7"/>
    <n v="250840"/>
    <n v="0.161"/>
  </r>
  <r>
    <n v="0.76100000000000001"/>
    <n v="168022"/>
    <n v="0.71399999999999997"/>
    <n v="0.90600000000000003"/>
    <n v="69"/>
    <x v="0"/>
    <n v="5"/>
    <n v="230693"/>
    <n v="0.13900000000000001"/>
  </r>
  <r>
    <n v="0.745"/>
    <n v="94979"/>
    <n v="0.79300000000000004"/>
    <n v="0.71599999999999997"/>
    <n v="69"/>
    <x v="1"/>
    <n v="7"/>
    <n v="235411"/>
    <n v="0.182"/>
  </r>
  <r>
    <n v="0.7"/>
    <n v="93991"/>
    <n v="0.84299999999999997"/>
    <n v="0.89900000000000002"/>
    <n v="69"/>
    <x v="0"/>
    <n v="4"/>
    <n v="226088"/>
    <n v="9.3399999999999997E-2"/>
  </r>
  <r>
    <n v="0.79400000000000004"/>
    <n v="92998"/>
    <n v="0.84299999999999997"/>
    <n v="0.79600000000000004"/>
    <n v="69"/>
    <x v="0"/>
    <n v="1"/>
    <n v="275040"/>
    <n v="0.22600000000000001"/>
  </r>
  <r>
    <n v="0.76600000000000001"/>
    <n v="96037"/>
    <n v="0.88"/>
    <n v="0.59399999999999997"/>
    <n v="69"/>
    <x v="0"/>
    <n v="1"/>
    <n v="210788"/>
    <n v="8.8099999999999998E-2"/>
  </r>
  <r>
    <n v="0.67100000000000004"/>
    <n v="169727"/>
    <n v="0.71399999999999997"/>
    <n v="0.64100000000000001"/>
    <n v="69"/>
    <x v="1"/>
    <n v="5"/>
    <n v="229827"/>
    <n v="0.29199999999999998"/>
  </r>
  <r>
    <n v="0.78900000000000003"/>
    <n v="130053"/>
    <n v="0.89"/>
    <n v="0.75800000000000001"/>
    <n v="69"/>
    <x v="1"/>
    <n v="11"/>
    <n v="199615"/>
    <n v="0.14699999999999999"/>
  </r>
  <r>
    <n v="0.622"/>
    <n v="204028"/>
    <n v="0.40600000000000003"/>
    <n v="0.56699999999999995"/>
    <n v="69"/>
    <x v="0"/>
    <n v="3"/>
    <n v="196075"/>
    <n v="0.497"/>
  </r>
  <r>
    <n v="0.50600000000000001"/>
    <n v="115994"/>
    <n v="0.84799999999999998"/>
    <n v="0.59299999999999997"/>
    <n v="69"/>
    <x v="0"/>
    <n v="4"/>
    <n v="192693"/>
    <n v="0.376"/>
  </r>
  <r>
    <n v="0.52900000000000003"/>
    <n v="112014"/>
    <n v="0.78200000000000003"/>
    <n v="0.44"/>
    <n v="69"/>
    <x v="1"/>
    <n v="0"/>
    <n v="156429"/>
    <n v="0.50900000000000001"/>
  </r>
  <r>
    <n v="0.156"/>
    <s v="94.08"/>
    <n v="0.67100000000000004"/>
    <n v="0.20100000000000001"/>
    <n v="69"/>
    <x v="1"/>
    <n v="8"/>
    <n v="211960"/>
    <n v="0.80400000000000005"/>
  </r>
  <r>
    <n v="0.52600000000000002"/>
    <n v="124709"/>
    <n v="0.55800000000000005"/>
    <n v="0.20200000000000001"/>
    <n v="69"/>
    <x v="0"/>
    <n v="0"/>
    <n v="192441"/>
    <n v="0.43099999999999999"/>
  </r>
  <r>
    <n v="0.38400000000000001"/>
    <n v="139009"/>
    <n v="0.437"/>
    <n v="0.18099999999999999"/>
    <n v="69"/>
    <x v="1"/>
    <n v="5"/>
    <n v="209947"/>
    <n v="0.69899999999999995"/>
  </r>
  <r>
    <n v="0.55700000000000005"/>
    <n v="114019"/>
    <n v="0.81499999999999995"/>
    <n v="0.48199999999999998"/>
    <n v="69"/>
    <x v="1"/>
    <n v="5"/>
    <n v="202516"/>
    <n v="0.109"/>
  </r>
  <r>
    <n v="0.32600000000000001"/>
    <n v="134049"/>
    <n v="0.46"/>
    <n v="0.214"/>
    <n v="69"/>
    <x v="1"/>
    <n v="4"/>
    <n v="244187"/>
    <n v="0.76300000000000001"/>
  </r>
  <r>
    <n v="0.58799999999999997"/>
    <n v="79989"/>
    <n v="0.67500000000000004"/>
    <n v="0.879"/>
    <n v="69"/>
    <x v="1"/>
    <n v="3"/>
    <n v="189867"/>
    <n v="0.78900000000000003"/>
  </r>
  <r>
    <n v="0.36199999999999999"/>
    <n v="115974"/>
    <n v="0.96699999999999997"/>
    <n v="0.63300000000000001"/>
    <n v="69"/>
    <x v="0"/>
    <n v="5"/>
    <n v="139134"/>
    <n v="0.51400000000000001"/>
  </r>
  <r>
    <n v="0.872"/>
    <n v="122028"/>
    <n v="0.43"/>
    <n v="0.13600000000000001"/>
    <n v="69"/>
    <x v="1"/>
    <n v="1"/>
    <n v="184500"/>
    <n v="0.11799999999999999"/>
  </r>
  <r>
    <n v="0.83"/>
    <s v="120.97"/>
    <n v="0.80800000000000005"/>
    <n v="0.46500000000000002"/>
    <n v="69"/>
    <x v="1"/>
    <n v="1"/>
    <n v="213768"/>
    <n v="5.7499999999999999E-3"/>
  </r>
  <r>
    <n v="0.85499999999999998"/>
    <n v="117987"/>
    <n v="0.53400000000000003"/>
    <n v="0.60099999999999998"/>
    <n v="69"/>
    <x v="0"/>
    <n v="8"/>
    <n v="218384"/>
    <n v="4.2999999999999999E-4"/>
  </r>
  <r>
    <n v="0.33200000000000002"/>
    <n v="141849"/>
    <n v="0.88500000000000001"/>
    <n v="0.42299999999999999"/>
    <n v="69"/>
    <x v="1"/>
    <n v="1"/>
    <n v="108169"/>
    <n v="1.8499999999999999E-2"/>
  </r>
  <r>
    <n v="0.67400000000000004"/>
    <n v="140065"/>
    <n v="0.92200000000000004"/>
    <n v="0.72599999999999998"/>
    <n v="69"/>
    <x v="1"/>
    <n v="1"/>
    <n v="198027"/>
    <n v="0.32300000000000001"/>
  </r>
  <r>
    <n v="0.75900000000000001"/>
    <n v="124725"/>
    <n v="0.79100000000000004"/>
    <n v="0.91700000000000004"/>
    <n v="69"/>
    <x v="1"/>
    <n v="9"/>
    <n v="214880"/>
    <n v="8.2299999999999998E-2"/>
  </r>
  <r>
    <n v="0.70799999999999996"/>
    <n v="130081"/>
    <n v="0.872"/>
    <n v="0.308"/>
    <n v="69"/>
    <x v="1"/>
    <n v="10"/>
    <n v="169846"/>
    <n v="0.33600000000000002"/>
  </r>
  <r>
    <n v="0.78100000000000003"/>
    <n v="107007"/>
    <n v="0.81100000000000005"/>
    <n v="0.82399999999999995"/>
    <n v="69"/>
    <x v="1"/>
    <n v="11"/>
    <n v="219813"/>
    <n v="0.376"/>
  </r>
  <r>
    <n v="0.64900000000000002"/>
    <n v="113009"/>
    <n v="0.78800000000000003"/>
    <n v="0.22900000000000001"/>
    <n v="69"/>
    <x v="1"/>
    <n v="2"/>
    <n v="169912"/>
    <n v="0.253"/>
  </r>
  <r>
    <n v="0.80900000000000005"/>
    <n v="99005"/>
    <n v="0.72399999999999998"/>
    <n v="0.60599999999999998"/>
    <n v="69"/>
    <x v="0"/>
    <n v="6"/>
    <n v="194040"/>
    <n v="0.182"/>
  </r>
  <r>
    <n v="0.89"/>
    <n v="126881"/>
    <n v="0.64500000000000002"/>
    <n v="0.42099999999999999"/>
    <n v="69"/>
    <x v="1"/>
    <n v="6"/>
    <n v="205087"/>
    <n v="0.25900000000000001"/>
  </r>
  <r>
    <n v="0.94599999999999995"/>
    <s v="138.18"/>
    <n v="0.45400000000000001"/>
    <n v="0.64700000000000002"/>
    <n v="68"/>
    <x v="0"/>
    <n v="1"/>
    <n v="156147"/>
    <n v="2.23E-2"/>
  </r>
  <r>
    <n v="0.755"/>
    <n v="109535"/>
    <n v="0.66700000000000004"/>
    <n v="0.88300000000000001"/>
    <n v="68"/>
    <x v="1"/>
    <n v="9"/>
    <n v="286220"/>
    <n v="9.6600000000000005E-2"/>
  </r>
  <r>
    <n v="0.16400000000000001"/>
    <n v="58303"/>
    <n v="0.13600000000000001"/>
    <n v="7.0999999999999994E-2"/>
    <n v="68"/>
    <x v="0"/>
    <n v="4"/>
    <n v="166867"/>
    <n v="0.91100000000000003"/>
  </r>
  <r>
    <n v="5.2700000000000004E-3"/>
    <n v="170612"/>
    <n v="0.184"/>
    <n v="0.151"/>
    <n v="68"/>
    <x v="0"/>
    <n v="1"/>
    <n v="315427"/>
    <n v="0.995"/>
  </r>
  <r>
    <n v="0.83099999999999996"/>
    <n v="139905"/>
    <n v="0.65200000000000002"/>
    <n v="0.64800000000000002"/>
    <n v="68"/>
    <x v="0"/>
    <n v="10"/>
    <n v="150997"/>
    <n v="1.11E-2"/>
  </r>
  <r>
    <n v="0.86699999999999999"/>
    <n v="131041"/>
    <n v="0.90200000000000002"/>
    <n v="0.79900000000000004"/>
    <n v="68"/>
    <x v="0"/>
    <n v="10"/>
    <n v="132338"/>
    <n v="6.7799999999999999E-2"/>
  </r>
  <r>
    <n v="0.63200000000000001"/>
    <n v="123987"/>
    <n v="0.84799999999999998"/>
    <n v="0.253"/>
    <n v="68"/>
    <x v="1"/>
    <n v="2"/>
    <n v="171198"/>
    <n v="0.39800000000000002"/>
  </r>
  <r>
    <n v="0.61799999999999999"/>
    <s v="99.7"/>
    <n v="0.49"/>
    <n v="0.28599999999999998"/>
    <n v="68"/>
    <x v="1"/>
    <n v="1"/>
    <n v="201600"/>
    <n v="2.2100000000000002E-2"/>
  </r>
  <r>
    <n v="0.35"/>
    <n v="77528"/>
    <n v="0.82199999999999995"/>
    <n v="0.34599999999999997"/>
    <n v="68"/>
    <x v="0"/>
    <n v="1"/>
    <n v="186000"/>
    <n v="2.1299999999999999E-2"/>
  </r>
  <r>
    <n v="0.48"/>
    <n v="143029"/>
    <n v="0.84599999999999997"/>
    <n v="0.41899999999999998"/>
    <n v="68"/>
    <x v="0"/>
    <n v="8"/>
    <n v="169532"/>
    <n v="0.26900000000000002"/>
  </r>
  <r>
    <n v="0.495"/>
    <n v="137027"/>
    <n v="0.85299999999999998"/>
    <n v="7.7399999999999997E-2"/>
    <n v="68"/>
    <x v="1"/>
    <n v="6"/>
    <n v="243228"/>
    <n v="9.1700000000000004E-2"/>
  </r>
  <r>
    <n v="0.59"/>
    <s v="119.97"/>
    <n v="0.88"/>
    <n v="0.72299999999999998"/>
    <n v="68"/>
    <x v="0"/>
    <n v="8"/>
    <n v="170000"/>
    <n v="0.08"/>
  </r>
  <r>
    <n v="0.58599999999999997"/>
    <n v="124041"/>
    <n v="0.80800000000000005"/>
    <n v="0.56799999999999995"/>
    <n v="68"/>
    <x v="0"/>
    <n v="10"/>
    <n v="263288"/>
    <n v="0.64100000000000001"/>
  </r>
  <r>
    <n v="0.629"/>
    <n v="140101"/>
    <n v="0.52300000000000002"/>
    <n v="0.20899999999999999"/>
    <n v="68"/>
    <x v="1"/>
    <n v="1"/>
    <n v="283121"/>
    <n v="0.156"/>
  </r>
  <r>
    <n v="0.67100000000000004"/>
    <n v="147037"/>
    <n v="0.60699999999999998"/>
    <n v="0.316"/>
    <n v="68"/>
    <x v="0"/>
    <n v="4"/>
    <n v="137143"/>
    <n v="0.40300000000000002"/>
  </r>
  <r>
    <n v="0.38500000000000001"/>
    <n v="129958"/>
    <n v="0.69"/>
    <n v="0.19"/>
    <n v="68"/>
    <x v="1"/>
    <n v="0"/>
    <n v="226101"/>
    <n v="0.18099999999999999"/>
  </r>
  <r>
    <n v="0.63700000000000001"/>
    <n v="171264"/>
    <n v="0.56699999999999995"/>
    <n v="0.88200000000000001"/>
    <n v="68"/>
    <x v="0"/>
    <n v="9"/>
    <n v="131765"/>
    <n v="0.499"/>
  </r>
  <r>
    <n v="0.81200000000000006"/>
    <n v="100049"/>
    <n v="0.45500000000000002"/>
    <n v="0.82299999999999995"/>
    <n v="68"/>
    <x v="1"/>
    <n v="8"/>
    <n v="184249"/>
    <n v="0.372"/>
  </r>
  <r>
    <n v="0.78700000000000003"/>
    <s v="165.07"/>
    <n v="0.80900000000000005"/>
    <n v="0.9"/>
    <n v="68"/>
    <x v="1"/>
    <n v="8"/>
    <n v="148152"/>
    <n v="0.126"/>
  </r>
  <r>
    <n v="0.89600000000000002"/>
    <n v="90622"/>
    <n v="0.66200000000000003"/>
    <n v="0.79"/>
    <n v="68"/>
    <x v="0"/>
    <n v="5"/>
    <n v="305280"/>
    <n v="0.318"/>
  </r>
  <r>
    <n v="0.57299999999999995"/>
    <n v="82941"/>
    <n v="0.60299999999999998"/>
    <n v="0.23599999999999999"/>
    <n v="68"/>
    <x v="1"/>
    <n v="1"/>
    <n v="228855"/>
    <n v="0.47799999999999998"/>
  </r>
  <r>
    <n v="0.90300000000000002"/>
    <n v="132009"/>
    <n v="0.56200000000000006"/>
    <n v="0.79100000000000004"/>
    <n v="68"/>
    <x v="0"/>
    <n v="8"/>
    <n v="221000"/>
    <n v="1.8699999999999999E-4"/>
  </r>
  <r>
    <n v="0.65800000000000003"/>
    <n v="150093"/>
    <n v="0.61499999999999999"/>
    <n v="0.29299999999999998"/>
    <n v="68"/>
    <x v="1"/>
    <n v="5"/>
    <n v="227080"/>
    <n v="9.6000000000000002E-2"/>
  </r>
  <r>
    <n v="0.501"/>
    <n v="134014"/>
    <n v="0.78100000000000003"/>
    <n v="0.96099999999999997"/>
    <n v="68"/>
    <x v="1"/>
    <n v="3"/>
    <n v="177818"/>
    <n v="0.66"/>
  </r>
  <r>
    <n v="0.36099999999999999"/>
    <n v="187711"/>
    <n v="0.36299999999999999"/>
    <n v="0.61199999999999999"/>
    <n v="68"/>
    <x v="1"/>
    <n v="9"/>
    <n v="152867"/>
    <n v="0.623"/>
  </r>
  <r>
    <n v="0.57599999999999996"/>
    <n v="179063"/>
    <n v="0.625"/>
    <n v="0.23499999999999999"/>
    <n v="68"/>
    <x v="0"/>
    <n v="11"/>
    <n v="193147"/>
    <n v="5.4300000000000001E-2"/>
  </r>
  <r>
    <n v="0.46700000000000003"/>
    <n v="138007"/>
    <n v="0.84499999999999997"/>
    <n v="0.70199999999999996"/>
    <n v="68"/>
    <x v="1"/>
    <n v="1"/>
    <n v="211200"/>
    <n v="5.8599999999999999E-2"/>
  </r>
  <r>
    <n v="0.84099999999999997"/>
    <n v="147989"/>
    <n v="0.754"/>
    <n v="0.83799999999999997"/>
    <n v="68"/>
    <x v="1"/>
    <n v="2"/>
    <n v="137684"/>
    <n v="0.13600000000000001"/>
  </r>
  <r>
    <n v="0.70499999999999996"/>
    <s v="197.98"/>
    <n v="0.374"/>
    <n v="0.71799999999999997"/>
    <n v="68"/>
    <x v="1"/>
    <n v="11"/>
    <n v="193567"/>
    <n v="0.17199999999999999"/>
  </r>
  <r>
    <n v="0.52"/>
    <n v="95865"/>
    <n v="0.57799999999999996"/>
    <n v="0.42499999999999999"/>
    <n v="68"/>
    <x v="0"/>
    <n v="11"/>
    <n v="154579"/>
    <n v="0.55400000000000005"/>
  </r>
  <r>
    <n v="0.65100000000000002"/>
    <n v="67813"/>
    <n v="0.49"/>
    <n v="0.56699999999999995"/>
    <n v="68"/>
    <x v="1"/>
    <n v="11"/>
    <n v="180594"/>
    <n v="0.71399999999999997"/>
  </r>
  <r>
    <n v="0.80800000000000005"/>
    <n v="115063"/>
    <n v="0.57599999999999996"/>
    <n v="0.17199999999999999"/>
    <n v="68"/>
    <x v="1"/>
    <n v="1"/>
    <n v="123293"/>
    <n v="6.1500000000000001E-3"/>
  </r>
  <r>
    <n v="0.89100000000000001"/>
    <n v="92049"/>
    <n v="0.28299999999999997"/>
    <n v="0.22600000000000001"/>
    <n v="68"/>
    <x v="1"/>
    <n v="2"/>
    <n v="258267"/>
    <n v="6.7799999999999996E-3"/>
  </r>
  <r>
    <n v="0.71399999999999997"/>
    <n v="107441"/>
    <n v="0.56699999999999995"/>
    <n v="0.191"/>
    <n v="68"/>
    <x v="0"/>
    <n v="9"/>
    <n v="403533"/>
    <n v="1.1999999999999999E-3"/>
  </r>
  <r>
    <n v="0.66100000000000003"/>
    <s v="76.71"/>
    <n v="0.83599999999999997"/>
    <n v="0.753"/>
    <n v="68"/>
    <x v="0"/>
    <n v="7"/>
    <n v="213200"/>
    <n v="2.0799999999999999E-2"/>
  </r>
  <r>
    <n v="0.73299999999999998"/>
    <n v="95107"/>
    <n v="0.88300000000000001"/>
    <n v="0.94599999999999995"/>
    <n v="68"/>
    <x v="0"/>
    <n v="11"/>
    <n v="245000"/>
    <n v="0.161"/>
  </r>
  <r>
    <n v="0.54"/>
    <n v="84115"/>
    <n v="0.77300000000000002"/>
    <n v="0.32200000000000001"/>
    <n v="68"/>
    <x v="1"/>
    <n v="6"/>
    <n v="280000"/>
    <n v="0.371"/>
  </r>
  <r>
    <n v="0.70299999999999996"/>
    <n v="94828"/>
    <n v="0.81299999999999994"/>
    <n v="0.24099999999999999"/>
    <n v="68"/>
    <x v="0"/>
    <n v="11"/>
    <n v="224533"/>
    <n v="0.125"/>
  </r>
  <r>
    <n v="0.66600000000000004"/>
    <n v="96662"/>
    <n v="0.84799999999999998"/>
    <n v="0.74399999999999999"/>
    <n v="68"/>
    <x v="1"/>
    <n v="0"/>
    <n v="251573"/>
    <n v="0.17299999999999999"/>
  </r>
  <r>
    <n v="0.73199999999999998"/>
    <n v="172329"/>
    <n v="0.59799999999999998"/>
    <n v="0.59499999999999997"/>
    <n v="68"/>
    <x v="1"/>
    <n v="4"/>
    <n v="262507"/>
    <n v="0.14399999999999999"/>
  </r>
  <r>
    <n v="0.85799999999999998"/>
    <n v="133615"/>
    <n v="0.503"/>
    <n v="0.41899999999999998"/>
    <n v="68"/>
    <x v="1"/>
    <n v="8"/>
    <n v="208653"/>
    <n v="7.5700000000000003E-3"/>
  </r>
  <r>
    <n v="0.63200000000000001"/>
    <n v="140176"/>
    <n v="0.53100000000000003"/>
    <n v="0.29399999999999998"/>
    <n v="68"/>
    <x v="1"/>
    <n v="6"/>
    <n v="260173"/>
    <n v="0.16"/>
  </r>
  <r>
    <n v="0.69299999999999995"/>
    <n v="87973"/>
    <n v="0.70199999999999996"/>
    <n v="0.57199999999999995"/>
    <n v="68"/>
    <x v="0"/>
    <n v="5"/>
    <n v="233240"/>
    <n v="0.13900000000000001"/>
  </r>
  <r>
    <n v="0.78600000000000003"/>
    <n v="111989"/>
    <n v="0.78100000000000003"/>
    <n v="0.75900000000000001"/>
    <n v="68"/>
    <x v="0"/>
    <n v="6"/>
    <n v="228253"/>
    <n v="0.115"/>
  </r>
  <r>
    <n v="0.80400000000000005"/>
    <n v="110982"/>
    <n v="0.82"/>
    <n v="0.84399999999999997"/>
    <n v="68"/>
    <x v="1"/>
    <n v="9"/>
    <n v="211998"/>
    <n v="0.17499999999999999"/>
  </r>
  <r>
    <n v="0.85599999999999998"/>
    <n v="123031"/>
    <n v="0.748"/>
    <n v="0.92700000000000005"/>
    <n v="68"/>
    <x v="0"/>
    <n v="11"/>
    <n v="189320"/>
    <n v="8.2400000000000001E-2"/>
  </r>
  <r>
    <n v="0.66200000000000003"/>
    <n v="93976"/>
    <n v="0.89200000000000002"/>
    <n v="0.60699999999999998"/>
    <n v="68"/>
    <x v="1"/>
    <n v="8"/>
    <n v="227013"/>
    <n v="0.16900000000000001"/>
  </r>
  <r>
    <n v="0.57599999999999996"/>
    <n v="166162"/>
    <n v="0.77"/>
    <n v="0.36399999999999999"/>
    <n v="68"/>
    <x v="0"/>
    <n v="8"/>
    <n v="127200"/>
    <n v="0.13800000000000001"/>
  </r>
  <r>
    <n v="0.44400000000000001"/>
    <n v="140063"/>
    <n v="0.90600000000000003"/>
    <n v="0.67800000000000005"/>
    <n v="68"/>
    <x v="0"/>
    <n v="4"/>
    <n v="235040"/>
    <n v="0.13600000000000001"/>
  </r>
  <r>
    <n v="0.70099999999999996"/>
    <n v="134039"/>
    <n v="0.71"/>
    <n v="0.56399999999999995"/>
    <n v="68"/>
    <x v="1"/>
    <n v="11"/>
    <n v="219174"/>
    <n v="1.0500000000000001E-2"/>
  </r>
  <r>
    <n v="0.48"/>
    <n v="143029"/>
    <n v="0.84599999999999997"/>
    <n v="0.41899999999999998"/>
    <n v="68"/>
    <x v="0"/>
    <n v="8"/>
    <n v="169532"/>
    <n v="0.26900000000000002"/>
  </r>
  <r>
    <n v="0.65100000000000002"/>
    <n v="67813"/>
    <n v="0.49"/>
    <n v="0.56699999999999995"/>
    <n v="68"/>
    <x v="1"/>
    <n v="11"/>
    <n v="180594"/>
    <n v="0.71399999999999997"/>
  </r>
  <r>
    <n v="0.64"/>
    <n v="112984"/>
    <n v="0.86899999999999999"/>
    <n v="0.53500000000000003"/>
    <n v="68"/>
    <x v="0"/>
    <n v="5"/>
    <n v="172598"/>
    <n v="1.0999999999999999E-2"/>
  </r>
  <r>
    <n v="0.52"/>
    <n v="95865"/>
    <n v="0.57799999999999996"/>
    <n v="0.42499999999999999"/>
    <n v="68"/>
    <x v="0"/>
    <n v="11"/>
    <n v="154579"/>
    <n v="0.55400000000000005"/>
  </r>
  <r>
    <n v="0.84099999999999997"/>
    <n v="147989"/>
    <n v="0.754"/>
    <n v="0.83799999999999997"/>
    <n v="68"/>
    <x v="1"/>
    <n v="2"/>
    <n v="137684"/>
    <n v="0.13600000000000001"/>
  </r>
  <r>
    <n v="0.59499999999999997"/>
    <n v="129786"/>
    <n v="0.51900000000000002"/>
    <n v="0.23699999999999999"/>
    <n v="68"/>
    <x v="1"/>
    <n v="2"/>
    <n v="247067"/>
    <n v="1.5100000000000001E-3"/>
  </r>
  <r>
    <n v="0.48599999999999999"/>
    <n v="119955"/>
    <n v="0.55600000000000005"/>
    <n v="0.24299999999999999"/>
    <n v="68"/>
    <x v="1"/>
    <n v="2"/>
    <n v="236533"/>
    <n v="3.7100000000000001E-2"/>
  </r>
  <r>
    <n v="0.64500000000000002"/>
    <n v="89518"/>
    <n v="0.55200000000000005"/>
    <n v="0.58799999999999997"/>
    <n v="68"/>
    <x v="1"/>
    <n v="7"/>
    <n v="299733"/>
    <n v="1.8699999999999999E-3"/>
  </r>
  <r>
    <n v="0.96399999999999997"/>
    <n v="140817"/>
    <n v="0.44500000000000001"/>
    <n v="0.44800000000000001"/>
    <n v="68"/>
    <x v="1"/>
    <n v="9"/>
    <n v="414720"/>
    <n v="3.6999999999999998E-2"/>
  </r>
  <r>
    <n v="0.89100000000000001"/>
    <n v="92049"/>
    <n v="0.28299999999999997"/>
    <n v="0.22600000000000001"/>
    <n v="68"/>
    <x v="1"/>
    <n v="2"/>
    <n v="258267"/>
    <n v="6.7799999999999996E-3"/>
  </r>
  <r>
    <n v="0.71399999999999997"/>
    <n v="107441"/>
    <n v="0.56699999999999995"/>
    <n v="0.191"/>
    <n v="68"/>
    <x v="0"/>
    <n v="9"/>
    <n v="403533"/>
    <n v="1.1999999999999999E-3"/>
  </r>
  <r>
    <n v="0.82299999999999995"/>
    <n v="87904"/>
    <n v="0.69299999999999995"/>
    <n v="0.74099999999999999"/>
    <n v="68"/>
    <x v="1"/>
    <n v="5"/>
    <n v="196093"/>
    <n v="9.3200000000000005E-2"/>
  </r>
  <r>
    <n v="0.74399999999999999"/>
    <n v="119921"/>
    <n v="0.628"/>
    <n v="0.27700000000000002"/>
    <n v="68"/>
    <x v="1"/>
    <n v="7"/>
    <n v="169397"/>
    <n v="2.5700000000000001E-2"/>
  </r>
  <r>
    <n v="0.873"/>
    <n v="143519"/>
    <n v="0.308"/>
    <n v="0.68600000000000005"/>
    <n v="68"/>
    <x v="1"/>
    <n v="8"/>
    <n v="206587"/>
    <n v="2.2000000000000001E-4"/>
  </r>
  <r>
    <n v="0.98599999999999999"/>
    <n v="165981"/>
    <n v="0.41099999999999998"/>
    <n v="0.64900000000000002"/>
    <n v="68"/>
    <x v="0"/>
    <n v="8"/>
    <n v="205960"/>
    <n v="2.6400000000000002E-4"/>
  </r>
  <r>
    <n v="0.92500000000000004"/>
    <n v="159989"/>
    <n v="0.47199999999999998"/>
    <n v="0.33800000000000002"/>
    <n v="68"/>
    <x v="0"/>
    <n v="6"/>
    <n v="267867"/>
    <n v="3.9399999999999998E-4"/>
  </r>
  <r>
    <n v="0.40200000000000002"/>
    <n v="119873"/>
    <n v="0.65100000000000002"/>
    <n v="0.25800000000000001"/>
    <n v="68"/>
    <x v="1"/>
    <n v="11"/>
    <n v="345600"/>
    <n v="0.63900000000000001"/>
  </r>
  <r>
    <n v="0.26400000000000001"/>
    <n v="99304"/>
    <n v="0.63600000000000001"/>
    <n v="0.26400000000000001"/>
    <n v="68"/>
    <x v="0"/>
    <n v="6"/>
    <n v="238467"/>
    <n v="0.59299999999999997"/>
  </r>
  <r>
    <n v="0.51200000000000001"/>
    <n v="128019"/>
    <n v="0.63400000000000001"/>
    <n v="0.193"/>
    <n v="68"/>
    <x v="1"/>
    <n v="1"/>
    <n v="331240"/>
    <n v="0.114"/>
  </r>
  <r>
    <n v="0.46700000000000003"/>
    <n v="138007"/>
    <n v="0.84499999999999997"/>
    <n v="0.70199999999999996"/>
    <n v="68"/>
    <x v="1"/>
    <n v="1"/>
    <n v="211200"/>
    <n v="5.8599999999999999E-2"/>
  </r>
  <r>
    <n v="0.93200000000000005"/>
    <n v="129473"/>
    <n v="0.52200000000000002"/>
    <n v="0.33"/>
    <n v="68"/>
    <x v="1"/>
    <n v="11"/>
    <n v="299507"/>
    <n v="0.11899999999999999"/>
  </r>
  <r>
    <n v="0.41699999999999998"/>
    <n v="87003"/>
    <n v="0.65400000000000003"/>
    <n v="0.64900000000000002"/>
    <n v="68"/>
    <x v="1"/>
    <n v="11"/>
    <n v="147608"/>
    <n v="0.44600000000000001"/>
  </r>
  <r>
    <n v="0.61099999999999999"/>
    <n v="100024"/>
    <n v="0.85399999999999998"/>
    <n v="0.41699999999999998"/>
    <n v="68"/>
    <x v="0"/>
    <n v="8"/>
    <n v="254400"/>
    <n v="0.223"/>
  </r>
  <r>
    <n v="0.60599999999999998"/>
    <n v="123006"/>
    <n v="0.56699999999999995"/>
    <n v="0.314"/>
    <n v="68"/>
    <x v="0"/>
    <n v="10"/>
    <n v="171785"/>
    <n v="8.0100000000000005E-2"/>
  </r>
  <r>
    <n v="0.68799999999999994"/>
    <n v="127938"/>
    <n v="0.60799999999999998"/>
    <n v="0.214"/>
    <n v="68"/>
    <x v="0"/>
    <n v="5"/>
    <n v="171094"/>
    <n v="5.5399999999999998E-2"/>
  </r>
  <r>
    <n v="0.95099999999999996"/>
    <n v="74973"/>
    <n v="0.77200000000000002"/>
    <n v="0.4"/>
    <n v="68"/>
    <x v="0"/>
    <n v="9"/>
    <n v="152000"/>
    <n v="6.3399999999999998E-2"/>
  </r>
  <r>
    <n v="0.88"/>
    <n v="130085"/>
    <n v="0.58799999999999997"/>
    <n v="0.52300000000000002"/>
    <n v="68"/>
    <x v="1"/>
    <n v="7"/>
    <n v="144649"/>
    <n v="2.4299999999999999E-2"/>
  </r>
  <r>
    <n v="0.83099999999999996"/>
    <n v="126056"/>
    <n v="0.78500000000000003"/>
    <n v="0.67300000000000004"/>
    <n v="68"/>
    <x v="1"/>
    <n v="0"/>
    <n v="170359"/>
    <n v="3.8E-3"/>
  </r>
  <r>
    <n v="0.8"/>
    <n v="119984"/>
    <n v="0.72399999999999998"/>
    <n v="0.92500000000000004"/>
    <n v="68"/>
    <x v="0"/>
    <n v="5"/>
    <n v="227283"/>
    <n v="1.03E-2"/>
  </r>
  <r>
    <n v="0.95299999999999996"/>
    <s v="141.99"/>
    <n v="0.63100000000000001"/>
    <n v="0.42199999999999999"/>
    <n v="68"/>
    <x v="1"/>
    <n v="2"/>
    <n v="273803"/>
    <n v="2.41E-2"/>
  </r>
  <r>
    <n v="0.48299999999999998"/>
    <n v="90941"/>
    <n v="0.73799999999999999"/>
    <n v="0.77400000000000002"/>
    <n v="68"/>
    <x v="1"/>
    <n v="0"/>
    <n v="181307"/>
    <n v="0.46700000000000003"/>
  </r>
  <r>
    <n v="0.80100000000000005"/>
    <n v="93992"/>
    <n v="0.76200000000000001"/>
    <n v="0.81"/>
    <n v="68"/>
    <x v="0"/>
    <n v="1"/>
    <n v="136893"/>
    <n v="0.2"/>
  </r>
  <r>
    <n v="0.69399999999999995"/>
    <s v="90.02"/>
    <n v="0.86899999999999999"/>
    <n v="0.51100000000000001"/>
    <n v="68"/>
    <x v="0"/>
    <n v="1"/>
    <n v="224997"/>
    <n v="0.35599999999999998"/>
  </r>
  <r>
    <n v="0.85799999999999998"/>
    <n v="92523"/>
    <n v="0.627"/>
    <n v="0.34200000000000003"/>
    <n v="68"/>
    <x v="0"/>
    <n v="11"/>
    <n v="209160"/>
    <n v="0.26300000000000001"/>
  </r>
  <r>
    <n v="0.66200000000000003"/>
    <n v="93976"/>
    <n v="0.89200000000000002"/>
    <n v="0.60699999999999998"/>
    <n v="68"/>
    <x v="1"/>
    <n v="8"/>
    <n v="227013"/>
    <n v="0.16900000000000001"/>
  </r>
  <r>
    <n v="0.76900000000000002"/>
    <n v="167969"/>
    <n v="0.77100000000000002"/>
    <n v="0.93100000000000005"/>
    <n v="68"/>
    <x v="0"/>
    <n v="0"/>
    <n v="289899"/>
    <n v="0.18"/>
  </r>
  <r>
    <n v="0.58199999999999996"/>
    <n v="84917"/>
    <n v="0.61499999999999999"/>
    <n v="0.89200000000000002"/>
    <n v="68"/>
    <x v="1"/>
    <n v="6"/>
    <n v="157216"/>
    <n v="0.26900000000000002"/>
  </r>
  <r>
    <n v="0.441"/>
    <n v="135028"/>
    <n v="0.94199999999999995"/>
    <n v="0.92500000000000004"/>
    <n v="68"/>
    <x v="1"/>
    <n v="11"/>
    <n v="144000"/>
    <n v="0.49299999999999999"/>
  </r>
  <r>
    <n v="0.63800000000000001"/>
    <n v="94893"/>
    <n v="0.80900000000000005"/>
    <n v="0.60799999999999998"/>
    <n v="68"/>
    <x v="0"/>
    <n v="8"/>
    <n v="224043"/>
    <n v="0.26200000000000001"/>
  </r>
  <r>
    <n v="0.60399999999999998"/>
    <n v="49305"/>
    <n v="0.58299999999999996"/>
    <n v="0.69099999999999995"/>
    <n v="68"/>
    <x v="1"/>
    <n v="2"/>
    <n v="99907"/>
    <n v="0.73499999999999999"/>
  </r>
  <r>
    <n v="0.64600000000000002"/>
    <n v="176153"/>
    <n v="0.59899999999999998"/>
    <n v="0.63800000000000001"/>
    <n v="68"/>
    <x v="1"/>
    <n v="6"/>
    <n v="220387"/>
    <n v="0.222"/>
  </r>
  <r>
    <n v="0.28299999999999997"/>
    <s v="138.97"/>
    <n v="0.89800000000000002"/>
    <n v="0.46899999999999997"/>
    <n v="68"/>
    <x v="0"/>
    <n v="6"/>
    <n v="216520"/>
    <n v="0.31900000000000001"/>
  </r>
  <r>
    <n v="0.65100000000000002"/>
    <n v="67813"/>
    <n v="0.49"/>
    <n v="0.56699999999999995"/>
    <n v="68"/>
    <x v="1"/>
    <n v="11"/>
    <n v="180594"/>
    <n v="0.71399999999999997"/>
  </r>
  <r>
    <n v="0.503"/>
    <s v="99.97"/>
    <n v="0.79200000000000004"/>
    <n v="0.38100000000000001"/>
    <n v="68"/>
    <x v="1"/>
    <n v="1"/>
    <n v="185093"/>
    <n v="3.6900000000000002E-2"/>
  </r>
  <r>
    <n v="0.501"/>
    <n v="103993"/>
    <n v="0.63700000000000001"/>
    <n v="0.43099999999999999"/>
    <n v="68"/>
    <x v="0"/>
    <n v="0"/>
    <n v="185461"/>
    <n v="0.22900000000000001"/>
  </r>
  <r>
    <n v="0.44900000000000001"/>
    <n v="123969"/>
    <n v="0.32700000000000001"/>
    <n v="0.17899999999999999"/>
    <n v="68"/>
    <x v="1"/>
    <n v="10"/>
    <n v="218755"/>
    <n v="0.36899999999999999"/>
  </r>
  <r>
    <n v="0.11"/>
    <n v="81876"/>
    <n v="0.41499999999999998"/>
    <n v="0.23400000000000001"/>
    <n v="68"/>
    <x v="1"/>
    <n v="1"/>
    <n v="240147"/>
    <n v="0.95099999999999996"/>
  </r>
  <r>
    <n v="9.7199999999999995E-2"/>
    <n v="86686"/>
    <n v="0.443"/>
    <n v="0.28899999999999998"/>
    <n v="68"/>
    <x v="1"/>
    <n v="2"/>
    <n v="100716"/>
    <n v="0.95199999999999996"/>
  </r>
  <r>
    <n v="0.34799999999999998"/>
    <n v="110019"/>
    <n v="0.63100000000000001"/>
    <n v="0.32"/>
    <n v="68"/>
    <x v="1"/>
    <n v="10"/>
    <n v="232992"/>
    <n v="0.92600000000000005"/>
  </r>
  <r>
    <n v="0.55000000000000004"/>
    <s v="124.13"/>
    <n v="0.629"/>
    <n v="0.154"/>
    <n v="68"/>
    <x v="1"/>
    <n v="0"/>
    <n v="189487"/>
    <n v="0.152"/>
  </r>
  <r>
    <n v="0.76"/>
    <n v="130096"/>
    <n v="0.51200000000000001"/>
    <n v="0.495"/>
    <n v="68"/>
    <x v="0"/>
    <n v="2"/>
    <n v="210928"/>
    <n v="0.29899999999999999"/>
  </r>
  <r>
    <n v="0.60599999999999998"/>
    <n v="175917"/>
    <n v="0.65600000000000003"/>
    <n v="0.38"/>
    <n v="68"/>
    <x v="1"/>
    <n v="9"/>
    <n v="175909"/>
    <n v="0.33500000000000002"/>
  </r>
  <r>
    <n v="0.70199999999999996"/>
    <n v="180219"/>
    <n v="0.71099999999999997"/>
    <n v="0.67400000000000004"/>
    <n v="68"/>
    <x v="1"/>
    <n v="5"/>
    <n v="148188"/>
    <n v="4.8700000000000002E-3"/>
  </r>
  <r>
    <n v="0.68400000000000005"/>
    <n v="100042"/>
    <n v="0.76900000000000002"/>
    <n v="0.48299999999999998"/>
    <n v="68"/>
    <x v="0"/>
    <n v="10"/>
    <n v="161000"/>
    <n v="9.7699999999999995E-2"/>
  </r>
  <r>
    <n v="0.66100000000000003"/>
    <s v="76.71"/>
    <n v="0.83599999999999997"/>
    <n v="0.753"/>
    <n v="68"/>
    <x v="0"/>
    <n v="7"/>
    <n v="213200"/>
    <n v="2.0799999999999999E-2"/>
  </r>
  <r>
    <n v="0.78200000000000003"/>
    <n v="119992"/>
    <n v="0.72699999999999998"/>
    <n v="0.65500000000000003"/>
    <n v="68"/>
    <x v="0"/>
    <n v="8"/>
    <n v="177599"/>
    <n v="5.6300000000000003E-2"/>
  </r>
  <r>
    <n v="0.879"/>
    <n v="123004"/>
    <n v="0.74099999999999999"/>
    <n v="0.36199999999999999"/>
    <n v="68"/>
    <x v="0"/>
    <n v="1"/>
    <n v="201713"/>
    <n v="8.4099999999999994E-2"/>
  </r>
  <r>
    <n v="0.754"/>
    <n v="170084"/>
    <n v="0.56399999999999995"/>
    <n v="0.45700000000000002"/>
    <n v="68"/>
    <x v="1"/>
    <n v="8"/>
    <n v="212939"/>
    <n v="4.24E-2"/>
  </r>
  <r>
    <n v="0.71499999999999997"/>
    <n v="84098"/>
    <n v="0.48699999999999999"/>
    <n v="0.63800000000000001"/>
    <n v="68"/>
    <x v="1"/>
    <n v="7"/>
    <n v="238133"/>
    <n v="0.29399999999999998"/>
  </r>
  <r>
    <n v="0.65900000000000003"/>
    <n v="106196"/>
    <n v="0.64800000000000002"/>
    <n v="0.53200000000000003"/>
    <n v="68"/>
    <x v="1"/>
    <n v="2"/>
    <n v="206133"/>
    <n v="0.115"/>
  </r>
  <r>
    <n v="0.85"/>
    <n v="125796"/>
    <n v="0.374"/>
    <n v="0.34799999999999998"/>
    <n v="68"/>
    <x v="0"/>
    <n v="4"/>
    <n v="253187"/>
    <n v="9.0399999999999994E-2"/>
  </r>
  <r>
    <n v="0.35799999999999998"/>
    <n v="145751"/>
    <n v="0.71499999999999997"/>
    <n v="0.74199999999999999"/>
    <n v="68"/>
    <x v="1"/>
    <n v="5"/>
    <n v="254267"/>
    <n v="0.74299999999999999"/>
  </r>
  <r>
    <n v="0.63100000000000001"/>
    <n v="112481"/>
    <n v="0.78100000000000003"/>
    <n v="0.90900000000000003"/>
    <n v="68"/>
    <x v="1"/>
    <n v="2"/>
    <n v="225080"/>
    <n v="5.33E-2"/>
  </r>
  <r>
    <n v="0.79700000000000004"/>
    <n v="97988"/>
    <n v="0.81100000000000005"/>
    <n v="0.54100000000000004"/>
    <n v="68"/>
    <x v="1"/>
    <n v="5"/>
    <n v="171133"/>
    <n v="6.1699999999999998E-2"/>
  </r>
  <r>
    <n v="0.80700000000000005"/>
    <n v="155397"/>
    <n v="0.52500000000000002"/>
    <n v="0.74099999999999999"/>
    <n v="68"/>
    <x v="0"/>
    <n v="2"/>
    <n v="215933"/>
    <n v="0.251"/>
  </r>
  <r>
    <n v="0.63800000000000001"/>
    <s v="109.96"/>
    <n v="0.70099999999999996"/>
    <n v="0.64600000000000002"/>
    <n v="68"/>
    <x v="0"/>
    <n v="5"/>
    <n v="210933"/>
    <n v="0.223"/>
  </r>
  <r>
    <n v="0.71699999999999997"/>
    <n v="117952"/>
    <n v="0.753"/>
    <n v="0.60099999999999998"/>
    <n v="68"/>
    <x v="0"/>
    <n v="1"/>
    <n v="146441"/>
    <n v="0.151"/>
  </r>
  <r>
    <n v="0.66400000000000003"/>
    <n v="118018"/>
    <n v="0.73099999999999998"/>
    <n v="0.66100000000000003"/>
    <n v="68"/>
    <x v="1"/>
    <n v="0"/>
    <n v="239267"/>
    <n v="3.0699999999999998E-3"/>
  </r>
  <r>
    <n v="0.503"/>
    <s v="99.97"/>
    <n v="0.79200000000000004"/>
    <n v="0.38100000000000001"/>
    <n v="68"/>
    <x v="1"/>
    <n v="1"/>
    <n v="185093"/>
    <n v="3.6900000000000002E-2"/>
  </r>
  <r>
    <n v="0.501"/>
    <n v="103993"/>
    <n v="0.63700000000000001"/>
    <n v="0.43099999999999999"/>
    <n v="68"/>
    <x v="0"/>
    <n v="0"/>
    <n v="185461"/>
    <n v="0.22900000000000001"/>
  </r>
  <r>
    <n v="0.48499999999999999"/>
    <n v="100053"/>
    <n v="0.84299999999999997"/>
    <n v="0.68899999999999995"/>
    <n v="68"/>
    <x v="0"/>
    <n v="10"/>
    <n v="192418"/>
    <n v="0.18099999999999999"/>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76">
  <r>
    <n v="0.81399999999999995"/>
    <n v="93"/>
    <n v="0.68300000000000005"/>
    <x v="0"/>
    <n v="0.75800000000000001"/>
    <s v="Tyla"/>
    <n v="78"/>
    <s v="Afro Hits"/>
    <s v="PUSH 2 START"/>
    <d v="2024-10-11T00:00:00"/>
    <n v="1"/>
    <n v="2"/>
    <n v="2.6"/>
    <n v="0.27700000000000002"/>
    <x v="0"/>
  </r>
  <r>
    <n v="0.64800000000000002"/>
    <n v="93"/>
    <n v="0.73699999999999999"/>
    <x v="0"/>
    <n v="0.746"/>
    <s v="Wizkid, Brent Faiyaz"/>
    <n v="77"/>
    <s v="African Heat"/>
    <s v="Piece of My Heart (feat. Brent Faiyaz)"/>
    <d v="2024-10-18T00:00:00"/>
    <n v="1"/>
    <n v="1"/>
    <n v="4.3166666666666664"/>
    <n v="0.252"/>
    <x v="1"/>
  </r>
  <r>
    <n v="0.79200000000000004"/>
    <n v="113"/>
    <n v="0.749"/>
    <x v="0"/>
    <n v="0.90300000000000002"/>
    <s v="Davido, YG Marley"/>
    <n v="76"/>
    <s v="African Heat"/>
    <s v="Awuke"/>
    <d v="2024-10-31T00:00:00"/>
    <n v="1"/>
    <n v="5"/>
    <n v="2.8666666666666667"/>
    <n v="0.308"/>
    <x v="1"/>
  </r>
  <r>
    <n v="0.874"/>
    <n v="118"/>
    <n v="0.77400000000000002"/>
    <x v="0"/>
    <n v="0.92700000000000005"/>
    <s v="Wizkid"/>
    <n v="75"/>
    <s v="Afro Hits"/>
    <s v="Kese (Dance)"/>
    <d v="2024-11-15T00:00:00"/>
    <n v="0"/>
    <n v="5"/>
    <n v="2.9"/>
    <n v="0.14199999999999999"/>
    <x v="0"/>
  </r>
  <r>
    <n v="0.63400000000000001"/>
    <n v="101"/>
    <n v="0.502"/>
    <x v="0"/>
    <n v="0.64500000000000002"/>
    <s v="Asake, Wizkid"/>
    <n v="72"/>
    <s v="African Heat"/>
    <s v="MMS"/>
    <d v="2024-08-08T00:00:00"/>
    <n v="0"/>
    <n v="8"/>
    <n v="3.65"/>
    <n v="0.67700000000000005"/>
    <x v="1"/>
  </r>
  <r>
    <n v="0.68300000000000005"/>
    <n v="145"/>
    <n v="0.501"/>
    <x v="0"/>
    <n v="0.623"/>
    <s v="Bnxn, Rema"/>
    <n v="71"/>
    <s v="Afro Hits"/>
    <s v="Fi Kan We Kan"/>
    <d v="2024-10-15T00:00:00"/>
    <n v="0"/>
    <n v="6"/>
    <n v="2.6833333333333331"/>
    <n v="0.109"/>
    <x v="0"/>
  </r>
  <r>
    <n v="0.71899999999999997"/>
    <n v="113"/>
    <n v="0.89700000000000002"/>
    <x v="0"/>
    <n v="0.54600000000000004"/>
    <s v="Smur Lee, ODUMODUBLVCK, Shallipopi"/>
    <n v="71"/>
    <s v="African Heat"/>
    <s v="JUJU (feat. Shallipopi)"/>
    <d v="2024-08-22T00:00:00"/>
    <n v="0"/>
    <n v="6"/>
    <n v="2.6166666666666667"/>
    <n v="0.11600000000000001"/>
    <x v="1"/>
  </r>
  <r>
    <n v="0.81899999999999995"/>
    <n v="110"/>
    <n v="0.72599999999999998"/>
    <x v="0"/>
    <n v="0.63600000000000001"/>
    <s v="Young Jonn"/>
    <n v="70"/>
    <s v="African Heat"/>
    <s v="Stronger"/>
    <d v="2024-04-12T00:00:00"/>
    <n v="1"/>
    <n v="8"/>
    <n v="2.35"/>
    <n v="0.47699999999999998"/>
    <x v="1"/>
  </r>
  <r>
    <n v="0.52900000000000003"/>
    <n v="112"/>
    <n v="0.78200000000000003"/>
    <x v="0"/>
    <n v="0.44"/>
    <s v="Ayo Maff"/>
    <n v="69"/>
    <s v="African Heat"/>
    <s v="Are you there?"/>
    <d v="2024-08-15T00:00:00"/>
    <n v="1"/>
    <n v="0"/>
    <n v="2.6"/>
    <n v="0.50900000000000001"/>
    <x v="1"/>
  </r>
  <r>
    <n v="0.65100000000000002"/>
    <n v="67"/>
    <n v="0.49"/>
    <x v="0"/>
    <n v="0.56699999999999995"/>
    <s v="Ayo Maff, Fireboy DML"/>
    <n v="68"/>
    <s v="African Heat"/>
    <s v="Dealer"/>
    <d v="2024-04-16T00:00:00"/>
    <n v="1"/>
    <n v="11"/>
    <n v="3"/>
    <n v="0.71399999999999997"/>
    <x v="1"/>
  </r>
  <r>
    <n v="0.81200000000000006"/>
    <n v="100"/>
    <n v="0.45500000000000002"/>
    <x v="0"/>
    <n v="0.82299999999999995"/>
    <s v="Darkoo, Rema"/>
    <n v="68"/>
    <s v="Afro Hits"/>
    <s v="Favourite Girl (with Rema)"/>
    <d v="2024-08-08T00:00:00"/>
    <n v="1"/>
    <n v="8"/>
    <n v="3.0666666666666669"/>
    <n v="0.372"/>
    <x v="0"/>
  </r>
  <r>
    <n v="0.52"/>
    <n v="958"/>
    <n v="0.57799999999999996"/>
    <x v="0"/>
    <n v="0.42499999999999999"/>
    <s v="FOLA, Bnxn"/>
    <n v="68"/>
    <s v="African Heat"/>
    <s v="alone - Remix"/>
    <d v="2024-10-04T00:00:00"/>
    <n v="0"/>
    <n v="11"/>
    <n v="2.5666666666666669"/>
    <n v="0.55400000000000005"/>
    <x v="1"/>
  </r>
  <r>
    <n v="0.70499999999999996"/>
    <n v="197"/>
    <n v="0.374"/>
    <x v="0"/>
    <n v="0.71799999999999997"/>
    <s v="Hyce, BoyPee, Brown Joel"/>
    <n v="68"/>
    <s v="African Heat"/>
    <s v="Constantly"/>
    <d v="2024-08-28T00:00:00"/>
    <n v="1"/>
    <n v="11"/>
    <n v="3.2166666666666668"/>
    <n v="0.17199999999999999"/>
    <x v="1"/>
  </r>
  <r>
    <n v="0.84099999999999997"/>
    <n v="147"/>
    <n v="0.754"/>
    <x v="0"/>
    <n v="0.83799999999999997"/>
    <s v="Rema"/>
    <n v="68"/>
    <s v="African Heat"/>
    <s v="OZEBA"/>
    <d v="2024-07-10T00:00:00"/>
    <n v="1"/>
    <n v="2"/>
    <n v="2.2833333333333332"/>
    <n v="0.13600000000000001"/>
    <x v="1"/>
  </r>
  <r>
    <n v="0.63700000000000001"/>
    <n v="171"/>
    <n v="0.56699999999999995"/>
    <x v="0"/>
    <n v="0.88200000000000001"/>
    <s v="Youka"/>
    <n v="68"/>
    <s v="Afro Hits"/>
    <s v="Hm Hm hm"/>
    <d v="2024-07-05T00:00:00"/>
    <n v="0"/>
    <n v="9"/>
    <n v="2.1833333333333331"/>
    <n v="0.499"/>
    <x v="0"/>
  </r>
  <r>
    <n v="0.308"/>
    <n v="113"/>
    <n v="0.504"/>
    <x v="1"/>
    <n v="0.121"/>
    <s v="Mitski"/>
    <n v="88"/>
    <s v="Dark Academia"/>
    <s v="My Love Mine All Mine"/>
    <d v="2023-09-15T00:00:00"/>
    <n v="1"/>
    <n v="9"/>
    <n v="2.2833333333333332"/>
    <n v="0.86799999999999999"/>
    <x v="2"/>
  </r>
  <r>
    <n v="0.46800000000000003"/>
    <n v="944"/>
    <n v="0.36899999999999999"/>
    <x v="1"/>
    <n v="0.18"/>
    <s v="Cigarettes After Sex"/>
    <n v="87"/>
    <s v="Dark Academia"/>
    <s v="Apocalypse"/>
    <d v="2017-06-09T00:00:00"/>
    <n v="1"/>
    <n v="5"/>
    <n v="4.833333333333333"/>
    <n v="2.0500000000000001E-2"/>
    <x v="2"/>
  </r>
  <r>
    <n v="0.26800000000000002"/>
    <n v="102"/>
    <n v="0.371"/>
    <x v="1"/>
    <n v="0.16500000000000001"/>
    <s v="Coldplay"/>
    <n v="85"/>
    <s v="Dark Academia"/>
    <s v="Sparks"/>
    <d v="2000-07-10T00:00:00"/>
    <n v="1"/>
    <n v="1"/>
    <n v="3.7833333333333332"/>
    <n v="0.748"/>
    <x v="2"/>
  </r>
  <r>
    <n v="0.42499999999999999"/>
    <n v="102"/>
    <n v="0.35699999999999998"/>
    <x v="1"/>
    <n v="0.27"/>
    <s v="Conan Gray"/>
    <n v="83"/>
    <s v="Dark Academia"/>
    <s v="Heather"/>
    <d v="2020-03-20T00:00:00"/>
    <n v="1"/>
    <n v="5"/>
    <n v="3.3"/>
    <n v="0.58399999999999996"/>
    <x v="2"/>
  </r>
  <r>
    <n v="0.41599999999999998"/>
    <n v="113"/>
    <n v="0.32400000000000001"/>
    <x v="1"/>
    <n v="0.151"/>
    <s v="Lana Del Rey"/>
    <n v="83"/>
    <s v="Dark Academia"/>
    <s v="Young And Beautiful"/>
    <d v="2013-01-01T00:00:00"/>
    <n v="0"/>
    <n v="11"/>
    <n v="3.9333333333333331"/>
    <n v="0.26200000000000001"/>
    <x v="2"/>
  </r>
  <r>
    <n v="0.58099999999999996"/>
    <n v="130"/>
    <n v="0.61299999999999999"/>
    <x v="1"/>
    <n v="0.55100000000000005"/>
    <s v="Taylor Swift"/>
    <n v="83"/>
    <s v="Dark Academia"/>
    <s v="cardigan"/>
    <d v="2020-07-24T00:00:00"/>
    <n v="0"/>
    <n v="0"/>
    <n v="3.9833333333333334"/>
    <n v="0.53700000000000003"/>
    <x v="2"/>
  </r>
  <r>
    <n v="0.64200000000000002"/>
    <n v="833"/>
    <n v="0.46300000000000002"/>
    <x v="1"/>
    <n v="0.33900000000000002"/>
    <s v="Future, Drake, Tems"/>
    <n v="82"/>
    <s v="Meditative Vibes"/>
    <s v="WAIT FOR U (feat. Drake &amp; Tems)"/>
    <d v="2022-04-29T00:00:00"/>
    <n v="1"/>
    <n v="1"/>
    <n v="3.15"/>
    <n v="0.314"/>
    <x v="3"/>
  </r>
  <r>
    <n v="0.66400000000000003"/>
    <n v="129"/>
    <n v="0.57499999999999996"/>
    <x v="1"/>
    <n v="0.437"/>
    <s v="Hozier"/>
    <n v="81"/>
    <s v="Dark Academia"/>
    <s v="Take Me To Church"/>
    <d v="2014-09-19T00:00:00"/>
    <n v="0"/>
    <n v="4"/>
    <n v="4.0166666666666666"/>
    <n v="0.63700000000000001"/>
    <x v="2"/>
  </r>
  <r>
    <n v="0.129"/>
    <n v="137"/>
    <n v="0.48299999999999998"/>
    <x v="1"/>
    <n v="0.20300000000000001"/>
    <s v="Liana Flores"/>
    <n v="81"/>
    <s v="Dark Academia"/>
    <s v="rises the moon"/>
    <d v="2019-04-10T00:00:00"/>
    <n v="0"/>
    <n v="5"/>
    <n v="2.6833333333333331"/>
    <n v="0.94699999999999995"/>
    <x v="2"/>
  </r>
  <r>
    <n v="0.66400000000000003"/>
    <n v="107"/>
    <n v="0.40400000000000003"/>
    <x v="1"/>
    <n v="9.4899999999999998E-2"/>
    <s v="Lana Del Rey"/>
    <n v="80"/>
    <s v="Dark Academia"/>
    <s v="Brooklyn Baby"/>
    <d v="2014-01-01T00:00:00"/>
    <n v="1"/>
    <n v="1"/>
    <n v="5.85"/>
    <n v="0.54200000000000004"/>
    <x v="2"/>
  </r>
  <r>
    <n v="0.32200000000000001"/>
    <n v="148"/>
    <n v="0.51600000000000001"/>
    <x v="1"/>
    <n v="0.26100000000000001"/>
    <s v="Lizzy McAlpine"/>
    <n v="80"/>
    <s v="Dark Academia"/>
    <s v="ceilings"/>
    <d v="2022-04-08T00:00:00"/>
    <n v="1"/>
    <n v="9"/>
    <n v="3.0333333333333332"/>
    <n v="0.47299999999999998"/>
    <x v="2"/>
  </r>
  <r>
    <n v="0.68100000000000005"/>
    <n v="139"/>
    <n v="0.91800000000000004"/>
    <x v="1"/>
    <n v="0.70599999999999996"/>
    <s v="Dave, Central Cee"/>
    <n v="79"/>
    <s v="Meditative Vibes"/>
    <s v="Sprinter"/>
    <d v="2023-06-01T00:00:00"/>
    <n v="1"/>
    <n v="1"/>
    <n v="3.8166666666666669"/>
    <n v="0.26300000000000001"/>
    <x v="3"/>
  </r>
  <r>
    <n v="0.27600000000000002"/>
    <n v="201"/>
    <n v="0.33400000000000002"/>
    <x v="1"/>
    <n v="0.42899999999999999"/>
    <s v="Lana Del Rey"/>
    <n v="79"/>
    <s v="Dark Academia"/>
    <s v="Chemtrails Over The Country Club"/>
    <d v="2021-03-19T00:00:00"/>
    <n v="0"/>
    <n v="4"/>
    <n v="4.5166666666666666"/>
    <n v="0.877"/>
    <x v="2"/>
  </r>
  <r>
    <n v="0.245"/>
    <n v="103"/>
    <n v="0.34"/>
    <x v="1"/>
    <n v="0.192"/>
    <s v="Lana Del Rey, Bleachers"/>
    <n v="78"/>
    <s v="Dark Academia"/>
    <s v="Margaret (feat. Bleachers)"/>
    <d v="2023-03-24T00:00:00"/>
    <n v="1"/>
    <n v="9"/>
    <n v="5.65"/>
    <n v="0.96899999999999997"/>
    <x v="2"/>
  </r>
  <r>
    <n v="0.40699999999999997"/>
    <n v="117"/>
    <n v="0.45700000000000002"/>
    <x v="1"/>
    <n v="0.126"/>
    <s v="Novo Amor"/>
    <n v="78"/>
    <s v="Dark Academia"/>
    <s v="Anchor"/>
    <d v="2017-05-26T00:00:00"/>
    <n v="1"/>
    <n v="9"/>
    <n v="4.2833333333333332"/>
    <n v="0.80500000000000005"/>
    <x v="2"/>
  </r>
  <r>
    <n v="0.39400000000000002"/>
    <n v="961"/>
    <n v="0.42099999999999999"/>
    <x v="1"/>
    <n v="0.39900000000000002"/>
    <s v="Rio Romeo"/>
    <n v="78"/>
    <s v="Dark Academia"/>
    <s v="Nothing's New"/>
    <d v="2022-09-23T00:00:00"/>
    <n v="1"/>
    <n v="11"/>
    <n v="3.5166666666666666"/>
    <n v="0.86299999999999999"/>
    <x v="2"/>
  </r>
  <r>
    <n v="0.36299999999999999"/>
    <n v="121"/>
    <n v="0.53100000000000003"/>
    <x v="1"/>
    <n v="0.25900000000000001"/>
    <s v="Hozier"/>
    <n v="77"/>
    <s v="Dark Academia"/>
    <s v="Work Song"/>
    <d v="2014-09-19T00:00:00"/>
    <n v="1"/>
    <n v="10"/>
    <n v="3.8166666666666669"/>
    <n v="0.749"/>
    <x v="2"/>
  </r>
  <r>
    <n v="0.04"/>
    <n v="135"/>
    <n v="0.44"/>
    <x v="1"/>
    <n v="0.249"/>
    <s v="Tom Rosenthal"/>
    <n v="77"/>
    <s v="Dark Academia"/>
    <s v="Lights Are On"/>
    <d v="2018-10-26T00:00:00"/>
    <n v="1"/>
    <n v="3"/>
    <n v="3.2166666666666668"/>
    <n v="0.98099999999999998"/>
    <x v="2"/>
  </r>
  <r>
    <n v="0.64800000000000002"/>
    <n v="932"/>
    <n v="0.73699999999999999"/>
    <x v="1"/>
    <n v="0.746"/>
    <s v="Wizkid, Brent Faiyaz"/>
    <n v="77"/>
    <s v="Meditative Vibes"/>
    <s v="Piece of My Heart (feat. Brent Faiyaz)"/>
    <d v="2024-10-18T00:00:00"/>
    <n v="1"/>
    <n v="1"/>
    <n v="4.3166666666666664"/>
    <n v="0.252"/>
    <x v="3"/>
  </r>
  <r>
    <n v="0.33800000000000002"/>
    <n v="133"/>
    <n v="0.40799999999999997"/>
    <x v="1"/>
    <n v="0.1"/>
    <s v="Chance Pei±a"/>
    <n v="76"/>
    <s v="Dark Academia"/>
    <s v="In My Room"/>
    <d v="2022-05-06T00:00:00"/>
    <n v="1"/>
    <n v="4"/>
    <n v="2.95"/>
    <n v="0.52100000000000002"/>
    <x v="2"/>
  </r>
  <r>
    <n v="0.159"/>
    <n v="723"/>
    <n v="0.40300000000000002"/>
    <x v="1"/>
    <n v="3.8100000000000002E-2"/>
    <s v="Billie Eilish"/>
    <n v="75"/>
    <s v="Dark Academia"/>
    <s v="Halley's Comet"/>
    <d v="2021-07-30T00:00:00"/>
    <n v="0"/>
    <n v="1"/>
    <n v="3.9"/>
    <n v="0.96099999999999997"/>
    <x v="2"/>
  </r>
  <r>
    <n v="0.27700000000000002"/>
    <n v="159"/>
    <n v="0.32900000000000001"/>
    <x v="1"/>
    <n v="0.121"/>
    <s v="Bon Iver, St. Vincent"/>
    <n v="75"/>
    <s v="Dark Academia"/>
    <s v="Rosyln"/>
    <d v="2009-10-16T00:00:00"/>
    <n v="0"/>
    <n v="10"/>
    <n v="4.8166666666666664"/>
    <n v="0.97099999999999997"/>
    <x v="2"/>
  </r>
  <r>
    <n v="0.36699999999999999"/>
    <n v="779"/>
    <n v="0.39500000000000002"/>
    <x v="1"/>
    <n v="0.42599999999999999"/>
    <s v="Olivia Rodrigo"/>
    <n v="75"/>
    <s v="Dark Academia"/>
    <s v="lacy"/>
    <d v="2023-09-08T00:00:00"/>
    <n v="1"/>
    <n v="3"/>
    <n v="2.95"/>
    <n v="0.81499999999999995"/>
    <x v="2"/>
  </r>
  <r>
    <n v="0.28899999999999998"/>
    <n v="129"/>
    <n v="0.53100000000000003"/>
    <x v="1"/>
    <n v="0.12"/>
    <s v="Phoebe Bridgers"/>
    <n v="75"/>
    <s v="Dark Academia"/>
    <s v="Waiting Room"/>
    <d v="2016-08-12T00:00:00"/>
    <n v="1"/>
    <n v="2"/>
    <n v="6.55"/>
    <n v="0.33900000000000002"/>
    <x v="2"/>
  </r>
  <r>
    <n v="5.6099999999999997E-2"/>
    <n v="797"/>
    <n v="0.31900000000000001"/>
    <x v="1"/>
    <n v="8.2000000000000003E-2"/>
    <s v="Billie Eilish"/>
    <n v="74"/>
    <s v="Dark Academia"/>
    <s v="listen before i go"/>
    <d v="2019-03-29T00:00:00"/>
    <n v="1"/>
    <n v="0"/>
    <n v="4.0333333333333332"/>
    <n v="0.93500000000000005"/>
    <x v="2"/>
  </r>
  <r>
    <n v="0.52600000000000002"/>
    <n v="130"/>
    <n v="0.52100000000000002"/>
    <x v="1"/>
    <n v="0.502"/>
    <s v="Hozier"/>
    <n v="74"/>
    <s v="Dark Academia"/>
    <s v="Would That I"/>
    <d v="2019-03-01T00:00:00"/>
    <n v="1"/>
    <n v="5"/>
    <n v="4.4666666666666668"/>
    <n v="0.24299999999999999"/>
    <x v="2"/>
  </r>
  <r>
    <n v="0.496"/>
    <n v="109"/>
    <n v="0.81200000000000006"/>
    <x v="1"/>
    <n v="0.55000000000000004"/>
    <s v="Dave, Burna Boy"/>
    <n v="73"/>
    <s v="Meditative Vibes"/>
    <s v="Location (feat. Burna Boy)"/>
    <d v="2019-03-08T00:00:00"/>
    <n v="0"/>
    <n v="9"/>
    <n v="4.0166666666666666"/>
    <n v="0.27100000000000002"/>
    <x v="3"/>
  </r>
  <r>
    <n v="0.48299999999999998"/>
    <n v="144"/>
    <n v="0.61699999999999999"/>
    <x v="1"/>
    <n v="0.17599999999999999"/>
    <s v="Gracie Abrams"/>
    <n v="73"/>
    <s v="Dark Academia"/>
    <s v="Feels Like"/>
    <d v="2021-11-12T00:00:00"/>
    <n v="1"/>
    <n v="11"/>
    <n v="2.5333333333333332"/>
    <n v="0.70199999999999996"/>
    <x v="2"/>
  </r>
  <r>
    <n v="0.11899999999999999"/>
    <n v="704"/>
    <n v="0.46700000000000003"/>
    <x v="1"/>
    <n v="0.156"/>
    <s v="Lana Del Rey"/>
    <n v="73"/>
    <s v="Dark Academia"/>
    <s v="Happiness is a butterfly"/>
    <d v="2019-08-30T00:00:00"/>
    <n v="1"/>
    <n v="2"/>
    <n v="4.5333333333333332"/>
    <n v="0.96899999999999997"/>
    <x v="2"/>
  </r>
  <r>
    <n v="0.31"/>
    <n v="137"/>
    <n v="0.50900000000000001"/>
    <x v="1"/>
    <n v="0.151"/>
    <s v="Novo Amor"/>
    <n v="73"/>
    <s v="Dark Academia"/>
    <s v="State Lines"/>
    <d v="2018-10-19T00:00:00"/>
    <n v="1"/>
    <n v="9"/>
    <n v="3.4666666666666668"/>
    <n v="0.95899999999999996"/>
    <x v="2"/>
  </r>
  <r>
    <n v="0.63400000000000001"/>
    <n v="101"/>
    <n v="0.502"/>
    <x v="1"/>
    <n v="0.64500000000000002"/>
    <s v="Asake, Wizkid"/>
    <n v="72"/>
    <s v="Meditative Vibes"/>
    <s v="MMS"/>
    <d v="2024-08-08T00:00:00"/>
    <n v="0"/>
    <n v="8"/>
    <n v="3.65"/>
    <n v="0.67700000000000005"/>
    <x v="3"/>
  </r>
  <r>
    <n v="0.13500000000000001"/>
    <n v="829"/>
    <n v="0.38700000000000001"/>
    <x v="1"/>
    <n v="0.21"/>
    <s v="Billie Eilish"/>
    <n v="72"/>
    <s v="Dark Academia"/>
    <s v="The 30th"/>
    <d v="2022-07-21T00:00:00"/>
    <n v="1"/>
    <n v="7"/>
    <n v="3.6"/>
    <n v="0.92900000000000005"/>
    <x v="2"/>
  </r>
  <r>
    <n v="0.34300000000000003"/>
    <n v="145"/>
    <n v="0.47399999999999998"/>
    <x v="1"/>
    <n v="0.152"/>
    <s v="Conan Gray"/>
    <n v="72"/>
    <s v="Dark Academia"/>
    <s v="Astronomy"/>
    <d v="2022-06-24T00:00:00"/>
    <n v="0"/>
    <n v="4"/>
    <n v="4.05"/>
    <n v="0.57799999999999996"/>
    <x v="2"/>
  </r>
  <r>
    <n v="0.17899999999999999"/>
    <n v="140"/>
    <n v="0.53900000000000003"/>
    <x v="1"/>
    <n v="0.14499999999999999"/>
    <s v="Hozier"/>
    <n v="72"/>
    <s v="Dark Academia"/>
    <s v="Like Real People Do"/>
    <d v="2014-09-19T00:00:00"/>
    <n v="1"/>
    <n v="7"/>
    <n v="3.3"/>
    <n v="0.92100000000000004"/>
    <x v="2"/>
  </r>
  <r>
    <n v="0.34699999999999998"/>
    <n v="141"/>
    <n v="0.40899999999999997"/>
    <x v="1"/>
    <n v="0.19900000000000001"/>
    <s v="Olivia Rodrigo"/>
    <n v="72"/>
    <s v="Dark Academia"/>
    <s v="Can‚Äôt Catch Me Now - from The Hunger Games: The Ballad of Songbirds &amp; Snakes"/>
    <d v="2023-11-17T00:00:00"/>
    <n v="0"/>
    <n v="11"/>
    <n v="3.4166666666666665"/>
    <n v="0.83399999999999996"/>
    <x v="2"/>
  </r>
  <r>
    <n v="1.6100000000000001E-3"/>
    <n v="140"/>
    <n v="0.13800000000000001"/>
    <x v="1"/>
    <n v="0.155"/>
    <s v="Somnum Magnam"/>
    <n v="72"/>
    <s v="Ambient Chill"/>
    <s v="Touches"/>
    <d v="2024-01-19T00:00:00"/>
    <n v="1"/>
    <n v="5"/>
    <n v="2.4"/>
    <n v="0.97699999999999998"/>
    <x v="4"/>
  </r>
  <r>
    <n v="0.22500000000000001"/>
    <n v="104"/>
    <n v="0.55400000000000005"/>
    <x v="1"/>
    <n v="0.221"/>
    <s v="SYML"/>
    <n v="72"/>
    <s v="Dark Academia"/>
    <s v="Where's My Love - Acoustic"/>
    <d v="2017-07-07T00:00:00"/>
    <n v="1"/>
    <n v="3"/>
    <n v="3.9833333333333334"/>
    <n v="0.89200000000000002"/>
    <x v="2"/>
  </r>
  <r>
    <n v="0.46300000000000002"/>
    <n v="125"/>
    <n v="0.56200000000000006"/>
    <x v="1"/>
    <n v="0.41599999999999998"/>
    <s v="Tems"/>
    <n v="72"/>
    <s v="Meditative Vibes"/>
    <s v="Free Mind"/>
    <d v="2020-09-25T00:00:00"/>
    <n v="1"/>
    <n v="6"/>
    <n v="4.1166666666666663"/>
    <n v="0.442"/>
    <x v="3"/>
  </r>
  <r>
    <n v="0.58099999999999996"/>
    <n v="102"/>
    <n v="0.60899999999999999"/>
    <x v="1"/>
    <n v="0.52800000000000002"/>
    <s v="Tems"/>
    <n v="72"/>
    <s v="Meditative Vibes"/>
    <s v="Higher"/>
    <d v="2020-09-25T00:00:00"/>
    <n v="1"/>
    <n v="2"/>
    <n v="3.2666666666666666"/>
    <n v="0.50900000000000001"/>
    <x v="3"/>
  </r>
  <r>
    <n v="0.75600000000000001"/>
    <n v="105"/>
    <n v="0.71899999999999997"/>
    <x v="1"/>
    <n v="0.64700000000000002"/>
    <s v="Victony, Rema, Tempoe, Don Toliver"/>
    <n v="72"/>
    <s v="Meditative Vibes"/>
    <s v="Soweto (with Don Toliver, Rema &amp; Tempoe)"/>
    <d v="2023-03-22T00:00:00"/>
    <n v="0"/>
    <n v="5"/>
    <n v="3.65"/>
    <n v="5.4100000000000002E-2"/>
    <x v="3"/>
  </r>
  <r>
    <n v="0.42199999999999999"/>
    <n v="144"/>
    <n v="0.71799999999999997"/>
    <x v="1"/>
    <n v="0.45500000000000002"/>
    <s v="blackbear"/>
    <n v="71"/>
    <s v="Dark Academia"/>
    <s v="idfc"/>
    <d v="2015-06-02T00:00:00"/>
    <n v="0"/>
    <n v="4"/>
    <n v="3.45"/>
    <n v="7.6399999999999996E-2"/>
    <x v="2"/>
  </r>
  <r>
    <n v="0.38500000000000001"/>
    <n v="106"/>
    <n v="0.61899999999999999"/>
    <x v="1"/>
    <n v="0.29399999999999998"/>
    <s v="Fido"/>
    <n v="71"/>
    <s v="Meditative Vibes"/>
    <s v="Awolowo"/>
    <d v="2024-08-07T00:00:00"/>
    <n v="0"/>
    <n v="0"/>
    <n v="2.25"/>
    <n v="0.129"/>
    <x v="3"/>
  </r>
  <r>
    <n v="0.377"/>
    <n v="101"/>
    <n v="0.60599999999999998"/>
    <x v="1"/>
    <n v="0.44600000000000001"/>
    <s v="Taylor Swift, Phoebe Bridgers"/>
    <n v="71"/>
    <s v="Dark Academia"/>
    <s v="Nothing New (feat. Phoebe Bridgers) (Taylor‚Äôs Version) (From The Vault)"/>
    <d v="2021-11-12T00:00:00"/>
    <n v="1"/>
    <n v="0"/>
    <n v="4.3"/>
    <n v="0.81699999999999995"/>
    <x v="2"/>
  </r>
  <r>
    <n v="0.54900000000000004"/>
    <n v="123"/>
    <n v="0.61299999999999999"/>
    <x v="1"/>
    <n v="0.78"/>
    <s v="Tems"/>
    <n v="71"/>
    <s v="Meditative Vibes"/>
    <s v="Replay"/>
    <d v="2021-09-14T00:00:00"/>
    <n v="1"/>
    <n v="9"/>
    <n v="3"/>
    <n v="9.7000000000000003E-2"/>
    <x v="3"/>
  </r>
  <r>
    <n v="0.19900000000000001"/>
    <n v="165"/>
    <n v="0.48"/>
    <x v="1"/>
    <n v="0.20100000000000001"/>
    <s v="Tom Odell"/>
    <n v="71"/>
    <s v="Dark Academia"/>
    <s v="Black Friday"/>
    <d v="2024-01-26T00:00:00"/>
    <n v="1"/>
    <n v="6"/>
    <n v="3.6833333333333331"/>
    <n v="0.93100000000000005"/>
    <x v="2"/>
  </r>
  <r>
    <n v="0.80100000000000005"/>
    <n v="104"/>
    <n v="0.77800000000000002"/>
    <x v="1"/>
    <n v="0.91400000000000003"/>
    <s v="Asake"/>
    <n v="70"/>
    <s v="Meditative Vibes"/>
    <s v="Lonely At The Top"/>
    <d v="2023-06-15T00:00:00"/>
    <n v="0"/>
    <n v="6"/>
    <n v="2.6166666666666667"/>
    <n v="0.69199999999999995"/>
    <x v="3"/>
  </r>
  <r>
    <n v="0.128"/>
    <n v="159"/>
    <n v="0.59899999999999998"/>
    <x v="1"/>
    <n v="0.36699999999999999"/>
    <s v="Billie Eilish"/>
    <n v="70"/>
    <s v="Dark Academia"/>
    <s v="Getting Older"/>
    <d v="2021-07-30T00:00:00"/>
    <n v="1"/>
    <n v="10"/>
    <n v="4.0666666666666664"/>
    <n v="0.97399999999999998"/>
    <x v="2"/>
  </r>
  <r>
    <n v="0.28799999999999998"/>
    <n v="110"/>
    <n v="0.68700000000000006"/>
    <x v="1"/>
    <n v="0.308"/>
    <s v="Billie Eilish"/>
    <n v="70"/>
    <s v="Dark Academia"/>
    <s v="Male Fantasy"/>
    <d v="2021-07-30T00:00:00"/>
    <n v="1"/>
    <n v="2"/>
    <n v="3.2333333333333334"/>
    <n v="0.86299999999999999"/>
    <x v="2"/>
  </r>
  <r>
    <n v="0.30399999999999999"/>
    <n v="789"/>
    <n v="0.53800000000000003"/>
    <x v="1"/>
    <n v="6.5000000000000002E-2"/>
    <s v="Lana Del Rey"/>
    <n v="70"/>
    <s v="Dark Academia"/>
    <s v="How to disappear"/>
    <d v="2019-08-30T00:00:00"/>
    <n v="1"/>
    <n v="9"/>
    <n v="3.8"/>
    <n v="0.61299999999999999"/>
    <x v="2"/>
  </r>
  <r>
    <n v="0.41499999999999998"/>
    <n v="113"/>
    <n v="0.82299999999999995"/>
    <x v="1"/>
    <n v="0.48799999999999999"/>
    <s v="Omah Lay"/>
    <n v="70"/>
    <s v="Meditative Vibes"/>
    <s v="Holy Ghost"/>
    <d v="2023-11-09T00:00:00"/>
    <n v="0"/>
    <n v="5"/>
    <n v="3.1"/>
    <n v="0.47099999999999997"/>
    <x v="3"/>
  </r>
  <r>
    <n v="0.65500000000000003"/>
    <n v="929"/>
    <n v="0.64900000000000002"/>
    <x v="1"/>
    <n v="0.79300000000000004"/>
    <s v="Oxlade"/>
    <n v="70"/>
    <s v="Meditative Vibes"/>
    <s v="KU LO SA - A COLORS SHOW"/>
    <d v="2022-06-10T00:00:00"/>
    <n v="0"/>
    <n v="10"/>
    <n v="2.4500000000000002"/>
    <n v="0.307"/>
    <x v="3"/>
  </r>
  <r>
    <n v="0.70699999999999996"/>
    <n v="104"/>
    <n v="0.84899999999999998"/>
    <x v="1"/>
    <n v="0.60199999999999998"/>
    <s v="Wizkid, Tems"/>
    <n v="70"/>
    <s v="Meditative Vibes"/>
    <s v="Essence (feat. Tems)"/>
    <d v="2020-10-29T00:00:00"/>
    <n v="1"/>
    <n v="0"/>
    <n v="4.1333333333333337"/>
    <n v="2.6599999999999999E-2"/>
    <x v="3"/>
  </r>
  <r>
    <n v="0.52900000000000003"/>
    <n v="112"/>
    <n v="0.78200000000000003"/>
    <x v="1"/>
    <n v="0.44"/>
    <s v="Ayo Maff"/>
    <n v="69"/>
    <s v="Meditative Vibes"/>
    <s v="Are you there?"/>
    <d v="2024-08-15T00:00:00"/>
    <n v="1"/>
    <n v="0"/>
    <n v="2.6"/>
    <n v="0.50900000000000001"/>
    <x v="3"/>
  </r>
  <r>
    <n v="0.156"/>
    <n v="940"/>
    <n v="0.67100000000000004"/>
    <x v="1"/>
    <n v="0.20100000000000001"/>
    <s v="Harry Styles"/>
    <n v="69"/>
    <s v="Dark Academia"/>
    <s v="From the Dining Table"/>
    <d v="2017-05-12T00:00:00"/>
    <n v="1"/>
    <n v="8"/>
    <n v="3.5166666666666666"/>
    <n v="0.80400000000000005"/>
    <x v="2"/>
  </r>
  <r>
    <n v="0.65100000000000002"/>
    <n v="678"/>
    <n v="0.49"/>
    <x v="1"/>
    <n v="0.56699999999999995"/>
    <s v="Ayo Maff, Fireboy DML"/>
    <n v="68"/>
    <s v="Meditative Vibes"/>
    <s v="Dealer"/>
    <d v="2024-04-16T00:00:00"/>
    <n v="1"/>
    <n v="11"/>
    <n v="3"/>
    <n v="0.71399999999999997"/>
    <x v="3"/>
  </r>
  <r>
    <n v="0.503"/>
    <n v="999"/>
    <n v="0.79200000000000004"/>
    <x v="1"/>
    <n v="0.38100000000000001"/>
    <s v="Ayra Starr"/>
    <n v="68"/>
    <s v="Meditative Vibes"/>
    <s v="Rush"/>
    <d v="2022-09-16T00:00:00"/>
    <n v="1"/>
    <n v="1"/>
    <n v="3.0833333333333335"/>
    <n v="3.6900000000000002E-2"/>
    <x v="3"/>
  </r>
  <r>
    <n v="0.34799999999999998"/>
    <n v="110"/>
    <n v="0.63100000000000001"/>
    <x v="1"/>
    <n v="0.32"/>
    <s v="David Kushner"/>
    <n v="68"/>
    <s v="Dark Academia"/>
    <s v="Miserable Man"/>
    <d v="2022-09-16T00:00:00"/>
    <n v="1"/>
    <n v="10"/>
    <n v="3.8666666666666667"/>
    <n v="0.92600000000000005"/>
    <x v="2"/>
  </r>
  <r>
    <n v="0.11"/>
    <n v="818"/>
    <n v="0.41499999999999998"/>
    <x v="1"/>
    <n v="0.23400000000000001"/>
    <s v="Hozier"/>
    <n v="68"/>
    <s v="Dark Academia"/>
    <s v="Cherry Wine - Live"/>
    <d v="2014-09-19T00:00:00"/>
    <n v="1"/>
    <n v="1"/>
    <n v="4"/>
    <n v="0.95099999999999996"/>
    <x v="2"/>
  </r>
  <r>
    <n v="9.7199999999999995E-2"/>
    <n v="866"/>
    <n v="0.443"/>
    <x v="1"/>
    <n v="0.28899999999999998"/>
    <s v="Leith Ross"/>
    <n v="68"/>
    <s v="Dark Academia"/>
    <s v="We'll Never Have Sex"/>
    <d v="2023-05-19T00:00:00"/>
    <n v="1"/>
    <n v="2"/>
    <n v="1.6666666666666667"/>
    <n v="0.95199999999999996"/>
    <x v="2"/>
  </r>
  <r>
    <n v="0.44900000000000001"/>
    <n v="123"/>
    <n v="0.32700000000000001"/>
    <x v="1"/>
    <n v="0.17899999999999999"/>
    <s v="Matt Maltese"/>
    <n v="68"/>
    <s v="Dark Academia"/>
    <s v="As the World Caves In"/>
    <d v="2018-06-08T00:00:00"/>
    <n v="1"/>
    <n v="10"/>
    <n v="3.6333333333333333"/>
    <n v="0.36899999999999999"/>
    <x v="2"/>
  </r>
  <r>
    <n v="0.501"/>
    <n v="103"/>
    <n v="0.63700000000000001"/>
    <x v="1"/>
    <n v="0.43099999999999999"/>
    <s v="Rotimi, Wale"/>
    <n v="68"/>
    <s v="Meditative Vibes"/>
    <s v="In My Bed"/>
    <d v="2019-12-13T00:00:00"/>
    <n v="0"/>
    <n v="0"/>
    <n v="3.0833333333333335"/>
    <n v="0.22900000000000001"/>
    <x v="3"/>
  </r>
  <r>
    <n v="0.88200000000000001"/>
    <n v="148"/>
    <n v="0.56899999999999995"/>
    <x v="2"/>
    <n v="0.20100000000000001"/>
    <s v="Travis Scott, Playboi Carti"/>
    <n v="88"/>
    <s v="Arab X"/>
    <s v="FE!N (feat. Playboi Carti)"/>
    <d v="2023-07-28T00:00:00"/>
    <n v="0"/>
    <n v="3"/>
    <n v="3.1833333333333331"/>
    <n v="3.1600000000000003E-2"/>
    <x v="5"/>
  </r>
  <r>
    <n v="0.55200000000000005"/>
    <n v="144"/>
    <n v="0.64"/>
    <x v="2"/>
    <n v="0.112"/>
    <s v="Future, Metro Boomin, Travis Scott, Playboi Carti"/>
    <n v="84"/>
    <s v="Arab X"/>
    <s v="Type Shit"/>
    <d v="2024-03-22T00:00:00"/>
    <n v="1"/>
    <n v="2"/>
    <n v="3.8"/>
    <n v="2.1499999999999998E-2"/>
    <x v="5"/>
  </r>
  <r>
    <n v="0.52900000000000003"/>
    <n v="161"/>
    <n v="0.67100000000000004"/>
    <x v="2"/>
    <n v="0.20300000000000001"/>
    <s v="Juice WRLD"/>
    <n v="83"/>
    <s v="Arab X"/>
    <s v="All Girls Are The Same"/>
    <d v="2018-12-10T00:00:00"/>
    <n v="1"/>
    <n v="0"/>
    <n v="2.75"/>
    <n v="7.6899999999999996E-2"/>
    <x v="5"/>
  </r>
  <r>
    <n v="0.622"/>
    <n v="130"/>
    <n v="0.84699999999999998"/>
    <x v="2"/>
    <n v="0.22"/>
    <s v="Gunna"/>
    <n v="82"/>
    <s v="Arab X"/>
    <s v="fukumean"/>
    <d v="2023-06-16T00:00:00"/>
    <n v="0"/>
    <n v="1"/>
    <n v="2.0833333333333335"/>
    <n v="0.11899999999999999"/>
    <x v="5"/>
  </r>
  <r>
    <n v="0.66800000000000004"/>
    <n v="879"/>
    <n v="0.57299999999999995"/>
    <x v="2"/>
    <n v="0.14499999999999999"/>
    <s v="Metro Boomin, Future, Don Toliver"/>
    <n v="82"/>
    <s v="Arab X"/>
    <s v="Too Many Nights (feat. Don Toliver &amp; with Future)"/>
    <d v="2022-12-02T00:00:00"/>
    <n v="0"/>
    <n v="7"/>
    <n v="3.3166666666666669"/>
    <n v="0.189"/>
    <x v="5"/>
  </r>
  <r>
    <n v="0.55200000000000005"/>
    <n v="119"/>
    <n v="0.76500000000000001"/>
    <x v="2"/>
    <n v="0.49199999999999999"/>
    <s v="Metro Boomin, Travis Scott, Young Thug"/>
    <n v="82"/>
    <s v="Arab X"/>
    <s v="Trance (with Travis Scott &amp; Young Thug)"/>
    <d v="2022-12-02T00:00:00"/>
    <n v="0"/>
    <n v="1"/>
    <n v="3.2333333333333334"/>
    <n v="0.17499999999999999"/>
    <x v="5"/>
  </r>
  <r>
    <n v="0.76400000000000001"/>
    <n v="140"/>
    <n v="0.88200000000000001"/>
    <x v="2"/>
    <n v="0.88600000000000001"/>
    <s v="Central Cee, Lil Baby"/>
    <n v="81"/>
    <s v="Arab X"/>
    <s v="BAND4BAND (feat. Lil Baby)"/>
    <d v="2024-05-23T00:00:00"/>
    <n v="1"/>
    <n v="11"/>
    <n v="2.3333333333333335"/>
    <n v="0.35899999999999999"/>
    <x v="5"/>
  </r>
  <r>
    <n v="0.73"/>
    <n v="155"/>
    <n v="0.83399999999999996"/>
    <x v="2"/>
    <n v="0.44600000000000001"/>
    <s v="Travis Scott"/>
    <n v="81"/>
    <s v="Arab X"/>
    <s v="SICKO MODE"/>
    <d v="2018-08-03T00:00:00"/>
    <n v="1"/>
    <n v="8"/>
    <n v="5.2"/>
    <n v="5.13E-3"/>
    <x v="5"/>
  </r>
  <r>
    <n v="0.71599999999999997"/>
    <n v="910"/>
    <n v="0.70099999999999996"/>
    <x v="2"/>
    <n v="0.73199999999999998"/>
    <s v="24kGoldn, iann dior"/>
    <n v="80"/>
    <s v="Arab X"/>
    <s v="Mood (feat. iann dior)"/>
    <d v="2021-03-26T00:00:00"/>
    <n v="0"/>
    <n v="7"/>
    <n v="2.3333333333333335"/>
    <n v="0.17399999999999999"/>
    <x v="5"/>
  </r>
  <r>
    <n v="0.66200000000000003"/>
    <n v="112"/>
    <n v="0.89700000000000002"/>
    <x v="2"/>
    <n v="0.39"/>
    <s v="Lil Baby, Gunna"/>
    <n v="79"/>
    <s v="Arab X"/>
    <s v="Drip Too Hard (Lil Baby &amp; Gunna)"/>
    <d v="2018-10-05T00:00:00"/>
    <n v="0"/>
    <n v="1"/>
    <n v="2.4166666666666665"/>
    <n v="8.5199999999999998E-2"/>
    <x v="5"/>
  </r>
  <r>
    <n v="0.69199999999999995"/>
    <n v="798"/>
    <n v="0.623"/>
    <x v="2"/>
    <n v="0.56599999999999995"/>
    <s v="Juice WRLD"/>
    <n v="78"/>
    <s v="Arab X"/>
    <s v="Robbery"/>
    <d v="2019-03-08T00:00:00"/>
    <n v="1"/>
    <n v="2"/>
    <n v="4"/>
    <n v="0.32800000000000001"/>
    <x v="5"/>
  </r>
  <r>
    <n v="0.53400000000000003"/>
    <n v="939"/>
    <n v="0.83199999999999996"/>
    <x v="2"/>
    <n v="0.11600000000000001"/>
    <s v="Polo G"/>
    <n v="78"/>
    <s v="Arab X"/>
    <s v="Martin &amp; Gina"/>
    <d v="2020-05-15T00:00:00"/>
    <n v="0"/>
    <n v="1"/>
    <n v="2.2000000000000002"/>
    <n v="0.34499999999999997"/>
    <x v="5"/>
  </r>
  <r>
    <n v="0.65800000000000003"/>
    <n v="140"/>
    <n v="0.8"/>
    <x v="2"/>
    <n v="0.46200000000000002"/>
    <s v="Internet Money, Gunna, Don Toliver, NAV"/>
    <n v="77"/>
    <s v="Arab X"/>
    <s v="Lemonade (feat. NAV)"/>
    <d v="2020-08-28T00:00:00"/>
    <n v="0"/>
    <n v="1"/>
    <n v="3.25"/>
    <n v="0.25"/>
    <x v="5"/>
  </r>
  <r>
    <n v="0.65100000000000002"/>
    <n v="163"/>
    <n v="0.66500000000000004"/>
    <x v="2"/>
    <n v="0.23699999999999999"/>
    <s v="Juice WRLD"/>
    <n v="77"/>
    <s v="Arab X"/>
    <s v="Lean Wit Me"/>
    <d v="2018-12-10T00:00:00"/>
    <n v="1"/>
    <n v="1"/>
    <n v="2.9166666666666665"/>
    <n v="4.1399999999999999E-2"/>
    <x v="5"/>
  </r>
  <r>
    <n v="0.48699999999999999"/>
    <n v="127"/>
    <n v="0.96399999999999997"/>
    <x v="2"/>
    <n v="0.108"/>
    <s v="Lil Baby"/>
    <n v="77"/>
    <s v="Arab X"/>
    <s v="Pure Cocaine"/>
    <d v="2018-11-30T00:00:00"/>
    <n v="0"/>
    <n v="10"/>
    <n v="2.5666666666666669"/>
    <n v="1.2700000000000001E-3"/>
    <x v="5"/>
  </r>
  <r>
    <n v="0.51600000000000001"/>
    <n v="119"/>
    <n v="0.877"/>
    <x v="2"/>
    <n v="0.255"/>
    <s v="Lil Baby"/>
    <n v="77"/>
    <s v="Arab X"/>
    <s v="Freestyle"/>
    <d v="2017-12-01T00:00:00"/>
    <n v="0"/>
    <n v="2"/>
    <n v="2.7"/>
    <n v="0.215"/>
    <x v="5"/>
  </r>
  <r>
    <n v="0.64800000000000002"/>
    <n v="932"/>
    <n v="0.73699999999999999"/>
    <x v="2"/>
    <n v="0.746"/>
    <s v="Wizkid, Brent Faiyaz"/>
    <n v="77"/>
    <s v="Arab X"/>
    <s v="Piece of My Heart (feat. Brent Faiyaz)"/>
    <d v="2024-10-18T00:00:00"/>
    <n v="1"/>
    <n v="1"/>
    <n v="4.3166666666666664"/>
    <n v="0.252"/>
    <x v="5"/>
  </r>
  <r>
    <n v="0.61299999999999999"/>
    <n v="149"/>
    <n v="0.65"/>
    <x v="2"/>
    <n v="8.0399999999999999E-2"/>
    <s v="Juice WRLD"/>
    <n v="76"/>
    <s v="Arab X"/>
    <s v="Wishing Well"/>
    <d v="2020-07-10T00:00:00"/>
    <n v="0"/>
    <n v="9"/>
    <n v="3.2333333333333334"/>
    <n v="3.3600000000000001E-3"/>
    <x v="5"/>
  </r>
  <r>
    <n v="0.34599999999999997"/>
    <n v="119"/>
    <n v="0.96299999999999997"/>
    <x v="2"/>
    <n v="0.56200000000000006"/>
    <s v="Lil Baby, Drake"/>
    <n v="75"/>
    <s v="Arab X"/>
    <s v="Yes Indeed"/>
    <d v="2018-05-18T00:00:00"/>
    <n v="0"/>
    <n v="5"/>
    <n v="2.3666666666666667"/>
    <n v="3.5499999999999997E-2"/>
    <x v="5"/>
  </r>
  <r>
    <n v="0.874"/>
    <n v="118"/>
    <n v="0.77400000000000002"/>
    <x v="2"/>
    <n v="0.92700000000000005"/>
    <s v="Wizkid"/>
    <n v="75"/>
    <s v="Arab X"/>
    <s v="Kese (Dance)"/>
    <d v="2024-11-15T00:00:00"/>
    <n v="0"/>
    <n v="5"/>
    <n v="2.9"/>
    <n v="0.14199999999999999"/>
    <x v="5"/>
  </r>
  <r>
    <n v="0.63900000000000001"/>
    <n v="168"/>
    <n v="0.77200000000000002"/>
    <x v="2"/>
    <n v="0.26100000000000001"/>
    <s v="Polo G, Lil Tjay"/>
    <n v="74"/>
    <s v="Arab X"/>
    <s v="Pop Out (feat. Lil Tjay)"/>
    <d v="2019-06-07T00:00:00"/>
    <n v="1"/>
    <n v="1"/>
    <n v="2.7666666666666666"/>
    <n v="0.15"/>
    <x v="5"/>
  </r>
  <r>
    <n v="0.65300000000000002"/>
    <n v="150"/>
    <n v="0.54700000000000004"/>
    <x v="2"/>
    <n v="0.16300000000000001"/>
    <s v="Post Malone, Young Thug"/>
    <n v="74"/>
    <s v="Arab X"/>
    <s v="Goodbyes (feat. Young Thug)"/>
    <d v="2019-09-06T00:00:00"/>
    <n v="1"/>
    <n v="5"/>
    <n v="2.9"/>
    <n v="0.45600000000000002"/>
    <x v="5"/>
  </r>
  <r>
    <n v="0.51500000000000001"/>
    <n v="120"/>
    <n v="0.56699999999999995"/>
    <x v="2"/>
    <n v="0.32100000000000001"/>
    <s v="Lil Tjay"/>
    <n v="73"/>
    <s v="Arab X"/>
    <s v="F.N"/>
    <d v="2019-10-11T00:00:00"/>
    <n v="0"/>
    <n v="6"/>
    <n v="3.7333333333333334"/>
    <n v="0.35399999999999998"/>
    <x v="5"/>
  </r>
  <r>
    <n v="0.35299999999999998"/>
    <n v="879"/>
    <n v="0.79700000000000004"/>
    <x v="2"/>
    <n v="7.3099999999999998E-2"/>
    <s v="Metro Boomin, 21 Savage"/>
    <n v="73"/>
    <s v="Arab X"/>
    <s v="10 Freaky Girls (with 21 Savage)"/>
    <d v="2018-11-06T00:00:00"/>
    <n v="0"/>
    <n v="6"/>
    <n v="3.4666666666666668"/>
    <n v="0.59"/>
    <x v="5"/>
  </r>
  <r>
    <n v="0.34699999999999998"/>
    <n v="750"/>
    <n v="0.88400000000000001"/>
    <x v="2"/>
    <n v="0.376"/>
    <s v="21 Savage"/>
    <n v="72"/>
    <s v="Arab X"/>
    <s v="Bank Account"/>
    <d v="2017-07-06T00:00:00"/>
    <n v="0"/>
    <n v="8"/>
    <n v="3.6666666666666665"/>
    <n v="1.4999999999999999E-2"/>
    <x v="5"/>
  </r>
  <r>
    <n v="0.63400000000000001"/>
    <n v="101"/>
    <n v="0.502"/>
    <x v="2"/>
    <n v="0.64500000000000002"/>
    <s v="Asake, Wizkid"/>
    <n v="72"/>
    <s v="Arab X"/>
    <s v="MMS"/>
    <d v="2024-08-08T00:00:00"/>
    <n v="0"/>
    <n v="8"/>
    <n v="3.65"/>
    <n v="0.67700000000000005"/>
    <x v="5"/>
  </r>
  <r>
    <n v="0.61899999999999999"/>
    <n v="127"/>
    <n v="0.96199999999999997"/>
    <x v="2"/>
    <n v="0.154"/>
    <s v="Lil Baby"/>
    <n v="72"/>
    <s v="Arab X"/>
    <s v="Low Down"/>
    <d v="2020-05-01T00:00:00"/>
    <n v="0"/>
    <n v="10"/>
    <n v="2.4"/>
    <n v="3.5400000000000001E-2"/>
    <x v="5"/>
  </r>
  <r>
    <n v="0.54100000000000004"/>
    <n v="139"/>
    <n v="0.71599999999999997"/>
    <x v="2"/>
    <n v="0.38700000000000001"/>
    <s v="Lil Baby, Gunna, Lil Uzi Vert"/>
    <n v="72"/>
    <s v="Arab X"/>
    <s v="Life Goes On"/>
    <d v="2018-05-18T00:00:00"/>
    <n v="1"/>
    <n v="1"/>
    <n v="4.1166666666666663"/>
    <n v="2.0999999999999999E-3"/>
    <x v="5"/>
  </r>
  <r>
    <n v="0.46300000000000002"/>
    <n v="108"/>
    <n v="0.97"/>
    <x v="2"/>
    <n v="0.46"/>
    <s v="Quality Control, Lil Baby, DaBaby"/>
    <n v="72"/>
    <s v="Arab X"/>
    <s v="Baby (Lil Baby feat. DaBaby)"/>
    <d v="2019-08-16T00:00:00"/>
    <n v="1"/>
    <n v="10"/>
    <n v="2.3666666666666667"/>
    <n v="9.5699999999999993E-2"/>
    <x v="5"/>
  </r>
  <r>
    <n v="0.68300000000000005"/>
    <n v="145"/>
    <n v="0.501"/>
    <x v="2"/>
    <n v="0.623"/>
    <s v="Bnxn, Rema"/>
    <n v="71"/>
    <s v="Arab X"/>
    <s v="Fi Kan We Kan"/>
    <d v="2024-10-15T00:00:00"/>
    <n v="0"/>
    <n v="6"/>
    <n v="2.6833333333333331"/>
    <n v="0.109"/>
    <x v="5"/>
  </r>
  <r>
    <n v="0.73599999999999999"/>
    <n v="147"/>
    <n v="0.77600000000000002"/>
    <x v="2"/>
    <n v="0.23300000000000001"/>
    <s v="Juice WRLD"/>
    <n v="71"/>
    <s v="Arab X"/>
    <s v="Black &amp; White"/>
    <d v="2018-12-10T00:00:00"/>
    <n v="1"/>
    <n v="7"/>
    <n v="3.1"/>
    <n v="8.0199999999999994E-2"/>
    <x v="5"/>
  </r>
  <r>
    <n v="0.52400000000000002"/>
    <n v="140"/>
    <n v="0.747"/>
    <x v="2"/>
    <n v="0.36299999999999999"/>
    <s v="Kodak Black, XXXTENTACION"/>
    <n v="71"/>
    <s v="Arab X"/>
    <s v="Roll in Peace (feat. XXXTENTACION)"/>
    <d v="2017-08-18T00:00:00"/>
    <n v="0"/>
    <n v="10"/>
    <n v="3.55"/>
    <n v="3.0599999999999999E-2"/>
    <x v="5"/>
  </r>
  <r>
    <n v="0.74399999999999999"/>
    <n v="840"/>
    <n v="0.86699999999999999"/>
    <x v="2"/>
    <n v="0.64500000000000002"/>
    <s v="NLE Choppa, Roddy Ricch"/>
    <n v="71"/>
    <s v="Arab X"/>
    <s v="Walk Em Down (feat. Roddy Ricch)"/>
    <d v="2020-08-07T00:00:00"/>
    <n v="1"/>
    <n v="2"/>
    <n v="2.8833333333333333"/>
    <n v="0.26800000000000002"/>
    <x v="5"/>
  </r>
  <r>
    <n v="0.71899999999999997"/>
    <n v="113"/>
    <n v="0.89700000000000002"/>
    <x v="2"/>
    <n v="0.54600000000000004"/>
    <s v="Smur Lee, ODUMODUBLVCK, Shallipopi"/>
    <n v="71"/>
    <s v="Arab X"/>
    <s v="JUJU (feat. Shallipopi)"/>
    <d v="2024-08-22T00:00:00"/>
    <n v="0"/>
    <n v="6"/>
    <n v="2.6166666666666667"/>
    <n v="0.11600000000000001"/>
    <x v="5"/>
  </r>
  <r>
    <n v="0.80100000000000005"/>
    <n v="104"/>
    <n v="0.77800000000000002"/>
    <x v="2"/>
    <n v="0.91400000000000003"/>
    <s v="Asake"/>
    <n v="70"/>
    <s v="Arab X"/>
    <s v="Lonely At The Top"/>
    <d v="2023-06-15T00:00:00"/>
    <n v="0"/>
    <n v="6"/>
    <n v="2.6166666666666667"/>
    <n v="0.69199999999999995"/>
    <x v="5"/>
  </r>
  <r>
    <n v="0.72699999999999998"/>
    <n v="150"/>
    <n v="0.47699999999999998"/>
    <x v="2"/>
    <n v="0.22700000000000001"/>
    <s v="DJ Khaled, Lil Baby, Lil Durk"/>
    <n v="70"/>
    <s v="Arab X"/>
    <s v="EVERY CHANCE I GET (feat. Lil Baby &amp; Lil Durk)"/>
    <d v="2021-04-30T00:00:00"/>
    <n v="1"/>
    <n v="2"/>
    <n v="3.9333333333333331"/>
    <n v="8.6600000000000002E-4"/>
    <x v="5"/>
  </r>
  <r>
    <n v="0.56399999999999995"/>
    <n v="779"/>
    <n v="0.85599999999999998"/>
    <x v="2"/>
    <n v="0.48299999999999998"/>
    <s v="Lil Baby"/>
    <n v="70"/>
    <s v="Arab X"/>
    <s v="On Me"/>
    <d v="2020-12-04T00:00:00"/>
    <n v="0"/>
    <n v="6"/>
    <n v="2.25"/>
    <n v="3.2699999999999999E-3"/>
    <x v="5"/>
  </r>
  <r>
    <n v="0.54200000000000004"/>
    <n v="135"/>
    <n v="0.92600000000000005"/>
    <x v="2"/>
    <n v="0.56399999999999995"/>
    <s v="Lil Baby, 42 Dugg"/>
    <n v="70"/>
    <s v="Arab X"/>
    <s v="We Paid (feat. 42 Dugg)"/>
    <d v="2020-05-01T00:00:00"/>
    <n v="1"/>
    <n v="1"/>
    <n v="3.0166666666666666"/>
    <n v="0.13500000000000001"/>
    <x v="5"/>
  </r>
  <r>
    <n v="0.81899999999999995"/>
    <n v="110"/>
    <n v="0.72599999999999998"/>
    <x v="2"/>
    <n v="0.63600000000000001"/>
    <s v="Young Jonn"/>
    <n v="70"/>
    <s v="Arab X"/>
    <s v="Stronger"/>
    <d v="2024-04-12T00:00:00"/>
    <n v="1"/>
    <n v="8"/>
    <n v="2.35"/>
    <n v="0.47699999999999998"/>
    <x v="5"/>
  </r>
  <r>
    <n v="0.66200000000000003"/>
    <n v="143"/>
    <n v="0.76700000000000002"/>
    <x v="2"/>
    <n v="0.25900000000000001"/>
    <s v="Gunna"/>
    <n v="69"/>
    <s v="Arab X"/>
    <s v="back to the moon"/>
    <d v="2023-06-16T00:00:00"/>
    <n v="0"/>
    <n v="5"/>
    <n v="3.2166666666666668"/>
    <n v="0.10299999999999999"/>
    <x v="5"/>
  </r>
  <r>
    <n v="0.39500000000000002"/>
    <n v="769"/>
    <n v="0.79300000000000004"/>
    <x v="2"/>
    <n v="0.128"/>
    <s v="Lil Baby, Gunna"/>
    <n v="69"/>
    <s v="Arab X"/>
    <s v="Ready (feat. Gunna)"/>
    <d v="2018-11-30T00:00:00"/>
    <n v="1"/>
    <n v="1"/>
    <n v="3.55"/>
    <n v="0.27700000000000002"/>
    <x v="5"/>
  </r>
  <r>
    <n v="0.57199999999999995"/>
    <n v="141"/>
    <n v="0.82299999999999995"/>
    <x v="2"/>
    <n v="0.56799999999999995"/>
    <s v="Trippie Redd, Juice WRLD"/>
    <n v="69"/>
    <s v="Arab X"/>
    <s v="1400 / 999 Freestyle (feat. Juice WRLD)"/>
    <d v="2018-11-09T00:00:00"/>
    <n v="0"/>
    <n v="6"/>
    <n v="2.9166666666666665"/>
    <n v="7.9000000000000008E-3"/>
    <x v="5"/>
  </r>
  <r>
    <n v="0.44400000000000001"/>
    <n v="140"/>
    <n v="0.90600000000000003"/>
    <x v="2"/>
    <n v="0.67800000000000005"/>
    <s v="21 Savage, Metro Boomin"/>
    <n v="68"/>
    <s v="Arab X"/>
    <s v="No Heart"/>
    <d v="2016-07-15T00:00:00"/>
    <n v="0"/>
    <n v="4"/>
    <n v="3.9166666666666665"/>
    <n v="0.13600000000000001"/>
    <x v="5"/>
  </r>
  <r>
    <n v="0.64"/>
    <n v="112"/>
    <n v="0.86899999999999999"/>
    <x v="2"/>
    <n v="0.53500000000000003"/>
    <s v="Asake, Travis Scott"/>
    <n v="68"/>
    <s v="Arab X"/>
    <s v="Active"/>
    <d v="2024-08-08T00:00:00"/>
    <n v="0"/>
    <n v="5"/>
    <n v="2.8666666666666667"/>
    <n v="1.0999999999999999E-2"/>
    <x v="5"/>
  </r>
  <r>
    <n v="0.65100000000000002"/>
    <n v="678"/>
    <n v="0.49"/>
    <x v="2"/>
    <n v="0.56699999999999995"/>
    <s v="Ayo Maff, Fireboy DML"/>
    <n v="68"/>
    <s v="Arab X"/>
    <s v="Dealer"/>
    <d v="2024-04-16T00:00:00"/>
    <n v="1"/>
    <n v="11"/>
    <n v="3"/>
    <n v="0.71399999999999997"/>
    <x v="5"/>
  </r>
  <r>
    <n v="0.52"/>
    <n v="958"/>
    <n v="0.57799999999999996"/>
    <x v="2"/>
    <n v="0.42499999999999999"/>
    <s v="FOLA, Bnxn"/>
    <n v="68"/>
    <s v="Arab X"/>
    <s v="alone - Remix"/>
    <d v="2024-10-04T00:00:00"/>
    <n v="0"/>
    <n v="11"/>
    <n v="2.5666666666666669"/>
    <n v="0.55400000000000005"/>
    <x v="5"/>
  </r>
  <r>
    <n v="0.48"/>
    <n v="143"/>
    <n v="0.84599999999999997"/>
    <x v="2"/>
    <n v="0.41899999999999998"/>
    <s v="Lil Durk, Lil Baby, Polo G"/>
    <n v="68"/>
    <s v="Arab X"/>
    <s v="3 Headed Goat (feat. Lil Baby &amp; Polo G)"/>
    <d v="2020-05-08T00:00:00"/>
    <n v="0"/>
    <n v="8"/>
    <n v="2.8166666666666669"/>
    <n v="0.26900000000000002"/>
    <x v="5"/>
  </r>
  <r>
    <n v="0.70099999999999996"/>
    <n v="134"/>
    <n v="0.71"/>
    <x v="2"/>
    <n v="0.56399999999999995"/>
    <s v="Lil Durk, Morgan Wallen"/>
    <n v="68"/>
    <s v="Arab X"/>
    <s v="Stand By Me (feat. Morgan Wallen)"/>
    <d v="2023-05-26T00:00:00"/>
    <n v="1"/>
    <n v="11"/>
    <n v="3.65"/>
    <n v="1.0500000000000001E-2"/>
    <x v="5"/>
  </r>
  <r>
    <n v="0.57599999999999996"/>
    <n v="166"/>
    <n v="0.77"/>
    <x v="2"/>
    <n v="0.36399999999999999"/>
    <s v="Polo G"/>
    <n v="68"/>
    <s v="Arab X"/>
    <s v="Chosen 1"/>
    <d v="2019-06-07T00:00:00"/>
    <n v="0"/>
    <n v="8"/>
    <n v="2.1166666666666667"/>
    <n v="0.13800000000000001"/>
    <x v="5"/>
  </r>
  <r>
    <n v="0.84099999999999997"/>
    <n v="147"/>
    <n v="0.754"/>
    <x v="2"/>
    <n v="0.83799999999999997"/>
    <s v="Rema"/>
    <n v="68"/>
    <s v="Arab X"/>
    <s v="OZEBA"/>
    <d v="2024-07-10T00:00:00"/>
    <n v="1"/>
    <n v="2"/>
    <n v="2.2833333333333332"/>
    <n v="0.13600000000000001"/>
    <x v="5"/>
  </r>
  <r>
    <n v="0.92500000000000004"/>
    <n v="869"/>
    <n v="0.749"/>
    <x v="3"/>
    <n v="0.64100000000000001"/>
    <s v="Eminem, Rihanna"/>
    <n v="83"/>
    <s v="Classic Blues"/>
    <s v="Love The Way You Lie"/>
    <d v="2010-06-18T00:00:00"/>
    <n v="1"/>
    <n v="10"/>
    <n v="4.3833333333333337"/>
    <n v="0.24099999999999999"/>
    <x v="6"/>
  </r>
  <r>
    <n v="0.85899999999999999"/>
    <n v="650"/>
    <n v="0.72799999999999998"/>
    <x v="3"/>
    <n v="0.53500000000000003"/>
    <s v="Justin Bieber, Ludacris"/>
    <n v="81"/>
    <s v="Classic Blues"/>
    <s v="Baby"/>
    <d v="2010-01-01T00:00:00"/>
    <n v="0"/>
    <n v="5"/>
    <n v="3.5666666666666669"/>
    <n v="4.0099999999999997E-2"/>
    <x v="6"/>
  </r>
  <r>
    <n v="0.76800000000000002"/>
    <n v="800"/>
    <n v="0.78"/>
    <x v="3"/>
    <n v="0.50700000000000001"/>
    <s v="Eminem, Dido"/>
    <n v="79"/>
    <s v="Classic Blues"/>
    <s v="Stan"/>
    <d v="2000-05-23T00:00:00"/>
    <n v="0"/>
    <n v="6"/>
    <n v="6.7333333333333334"/>
    <n v="3.7100000000000001E-2"/>
    <x v="6"/>
  </r>
  <r>
    <n v="0.67800000000000005"/>
    <n v="138"/>
    <n v="0.71299999999999997"/>
    <x v="3"/>
    <n v="0.73399999999999999"/>
    <s v="Destiny's Child"/>
    <n v="78"/>
    <s v="Classic Blues"/>
    <s v="Say My Name"/>
    <d v="1999-07-27T00:00:00"/>
    <n v="0"/>
    <n v="5"/>
    <n v="4.5166666666666666"/>
    <n v="0.27300000000000002"/>
    <x v="6"/>
  </r>
  <r>
    <n v="0.66100000000000003"/>
    <n v="130"/>
    <n v="0.76200000000000001"/>
    <x v="3"/>
    <n v="0.76900000000000002"/>
    <s v="Sean Kingston"/>
    <n v="78"/>
    <s v="Classic Blues"/>
    <s v="Beautiful Girls"/>
    <d v="2007-07-23T00:00:00"/>
    <n v="0"/>
    <n v="1"/>
    <n v="3.75"/>
    <n v="0.15"/>
    <x v="6"/>
  </r>
  <r>
    <n v="0.68"/>
    <n v="132"/>
    <n v="0.72699999999999998"/>
    <x v="3"/>
    <n v="0.72799999999999998"/>
    <s v="Jay Sean, Lil Wayne"/>
    <n v="77"/>
    <s v="Classic Blues"/>
    <s v="Down"/>
    <d v="2009-01-01T00:00:00"/>
    <n v="1"/>
    <n v="2"/>
    <n v="3.5333333333333332"/>
    <n v="1.01E-2"/>
    <x v="6"/>
  </r>
  <r>
    <n v="0.56499999999999995"/>
    <n v="101"/>
    <n v="0.78"/>
    <x v="3"/>
    <n v="0.36499999999999999"/>
    <s v="Phil Collins"/>
    <n v="77"/>
    <s v="Classic Blues"/>
    <s v="Another Day in Paradise - 2016 Remaster"/>
    <d v="1989-11-20T00:00:00"/>
    <n v="0"/>
    <n v="3"/>
    <n v="5.3666666666666663"/>
    <n v="0.73599999999999999"/>
    <x v="6"/>
  </r>
  <r>
    <n v="0.65200000000000002"/>
    <n v="806"/>
    <n v="0.52"/>
    <x v="3"/>
    <n v="0.72199999999999998"/>
    <s v="Roxette"/>
    <n v="77"/>
    <s v="Classic Blues"/>
    <s v="It Must Have Been Love - From the Film &quot;Pretty Woman&quot;"/>
    <d v="1990-05-20T00:00:00"/>
    <n v="1"/>
    <n v="5"/>
    <n v="4.3"/>
    <n v="0.33900000000000002"/>
    <x v="6"/>
  </r>
  <r>
    <n v="0.30599999999999999"/>
    <n v="118"/>
    <n v="0.65"/>
    <x v="3"/>
    <n v="0.60499999999999998"/>
    <s v="Ben E. King"/>
    <n v="75"/>
    <s v="Classic Blues"/>
    <s v="Stand By Me"/>
    <d v="1962-08-20T00:00:00"/>
    <n v="1"/>
    <n v="9"/>
    <n v="3"/>
    <n v="0.56999999999999995"/>
    <x v="6"/>
  </r>
  <r>
    <n v="0.47899999999999998"/>
    <n v="819"/>
    <n v="0.67500000000000004"/>
    <x v="3"/>
    <n v="0.45400000000000001"/>
    <s v="James Blunt"/>
    <n v="75"/>
    <s v="Classic Blues"/>
    <s v="You're Beautiful"/>
    <d v="2005-08-08T00:00:00"/>
    <n v="0"/>
    <n v="0"/>
    <n v="3.4833333333333334"/>
    <n v="0.63300000000000001"/>
    <x v="6"/>
  </r>
  <r>
    <n v="0.65600000000000003"/>
    <n v="104"/>
    <n v="0.63800000000000001"/>
    <x v="3"/>
    <n v="0.22500000000000001"/>
    <s v="Leona Lewis"/>
    <n v="75"/>
    <s v="Classic Blues"/>
    <s v="Bleeding Love"/>
    <d v="1905-06-29T00:00:00"/>
    <n v="1"/>
    <n v="5"/>
    <n v="4.3666666666666663"/>
    <n v="0.188"/>
    <x v="6"/>
  </r>
  <r>
    <n v="0.58799999999999997"/>
    <n v="945"/>
    <n v="0.68600000000000005"/>
    <x v="3"/>
    <n v="0.61699999999999999"/>
    <s v="Mario"/>
    <n v="75"/>
    <s v="Classic Blues"/>
    <s v="Let Me Love You"/>
    <d v="2004-03-15T00:00:00"/>
    <n v="0"/>
    <n v="7"/>
    <n v="4.1500000000000004"/>
    <n v="0.17799999999999999"/>
    <x v="6"/>
  </r>
  <r>
    <n v="0.82499999999999996"/>
    <n v="949"/>
    <n v="0.56000000000000005"/>
    <x v="3"/>
    <n v="0.26800000000000002"/>
    <s v="Vanessa Carlton"/>
    <n v="75"/>
    <s v="Classic Blues"/>
    <s v="A Thousand Miles"/>
    <d v="2002-04-30T00:00:00"/>
    <n v="1"/>
    <n v="11"/>
    <n v="3.95"/>
    <n v="0.32300000000000001"/>
    <x v="6"/>
  </r>
  <r>
    <n v="0.214"/>
    <n v="675"/>
    <n v="0.33200000000000002"/>
    <x v="3"/>
    <n v="0.11"/>
    <s v="Whitney Houston"/>
    <n v="75"/>
    <s v="Classic Blues"/>
    <s v="I Will Always Love You"/>
    <d v="1992-11-17T00:00:00"/>
    <n v="1"/>
    <n v="4"/>
    <n v="4.5166666666666666"/>
    <n v="0.84499999999999997"/>
    <x v="6"/>
  </r>
  <r>
    <n v="0.46700000000000003"/>
    <n v="119"/>
    <n v="0.61499999999999999"/>
    <x v="3"/>
    <n v="0.17699999999999999"/>
    <s v="Cieline Dion"/>
    <n v="74"/>
    <s v="Classic Blues"/>
    <s v="Because You Loved Me (Theme from &quot;Up Close and Personal&quot;)"/>
    <d v="1996-03-11T00:00:00"/>
    <n v="1"/>
    <n v="1"/>
    <n v="4.55"/>
    <n v="0.314"/>
    <x v="6"/>
  </r>
  <r>
    <n v="0.622"/>
    <n v="742"/>
    <n v="0.32800000000000001"/>
    <x v="3"/>
    <n v="0.40100000000000002"/>
    <s v="Lil Wayne, Bruno Mars"/>
    <n v="74"/>
    <s v="Classic Blues"/>
    <s v="Mirror"/>
    <d v="2011-08-29T00:00:00"/>
    <n v="0"/>
    <n v="5"/>
    <n v="3.8"/>
    <n v="0.85799999999999998"/>
    <x v="6"/>
  </r>
  <r>
    <n v="0.47599999999999998"/>
    <n v="139"/>
    <n v="0.84"/>
    <x v="3"/>
    <n v="0.76700000000000002"/>
    <s v="Mariah Carey"/>
    <n v="74"/>
    <s v="Classic Blues"/>
    <s v="We Belong Together"/>
    <d v="1905-06-27T00:00:00"/>
    <n v="1"/>
    <n v="0"/>
    <n v="3.35"/>
    <n v="2.64E-2"/>
    <x v="6"/>
  </r>
  <r>
    <n v="0.498"/>
    <n v="116"/>
    <n v="0.58099999999999996"/>
    <x v="3"/>
    <n v="0.111"/>
    <s v="Phil Collins"/>
    <n v="74"/>
    <s v="Classic Blues"/>
    <s v="Against All Odds (Take a Look at Me Now) - 2016 Remaster"/>
    <d v="2016-10-14T00:00:00"/>
    <n v="1"/>
    <n v="1"/>
    <n v="3.4333333333333331"/>
    <n v="0.19800000000000001"/>
    <x v="6"/>
  </r>
  <r>
    <n v="0.60199999999999998"/>
    <n v="943"/>
    <n v="0.80500000000000005"/>
    <x v="3"/>
    <n v="0.74399999999999999"/>
    <s v="Marvin Gaye"/>
    <n v="73"/>
    <s v="Classic Blues"/>
    <s v="Sexual Healing"/>
    <d v="1982-10-01T00:00:00"/>
    <n v="0"/>
    <n v="0"/>
    <n v="3.9666666666666668"/>
    <n v="0.11899999999999999"/>
    <x v="6"/>
  </r>
  <r>
    <n v="0.438"/>
    <n v="879"/>
    <n v="0.38400000000000001"/>
    <x v="3"/>
    <n v="0.28699999999999998"/>
    <s v="Cieline Dion"/>
    <n v="72"/>
    <s v="Classic Blues"/>
    <s v="It's All Coming Back to Me Now"/>
    <d v="1996-03-11T00:00:00"/>
    <n v="1"/>
    <n v="0"/>
    <n v="7.6"/>
    <n v="0.753"/>
    <x v="6"/>
  </r>
  <r>
    <n v="0.42199999999999999"/>
    <n v="112"/>
    <n v="0.75600000000000001"/>
    <x v="3"/>
    <n v="0.48699999999999999"/>
    <s v="Elton John"/>
    <n v="72"/>
    <s v="Classic Blues"/>
    <s v="Sacrifice"/>
    <d v="1989-08-29T00:00:00"/>
    <n v="0"/>
    <n v="11"/>
    <n v="5.0666666666666664"/>
    <n v="1.6500000000000001E-2"/>
    <x v="6"/>
  </r>
  <r>
    <n v="0.42199999999999999"/>
    <n v="743"/>
    <n v="0.69199999999999995"/>
    <x v="3"/>
    <n v="0.46800000000000003"/>
    <s v="Tracy Chapman"/>
    <n v="72"/>
    <s v="Classic Blues"/>
    <s v="Baby Can I Hold You"/>
    <d v="1988-04-05T00:00:00"/>
    <n v="1"/>
    <n v="2"/>
    <n v="3.2166666666666668"/>
    <n v="8.1100000000000005E-2"/>
    <x v="6"/>
  </r>
  <r>
    <n v="0.54900000000000004"/>
    <n v="900"/>
    <n v="0.64400000000000002"/>
    <x v="3"/>
    <n v="0.16700000000000001"/>
    <s v="Alicia Keys"/>
    <n v="71"/>
    <s v="Classic Blues"/>
    <s v="No One"/>
    <d v="2007-11-09T00:00:00"/>
    <n v="0"/>
    <n v="1"/>
    <n v="4.2166666666666668"/>
    <n v="2.0899999999999998E-2"/>
    <x v="6"/>
  </r>
  <r>
    <n v="0.72"/>
    <n v="799"/>
    <n v="0.50800000000000001"/>
    <x v="3"/>
    <n v="0.47199999999999998"/>
    <s v="Beyoncie"/>
    <n v="71"/>
    <s v="Classic Blues"/>
    <s v="Halo"/>
    <d v="2008-11-17T00:00:00"/>
    <n v="0"/>
    <n v="11"/>
    <n v="4.3499999999999996"/>
    <n v="0.27200000000000002"/>
    <x v="6"/>
  </r>
  <r>
    <n v="0.61199999999999999"/>
    <n v="867"/>
    <n v="0.53600000000000003"/>
    <x v="3"/>
    <n v="0.56999999999999995"/>
    <s v="Chris Brown"/>
    <n v="71"/>
    <s v="Classic Blues"/>
    <s v="Yo (Excuse Me Miss)"/>
    <d v="1905-06-27T00:00:00"/>
    <n v="1"/>
    <n v="4"/>
    <n v="3.8166666666666669"/>
    <n v="0.11899999999999999"/>
    <x v="6"/>
  </r>
  <r>
    <n v="0.51900000000000002"/>
    <n v="140"/>
    <n v="0.54600000000000004"/>
    <x v="3"/>
    <n v="0.247"/>
    <s v="Cieline Dion"/>
    <n v="71"/>
    <s v="Classic Blues"/>
    <s v="The Power of Love"/>
    <d v="1993-11-09T00:00:00"/>
    <n v="1"/>
    <n v="8"/>
    <n v="5.7"/>
    <n v="0.36"/>
    <x v="6"/>
  </r>
  <r>
    <n v="0.249"/>
    <n v="828"/>
    <n v="0.41799999999999998"/>
    <x v="3"/>
    <n v="0.21299999999999999"/>
    <s v="Enya"/>
    <n v="71"/>
    <s v="Classic Blues"/>
    <s v="Only Time"/>
    <d v="2000-11-11T00:00:00"/>
    <n v="1"/>
    <n v="3"/>
    <n v="3.6333333333333333"/>
    <n v="0.84099999999999997"/>
    <x v="6"/>
  </r>
  <r>
    <n v="0.61399999999999999"/>
    <n v="136"/>
    <n v="0.55300000000000005"/>
    <x v="3"/>
    <n v="0.34499999999999997"/>
    <s v="George Benson"/>
    <n v="71"/>
    <s v="Classic Blues"/>
    <s v="Nothing's Gonna Change My Love for You"/>
    <d v="1985-01-15T00:00:00"/>
    <n v="1"/>
    <n v="1"/>
    <n v="4.0333333333333332"/>
    <n v="0.76400000000000001"/>
    <x v="6"/>
  </r>
  <r>
    <n v="0.53300000000000003"/>
    <n v="131"/>
    <n v="0.58399999999999996"/>
    <x v="3"/>
    <n v="0.224"/>
    <s v="Seal"/>
    <n v="71"/>
    <s v="Classic Blues"/>
    <s v="Kiss from a Rose"/>
    <d v="1994-05-31T00:00:00"/>
    <n v="0"/>
    <n v="10"/>
    <n v="4.8"/>
    <n v="0.68400000000000005"/>
    <x v="6"/>
  </r>
  <r>
    <n v="0.621"/>
    <n v="140"/>
    <n v="0.58299999999999996"/>
    <x v="3"/>
    <n v="0.39900000000000002"/>
    <s v="Beyoncie, JAY-Z"/>
    <n v="70"/>
    <s v="Classic Blues"/>
    <s v="Drunk in Love (feat. Jay-Z)"/>
    <d v="2014-11-24T00:00:00"/>
    <n v="0"/>
    <n v="5"/>
    <n v="5.3833333333333337"/>
    <n v="9.7199999999999995E-3"/>
    <x v="6"/>
  </r>
  <r>
    <n v="0.42799999999999999"/>
    <n v="149"/>
    <n v="0.64100000000000001"/>
    <x v="3"/>
    <n v="0.53"/>
    <s v="Boyz II Men"/>
    <n v="70"/>
    <s v="Classic Blues"/>
    <s v="End Of The Road"/>
    <d v="1991-04-30T00:00:00"/>
    <n v="0"/>
    <n v="5"/>
    <n v="5.85"/>
    <n v="6.6600000000000006E-2"/>
    <x v="6"/>
  </r>
  <r>
    <n v="0.65"/>
    <n v="129"/>
    <n v="0.72699999999999998"/>
    <x v="3"/>
    <n v="0.66800000000000004"/>
    <s v="Ne-Yo"/>
    <n v="70"/>
    <s v="Classic Blues"/>
    <s v="Mad"/>
    <d v="2008-01-01T00:00:00"/>
    <n v="1"/>
    <n v="0"/>
    <n v="4.2333333333333334"/>
    <n v="0.66200000000000003"/>
    <x v="6"/>
  </r>
  <r>
    <n v="0.38100000000000001"/>
    <n v="121"/>
    <n v="0.47599999999999998"/>
    <x v="3"/>
    <n v="0.33"/>
    <s v="Roberta Flack"/>
    <n v="70"/>
    <s v="Classic Blues"/>
    <s v="Killing Me Softly With His Song"/>
    <d v="1973-01-01T00:00:00"/>
    <n v="0"/>
    <n v="5"/>
    <n v="4.7666666666666666"/>
    <n v="0.72699999999999998"/>
    <x v="6"/>
  </r>
  <r>
    <n v="0.64"/>
    <n v="101"/>
    <n v="0.69099999999999995"/>
    <x v="3"/>
    <n v="0.45200000000000001"/>
    <s v="Cieline Dion"/>
    <n v="69"/>
    <s v="Classic Blues"/>
    <s v="I'm Alive"/>
    <d v="2002-03-22T00:00:00"/>
    <n v="1"/>
    <n v="8"/>
    <n v="3.5"/>
    <n v="2.47E-2"/>
    <x v="6"/>
  </r>
  <r>
    <n v="0.59599999999999997"/>
    <n v="931"/>
    <n v="0.56899999999999995"/>
    <x v="3"/>
    <n v="0.754"/>
    <s v="Fantasia"/>
    <n v="69"/>
    <s v="Classic Blues"/>
    <s v="When I See U"/>
    <d v="2006-12-09T00:00:00"/>
    <n v="1"/>
    <n v="8"/>
    <n v="3.6166666666666667"/>
    <n v="0.45200000000000001"/>
    <x v="6"/>
  </r>
  <r>
    <n v="0.317"/>
    <n v="131"/>
    <n v="0.50900000000000001"/>
    <x v="3"/>
    <n v="0.247"/>
    <s v="Lionel Richie"/>
    <n v="69"/>
    <s v="Classic Blues"/>
    <s v="Stuck On You"/>
    <d v="1983-01-01T00:00:00"/>
    <n v="1"/>
    <n v="5"/>
    <n v="3.2"/>
    <n v="0.621"/>
    <x v="6"/>
  </r>
  <r>
    <n v="0.74"/>
    <n v="118"/>
    <n v="0.59299999999999997"/>
    <x v="3"/>
    <n v="0.501"/>
    <s v="OneRepublic"/>
    <n v="69"/>
    <s v="Classic Blues"/>
    <s v="Apologize"/>
    <d v="2007-11-20T00:00:00"/>
    <n v="1"/>
    <n v="8"/>
    <n v="3.4666666666666668"/>
    <n v="0.36399999999999999"/>
    <x v="6"/>
  </r>
  <r>
    <n v="0.73"/>
    <n v="938"/>
    <n v="0.63700000000000001"/>
    <x v="3"/>
    <n v="0.73099999999999998"/>
    <s v="Rihanna, Ne-Yo"/>
    <n v="69"/>
    <s v="Classic Blues"/>
    <s v="Hate That I Love You"/>
    <d v="2008-06-02T00:00:00"/>
    <n v="0"/>
    <n v="5"/>
    <n v="3.6333333333333333"/>
    <n v="0.32200000000000001"/>
    <x v="6"/>
  </r>
  <r>
    <n v="0.47899999999999998"/>
    <n v="184"/>
    <n v="0.65600000000000003"/>
    <x v="3"/>
    <n v="0.70799999999999996"/>
    <s v="Tamia"/>
    <n v="69"/>
    <s v="Classic Blues"/>
    <s v="So Into You"/>
    <d v="1905-06-20T00:00:00"/>
    <n v="0"/>
    <n v="7"/>
    <n v="4.3499999999999996"/>
    <n v="6.6500000000000004E-2"/>
    <x v="6"/>
  </r>
  <r>
    <n v="0.629"/>
    <n v="939"/>
    <n v="0.65700000000000003"/>
    <x v="3"/>
    <n v="0.72599999999999998"/>
    <s v="USHER"/>
    <n v="69"/>
    <s v="Classic Blues"/>
    <s v="U Remind Me"/>
    <d v="2001-08-07T00:00:00"/>
    <n v="1"/>
    <n v="6"/>
    <n v="4.4333333333333336"/>
    <n v="0.19400000000000001"/>
    <x v="6"/>
  </r>
  <r>
    <n v="0.93200000000000005"/>
    <n v="129"/>
    <n v="0.52200000000000002"/>
    <x v="3"/>
    <n v="0.33"/>
    <s v="Eminem, Lil Wayne"/>
    <n v="68"/>
    <s v="Classic Blues"/>
    <s v="No Love"/>
    <d v="2010-06-18T00:00:00"/>
    <n v="1"/>
    <n v="11"/>
    <n v="4.9833333333333334"/>
    <n v="0.11899999999999999"/>
    <x v="6"/>
  </r>
  <r>
    <n v="0.51200000000000001"/>
    <n v="128"/>
    <n v="0.63400000000000001"/>
    <x v="3"/>
    <n v="0.193"/>
    <s v="K-Ci &amp; JoJo"/>
    <n v="68"/>
    <s v="Classic Blues"/>
    <s v="All My Life"/>
    <d v="1997-01-01T00:00:00"/>
    <n v="1"/>
    <n v="1"/>
    <n v="5.5166666666666666"/>
    <n v="0.114"/>
    <x v="6"/>
  </r>
  <r>
    <n v="0.40200000000000002"/>
    <n v="119"/>
    <n v="0.65100000000000002"/>
    <x v="3"/>
    <n v="0.25800000000000001"/>
    <s v="Michael Jackson"/>
    <n v="68"/>
    <s v="Classic Blues"/>
    <s v="You Are Not Alone"/>
    <d v="1995-06-16T00:00:00"/>
    <n v="1"/>
    <n v="11"/>
    <n v="5.75"/>
    <n v="0.63900000000000001"/>
    <x v="6"/>
  </r>
  <r>
    <n v="0.46700000000000003"/>
    <n v="138"/>
    <n v="0.84499999999999997"/>
    <x v="3"/>
    <n v="0.70199999999999996"/>
    <s v="USHER"/>
    <n v="68"/>
    <s v="Classic Blues"/>
    <s v="Confessions Part II"/>
    <d v="2004-03-23T00:00:00"/>
    <n v="1"/>
    <n v="1"/>
    <n v="3.5166666666666666"/>
    <n v="5.8599999999999999E-2"/>
    <x v="6"/>
  </r>
  <r>
    <n v="0.26400000000000001"/>
    <n v="993"/>
    <n v="0.63600000000000001"/>
    <x v="3"/>
    <n v="0.26400000000000001"/>
    <s v="Whitney Houston"/>
    <n v="68"/>
    <s v="Classic Blues"/>
    <s v="Saving All My Love for You"/>
    <d v="1985-02-14T00:00:00"/>
    <n v="0"/>
    <n v="6"/>
    <n v="3.9666666666666668"/>
    <n v="0.59299999999999997"/>
    <x v="6"/>
  </r>
  <r>
    <n v="0.66900000000000004"/>
    <n v="130"/>
    <n v="0.94899999999999995"/>
    <x v="4"/>
    <n v="0.84299999999999997"/>
    <s v="Mc Pogba, DJ Guih Da ZO"/>
    <n v="78"/>
    <s v="Brazilian Funk"/>
    <s v="Ela Joga na Hora"/>
    <d v="2024-03-28T00:00:00"/>
    <n v="0"/>
    <n v="2"/>
    <n v="2.2000000000000002"/>
    <n v="0.36"/>
    <x v="7"/>
  </r>
  <r>
    <n v="0.68700000000000006"/>
    <n v="117"/>
    <n v="0.77800000000000002"/>
    <x v="4"/>
    <n v="0.83899999999999997"/>
    <s v="THE BOX, Mc Brinquedo, MC Cebezinho, MC Tuto, Mc Laranjinha, DJ Oreia"/>
    <n v="78"/>
    <s v="Brazilian Funk"/>
    <s v="THE BOX MEDLEY FUNK 2"/>
    <d v="2024-04-18T00:00:00"/>
    <n v="0"/>
    <n v="11"/>
    <n v="4.4333333333333336"/>
    <n v="0.57799999999999996"/>
    <x v="7"/>
  </r>
  <r>
    <n v="0.42699999999999999"/>
    <n v="804"/>
    <n v="0.49199999999999999"/>
    <x v="4"/>
    <n v="0.443"/>
    <s v="DJ TOPO, Seu Jorge, Mc Leozin, MC G15"/>
    <n v="77"/>
    <s v="Brazilian Funk"/>
    <s v="MTG QUEM N√ÉO QUER SOU EU"/>
    <d v="2024-05-10T00:00:00"/>
    <n v="0"/>
    <n v="9"/>
    <n v="2.0499999999999998"/>
    <n v="0.36399999999999999"/>
    <x v="7"/>
  </r>
  <r>
    <n v="0.80300000000000005"/>
    <n v="130"/>
    <n v="0.877"/>
    <x v="4"/>
    <n v="0.79500000000000004"/>
    <s v="S3BZS, Mc Gw, Mc Menor Do Alvorada"/>
    <n v="77"/>
    <s v="Brazilian Funk"/>
    <s v="MONTAGEM - PR FUNK"/>
    <d v="2023-05-01T00:00:00"/>
    <n v="1"/>
    <n v="9"/>
    <n v="10.266666666666667"/>
    <n v="0.73399999999999999"/>
    <x v="7"/>
  </r>
  <r>
    <n v="0.59899999999999998"/>
    <n v="865"/>
    <n v="0.82799999999999996"/>
    <x v="4"/>
    <n v="0.47799999999999998"/>
    <s v="MC L da Vinte, MC Gury"/>
    <n v="73"/>
    <s v="Brazilian Funk"/>
    <s v="Parado no Bail√£o"/>
    <d v="2018-07-23T00:00:00"/>
    <n v="1"/>
    <n v="11"/>
    <n v="2.85"/>
    <n v="0.38100000000000001"/>
    <x v="7"/>
  </r>
  <r>
    <n v="0.99"/>
    <n v="126"/>
    <n v="0.748"/>
    <x v="4"/>
    <n v="0.38600000000000001"/>
    <s v="6YNTHMANE, RXDXVIL"/>
    <n v="72"/>
    <s v="Brazilian Funk"/>
    <s v="BRAZILIAN DAN√áA PHONK"/>
    <d v="2023-05-12T00:00:00"/>
    <n v="1"/>
    <n v="1"/>
    <n v="1.9666666666666666"/>
    <n v="0.30299999999999999"/>
    <x v="7"/>
  </r>
  <r>
    <n v="0.90700000000000003"/>
    <n v="117"/>
    <n v="0.86299999999999999"/>
    <x v="4"/>
    <n v="0.30399999999999999"/>
    <s v="Ichiss"/>
    <n v="72"/>
    <s v="Brazilian Funk"/>
    <s v="WHINE IN BRAZIL FUNK"/>
    <d v="2024-07-09T00:00:00"/>
    <n v="0"/>
    <n v="4"/>
    <n v="1.7833333333333334"/>
    <n v="6.83E-2"/>
    <x v="7"/>
  </r>
  <r>
    <n v="0.41299999999999998"/>
    <n v="130"/>
    <n v="0.92"/>
    <x v="4"/>
    <n v="0.67900000000000005"/>
    <s v="MC Kevin o Chris, Dj Nk Da Serra, Mc Magrinho"/>
    <n v="72"/>
    <s v="Brazilian Funk"/>
    <s v="Faz um Vuk Vuk (Teto Espelhado)"/>
    <d v="2023-07-20T00:00:00"/>
    <n v="0"/>
    <n v="7"/>
    <n v="2.2999999999999998"/>
    <n v="0.504"/>
    <x v="7"/>
  </r>
  <r>
    <n v="0.96"/>
    <n v="130"/>
    <n v="0.86299999999999999"/>
    <x v="4"/>
    <n v="0.58599999999999997"/>
    <s v="DENNIS, MC Kevin o Chris"/>
    <n v="71"/>
    <s v="Brazilian Funk"/>
    <s v="TV OK"/>
    <d v="2023-05-04T00:00:00"/>
    <n v="1"/>
    <n v="11"/>
    <n v="15.333333333333334"/>
    <n v="0.497"/>
    <x v="7"/>
  </r>
  <r>
    <n v="0.95499999999999996"/>
    <n v="130"/>
    <n v="0.67900000000000005"/>
    <x v="4"/>
    <n v="0.71299999999999997"/>
    <s v="Dj Samir, Rodricci, Launch13"/>
    <n v="71"/>
    <s v="Brazilian Funk"/>
    <s v="Louca Encubada"/>
    <d v="2023-10-13T00:00:00"/>
    <n v="1"/>
    <n v="6"/>
    <n v="1.9833333333333334"/>
    <n v="7.3700000000000002E-4"/>
    <x v="7"/>
  </r>
  <r>
    <n v="0.82699999999999996"/>
    <n v="129"/>
    <n v="0.95599999999999996"/>
    <x v="4"/>
    <n v="0.61399999999999999"/>
    <s v="Mc Delux, DJ Guih Da ZO"/>
    <n v="70"/>
    <s v="Brazilian Funk"/>
    <s v="Se Voce Nao Quer Passa a Vez"/>
    <d v="2022-03-22T00:00:00"/>
    <n v="1"/>
    <n v="9"/>
    <n v="2.2166666666666668"/>
    <n v="0.13600000000000001"/>
    <x v="7"/>
  </r>
  <r>
    <n v="0.59"/>
    <n v="864"/>
    <n v="0.71099999999999997"/>
    <x v="4"/>
    <n v="0.70199999999999996"/>
    <s v="Tropa do Bruxo, SMU, Dj Vitin do Pc, MC JF, MC NAHARA"/>
    <n v="70"/>
    <s v="Brazilian Funk"/>
    <s v="TUMB√ÅTUM"/>
    <d v="2023-12-22T00:00:00"/>
    <n v="0"/>
    <n v="6"/>
    <n v="2.0166666666666666"/>
    <n v="0.26"/>
    <x v="7"/>
  </r>
  <r>
    <n v="0.78900000000000003"/>
    <n v="130"/>
    <n v="0.89"/>
    <x v="4"/>
    <n v="0.75800000000000001"/>
    <s v="DJ Zigi£o, DJ Lafon Do Md, Mc Rodrigo do CN, Mc Rf"/>
    <n v="69"/>
    <s v="Brazilian Funk"/>
    <s v="Te Maceto Depois Do Baile"/>
    <d v="2024-05-14T00:00:00"/>
    <n v="1"/>
    <n v="11"/>
    <n v="3.3166666666666669"/>
    <n v="0.14699999999999999"/>
    <x v="7"/>
  </r>
  <r>
    <n v="0.58199999999999996"/>
    <n v="849"/>
    <n v="0.61499999999999999"/>
    <x v="4"/>
    <n v="0.89200000000000002"/>
    <s v="DJ JOiÉO PEREIRA, MC Koringa"/>
    <n v="68"/>
    <s v="Brazilian Funk"/>
    <s v="DANZA PRA ME PROVOCAR"/>
    <d v="2023-09-14T00:00:00"/>
    <n v="1"/>
    <n v="6"/>
    <n v="2.6166666666666667"/>
    <n v="0.26900000000000002"/>
    <x v="7"/>
  </r>
  <r>
    <n v="0.44900000000000001"/>
    <n v="924"/>
    <n v="0.44700000000000001"/>
    <x v="5"/>
    <n v="3.5999999999999997E-2"/>
    <s v="Ludovico Einaudi, Daniel Hope, I Virtuosi Italiani"/>
    <n v="75"/>
    <s v="Classical Essentials"/>
    <s v="Experience"/>
    <d v="2013-01-01T00:00:00"/>
    <n v="1"/>
    <n v="2"/>
    <n v="5.25"/>
    <n v="0.93400000000000005"/>
    <x v="8"/>
  </r>
  <r>
    <n v="0.13800000000000001"/>
    <n v="128"/>
    <n v="0.34"/>
    <x v="5"/>
    <n v="0.32500000000000001"/>
    <s v="Gibran Alcocer"/>
    <n v="72"/>
    <s v="Neo-Classical"/>
    <s v="Idea 9"/>
    <d v="2023-05-26T00:00:00"/>
    <n v="0"/>
    <n v="2"/>
    <n v="2.2833333333333332"/>
    <n v="0.98399999999999999"/>
    <x v="9"/>
  </r>
  <r>
    <n v="5.16E-2"/>
    <n v="875"/>
    <n v="0.27"/>
    <x v="5"/>
    <n v="0.19900000000000001"/>
    <s v="Fabrizio Paterlini"/>
    <n v="71"/>
    <s v="Neo-Classical"/>
    <s v="Waltz"/>
    <d v="2020-06-05T00:00:00"/>
    <n v="0"/>
    <n v="8"/>
    <n v="10.783333333333333"/>
    <n v="0.98599999999999999"/>
    <x v="9"/>
  </r>
  <r>
    <n v="0.14599999999999999"/>
    <n v="172"/>
    <n v="0.26500000000000001"/>
    <x v="5"/>
    <n v="0.41599999999999998"/>
    <s v="Gibran Alcocer"/>
    <n v="71"/>
    <s v="Neo-Classical"/>
    <s v="Idea 1"/>
    <d v="2022-08-16T00:00:00"/>
    <n v="0"/>
    <n v="8"/>
    <n v="2.5666666666666669"/>
    <n v="0.98499999999999999"/>
    <x v="9"/>
  </r>
  <r>
    <n v="9.6799999999999997E-2"/>
    <n v="628"/>
    <n v="0.28599999999999998"/>
    <x v="5"/>
    <n v="3.95E-2"/>
    <s v="Hans Zimmer"/>
    <n v="71"/>
    <s v="Neo-Classical"/>
    <s v="Time"/>
    <d v="2010-07-09T00:00:00"/>
    <n v="1"/>
    <n v="7"/>
    <n v="4.583333333333333"/>
    <n v="0.17799999999999999"/>
    <x v="9"/>
  </r>
  <r>
    <n v="5.5899999999999998E-2"/>
    <n v="952"/>
    <n v="0.39600000000000002"/>
    <x v="5"/>
    <n v="0.27800000000000002"/>
    <s v="Ben Crosland"/>
    <n v="70"/>
    <s v="Neo-Classical"/>
    <s v="Oceans Apart"/>
    <d v="2020-06-19T00:00:00"/>
    <n v="0"/>
    <n v="9"/>
    <n v="13.066666666666666"/>
    <n v="0.98699999999999999"/>
    <x v="9"/>
  </r>
  <r>
    <n v="5.8200000000000002E-2"/>
    <n v="132"/>
    <n v="0.191"/>
    <x v="5"/>
    <n v="4.5400000000000003E-2"/>
    <s v="Ludovico Einaudi"/>
    <n v="70"/>
    <s v="Neo-Classical"/>
    <s v="Nuvole Bianche"/>
    <d v="2004-01-01T00:00:00"/>
    <n v="1"/>
    <n v="8"/>
    <n v="5.95"/>
    <n v="0.96099999999999997"/>
    <x v="9"/>
  </r>
  <r>
    <n v="3.62E-3"/>
    <n v="696"/>
    <n v="0.23499999999999999"/>
    <x v="5"/>
    <n v="8.8499999999999995E-2"/>
    <s v="Yehezkel Raz"/>
    <n v="70"/>
    <s v="Minimalism"/>
    <s v="Behind Every Decision"/>
    <d v="2019-12-10T00:00:00"/>
    <n v="0"/>
    <n v="3"/>
    <n v="1.75"/>
    <n v="0.995"/>
    <x v="5"/>
  </r>
  <r>
    <n v="5.2700000000000004E-3"/>
    <n v="170"/>
    <n v="0.184"/>
    <x v="5"/>
    <n v="0.151"/>
    <s v="Ludwig van Beethoven, Paul Lewis"/>
    <n v="68"/>
    <s v="Classical Essentials"/>
    <s v="Sonata No. 14 &quot;Moonlight&quot; in C-Sharp Minor&quot;, Op. 27 No. 2: I. Adagio sostenuto"/>
    <d v="2007-09-25T00:00:00"/>
    <n v="0"/>
    <n v="1"/>
    <n v="5.25"/>
    <n v="0.995"/>
    <x v="8"/>
  </r>
  <r>
    <n v="0.16400000000000001"/>
    <n v="583"/>
    <n v="0.13600000000000001"/>
    <x v="5"/>
    <n v="7.0999999999999994E-2"/>
    <s v="Pyotr Ilyich Tchaikovsky, Andrie Previn, London Symphony Orchestra"/>
    <n v="68"/>
    <s v="Classical Essentials"/>
    <s v="Tchaikovsky: Swan Lake, Op. 20, Act 2: No. 10, Scene. Moderato"/>
    <d v="1976-01-01T00:00:00"/>
    <n v="0"/>
    <n v="4"/>
    <n v="2.7666666666666666"/>
    <n v="0.91100000000000003"/>
    <x v="8"/>
  </r>
  <r>
    <n v="0.501"/>
    <n v="870"/>
    <n v="0.66800000000000004"/>
    <x v="6"/>
    <n v="0.85799999999999998"/>
    <s v="Kenny Rogers"/>
    <n v="73"/>
    <s v="Classic Country"/>
    <s v="The Gambler"/>
    <d v="1978-11-20T00:00:00"/>
    <n v="1"/>
    <n v="4"/>
    <n v="3.5666666666666669"/>
    <n v="0.34200000000000003"/>
    <x v="6"/>
  </r>
  <r>
    <n v="0.36099999999999999"/>
    <n v="121"/>
    <n v="0.60599999999999998"/>
    <x v="6"/>
    <n v="0.621"/>
    <s v="George Strait"/>
    <n v="70"/>
    <s v="Classic Country"/>
    <s v="Amarillo By Morning"/>
    <d v="1982-01-01T00:00:00"/>
    <n v="1"/>
    <n v="9"/>
    <n v="2.8833333333333333"/>
    <n v="0.26400000000000001"/>
    <x v="6"/>
  </r>
  <r>
    <n v="0.36099999999999999"/>
    <n v="187"/>
    <n v="0.36299999999999999"/>
    <x v="6"/>
    <n v="0.61199999999999999"/>
    <s v="Waylon Jennings, Willie Nelson"/>
    <n v="68"/>
    <s v="Classic Country"/>
    <s v="Mammas Don't Let Your Babies Grow up to Be Cowboys"/>
    <d v="1978-01-01T00:00:00"/>
    <n v="1"/>
    <n v="9"/>
    <n v="2.5333333333333332"/>
    <n v="0.623"/>
    <x v="6"/>
  </r>
  <r>
    <n v="0.63500000000000001"/>
    <n v="103"/>
    <n v="0.61699999999999999"/>
    <x v="7"/>
    <n v="0.44600000000000001"/>
    <s v="The Chainsmokers, Coldplay"/>
    <n v="86"/>
    <s v="EDM Hits"/>
    <s v="Something Just Like This"/>
    <d v="2017-04-07T00:00:00"/>
    <n v="0"/>
    <n v="11"/>
    <n v="4.1166666666666663"/>
    <n v="4.9799999999999997E-2"/>
    <x v="5"/>
  </r>
  <r>
    <n v="0.51800000000000002"/>
    <n v="126"/>
    <n v="0.875"/>
    <x v="7"/>
    <n v="0.37"/>
    <s v="CYRIL"/>
    <n v="84"/>
    <s v="Tropical House"/>
    <s v="Stumblin' In"/>
    <d v="2023-11-10T00:00:00"/>
    <n v="1"/>
    <n v="2"/>
    <n v="3.55"/>
    <n v="6.3799999999999996E-2"/>
    <x v="10"/>
  </r>
  <r>
    <n v="0.51800000000000002"/>
    <n v="126"/>
    <n v="0.875"/>
    <x v="7"/>
    <n v="0.37"/>
    <s v="CYRIL"/>
    <n v="84"/>
    <s v="Techno Bunker"/>
    <s v="Stumblin' In"/>
    <d v="2023-11-10T00:00:00"/>
    <n v="1"/>
    <n v="2"/>
    <n v="3.55"/>
    <n v="6.3799999999999996E-2"/>
    <x v="11"/>
  </r>
  <r>
    <n v="0.93899999999999995"/>
    <n v="129"/>
    <n v="0.67100000000000004"/>
    <x v="7"/>
    <n v="0.53"/>
    <s v="Pitbull, AFROJACK, Ne-Yo, Nayer"/>
    <n v="84"/>
    <s v="EDM Hits"/>
    <s v="Give Me Everything (feat. Nayer)"/>
    <d v="2011-06-17T00:00:00"/>
    <n v="1"/>
    <n v="8"/>
    <n v="4.2"/>
    <n v="0.191"/>
    <x v="5"/>
  </r>
  <r>
    <n v="0.52400000000000002"/>
    <n v="950"/>
    <n v="0.748"/>
    <x v="7"/>
    <n v="0.66100000000000003"/>
    <s v="The Chainsmokers, Halsey"/>
    <n v="84"/>
    <s v="EDM Hits"/>
    <s v="Closer"/>
    <d v="2016-07-29T00:00:00"/>
    <n v="1"/>
    <n v="8"/>
    <n v="4.0666666666666664"/>
    <n v="0.41399999999999998"/>
    <x v="5"/>
  </r>
  <r>
    <n v="0.71499999999999997"/>
    <n v="199"/>
    <n v="0.47499999999999998"/>
    <x v="7"/>
    <n v="0.159"/>
    <s v="DJ Snake, Justin Bieber"/>
    <n v="83"/>
    <s v="EDM Hits"/>
    <s v="Let Me Love You"/>
    <d v="2016-08-05T00:00:00"/>
    <n v="1"/>
    <n v="8"/>
    <n v="3.4166666666666665"/>
    <n v="8.6300000000000002E-2"/>
    <x v="5"/>
  </r>
  <r>
    <n v="0.78700000000000003"/>
    <n v="119"/>
    <n v="0.70399999999999996"/>
    <x v="7"/>
    <n v="0.31"/>
    <s v="HUGEL, Topic, Arash, Daecolm"/>
    <n v="83"/>
    <s v="Techno Bunker"/>
    <s v="I Adore You (feat. Daecolm)"/>
    <d v="2024-07-19T00:00:00"/>
    <n v="0"/>
    <n v="11"/>
    <n v="3.5666666666666669"/>
    <n v="9.2599999999999991E-3"/>
    <x v="11"/>
  </r>
  <r>
    <n v="0.78700000000000003"/>
    <n v="119"/>
    <n v="0.70399999999999996"/>
    <x v="7"/>
    <n v="0.31"/>
    <s v="HUGEL, Topic, Arash, Daecolm"/>
    <n v="83"/>
    <s v="Afro House"/>
    <s v="I Adore You (feat. Daecolm)"/>
    <d v="2024-07-19T00:00:00"/>
    <n v="0"/>
    <n v="11"/>
    <n v="3.5666666666666669"/>
    <n v="9.2599999999999991E-3"/>
    <x v="12"/>
  </r>
  <r>
    <n v="0.61799999999999999"/>
    <n v="126"/>
    <n v="0.85299999999999998"/>
    <x v="7"/>
    <n v="0.32"/>
    <s v="Lost Frequencies, Tom Odell"/>
    <n v="83"/>
    <s v="Tropical House"/>
    <s v="Black Friday (pretty like the sun)"/>
    <d v="2024-07-19T00:00:00"/>
    <n v="1"/>
    <n v="6"/>
    <n v="2.4166666666666665"/>
    <n v="0.63300000000000001"/>
    <x v="10"/>
  </r>
  <r>
    <n v="0.61799999999999999"/>
    <n v="126"/>
    <n v="0.85299999999999998"/>
    <x v="7"/>
    <n v="0.32"/>
    <s v="Lost Frequencies, Tom Odell"/>
    <n v="83"/>
    <s v="Techno Bunker"/>
    <s v="Black Friday (pretty like the sun)"/>
    <d v="2024-07-19T00:00:00"/>
    <n v="1"/>
    <n v="6"/>
    <n v="2.4166666666666665"/>
    <n v="0.63300000000000001"/>
    <x v="11"/>
  </r>
  <r>
    <n v="0.83499999999999996"/>
    <n v="125"/>
    <n v="0.52700000000000002"/>
    <x v="7"/>
    <n v="0.65400000000000003"/>
    <s v="Avicii"/>
    <n v="82"/>
    <s v="EDM Hits"/>
    <s v="The Nights"/>
    <d v="2014-01-01T00:00:00"/>
    <n v="1"/>
    <n v="6"/>
    <n v="2.9333333333333331"/>
    <n v="1.66E-2"/>
    <x v="5"/>
  </r>
  <r>
    <n v="0.82299999999999995"/>
    <n v="128"/>
    <n v="0.64600000000000002"/>
    <x v="7"/>
    <n v="0.41799999999999998"/>
    <s v="Calvin Harris, Ellie Goulding"/>
    <n v="82"/>
    <s v="EDM Hits"/>
    <s v="Outside (feat. Ellie Goulding)"/>
    <d v="2014-10-31T00:00:00"/>
    <n v="0"/>
    <n v="2"/>
    <n v="3.7833333333333332"/>
    <n v="0.21299999999999999"/>
    <x v="5"/>
  </r>
  <r>
    <n v="0.96299999999999997"/>
    <n v="129"/>
    <n v="0.58099999999999996"/>
    <x v="7"/>
    <n v="0.78800000000000003"/>
    <s v="Pitbull, Kesha"/>
    <n v="82"/>
    <s v="EDM Hits"/>
    <s v="Timber"/>
    <d v="1905-07-04T00:00:00"/>
    <n v="1"/>
    <n v="11"/>
    <n v="3.4"/>
    <n v="2.9499999999999998E-2"/>
    <x v="5"/>
  </r>
  <r>
    <n v="0.85599999999999998"/>
    <n v="127"/>
    <n v="0.59599999999999997"/>
    <x v="7"/>
    <n v="0.74299999999999999"/>
    <s v="Calvin Harris"/>
    <n v="81"/>
    <s v="EDM Hits"/>
    <s v="Summer"/>
    <d v="2014-10-31T00:00:00"/>
    <n v="0"/>
    <n v="4"/>
    <n v="3.7"/>
    <n v="2.1100000000000001E-2"/>
    <x v="5"/>
  </r>
  <r>
    <n v="0.85599999999999998"/>
    <n v="127"/>
    <n v="0.59599999999999997"/>
    <x v="7"/>
    <n v="0.74299999999999999"/>
    <s v="Calvin Harris"/>
    <n v="81"/>
    <s v="Techno Bunker"/>
    <s v="Summer"/>
    <d v="2014-10-31T00:00:00"/>
    <n v="0"/>
    <n v="4"/>
    <n v="3.7"/>
    <n v="2.1100000000000001E-2"/>
    <x v="11"/>
  </r>
  <r>
    <n v="0.627"/>
    <n v="179"/>
    <n v="0.46800000000000003"/>
    <x v="7"/>
    <n v="0.159"/>
    <s v="Alan Walker"/>
    <n v="80"/>
    <s v="EDM Hits"/>
    <s v="Faded"/>
    <d v="2018-12-14T00:00:00"/>
    <n v="1"/>
    <n v="6"/>
    <n v="3.5333333333333332"/>
    <n v="2.81E-2"/>
    <x v="5"/>
  </r>
  <r>
    <n v="0.78700000000000003"/>
    <n v="126"/>
    <n v="0.60399999999999998"/>
    <x v="7"/>
    <n v="0.30099999999999999"/>
    <s v="David Guetta, Sia"/>
    <n v="80"/>
    <s v="EDM Hits"/>
    <s v="Titanium (feat. Sia)"/>
    <d v="2012-12-07T00:00:00"/>
    <n v="0"/>
    <n v="0"/>
    <n v="4.083333333333333"/>
    <n v="6.7900000000000002E-2"/>
    <x v="5"/>
  </r>
  <r>
    <n v="0.77"/>
    <n v="125"/>
    <n v="0.69399999999999995"/>
    <x v="7"/>
    <n v="0.16300000000000001"/>
    <s v="Dynoro, Gigi D'Agostino"/>
    <n v="80"/>
    <s v="EDM Hits"/>
    <s v="In My Mind"/>
    <d v="2018-06-08T00:00:00"/>
    <n v="1"/>
    <n v="6"/>
    <n v="3.0666666666666669"/>
    <n v="0.17599999999999999"/>
    <x v="5"/>
  </r>
  <r>
    <n v="0.86899999999999999"/>
    <n v="126"/>
    <n v="0.874"/>
    <x v="7"/>
    <n v="0.72599999999999998"/>
    <s v="Matt Sassari"/>
    <n v="80"/>
    <s v="Techno Bunker"/>
    <s v="Give It To Me - Full Vocal Mix"/>
    <d v="2021-10-22T00:00:00"/>
    <n v="0"/>
    <n v="1"/>
    <n v="1.7"/>
    <n v="1.16E-3"/>
    <x v="11"/>
  </r>
  <r>
    <n v="0.68500000000000005"/>
    <n v="118"/>
    <n v="0.78200000000000003"/>
    <x v="7"/>
    <n v="0.60299999999999998"/>
    <s v="OMI, Felix Jaehn"/>
    <n v="80"/>
    <s v="EDM Hits"/>
    <s v="Cheerleader (Felix Jaehn Remix) - Radio Edit"/>
    <d v="2015-10-16T00:00:00"/>
    <n v="1"/>
    <n v="4"/>
    <n v="3"/>
    <n v="0.16600000000000001"/>
    <x v="5"/>
  </r>
  <r>
    <n v="0.751"/>
    <n v="117"/>
    <n v="0.88"/>
    <x v="7"/>
    <n v="0.88400000000000001"/>
    <s v="Regard"/>
    <n v="80"/>
    <s v="EDM Hits"/>
    <s v="Ride It"/>
    <d v="2019-07-26T00:00:00"/>
    <n v="0"/>
    <n v="7"/>
    <n v="2.6166666666666667"/>
    <n v="0.17699999999999999"/>
    <x v="5"/>
  </r>
  <r>
    <n v="0.86899999999999999"/>
    <n v="159"/>
    <n v="0.53300000000000003"/>
    <x v="7"/>
    <n v="0.42499999999999999"/>
    <s v="The Chainsmokers, Daya"/>
    <n v="80"/>
    <s v="EDM Hits"/>
    <s v="Don't Let Me Down"/>
    <d v="2016-02-05T00:00:00"/>
    <n v="1"/>
    <n v="11"/>
    <n v="3.4666666666666668"/>
    <n v="0.156"/>
    <x v="5"/>
  </r>
  <r>
    <n v="0.85699999999999998"/>
    <n v="128"/>
    <n v="0.41399999999999998"/>
    <x v="7"/>
    <n v="0.34799999999999998"/>
    <s v="Calvin Harris, John Newman"/>
    <n v="79"/>
    <s v="EDM Hits"/>
    <s v="Blame (feat. John Newman)"/>
    <d v="2014-10-31T00:00:00"/>
    <n v="0"/>
    <n v="0"/>
    <n v="3.5333333333333332"/>
    <n v="2.87E-2"/>
    <x v="5"/>
  </r>
  <r>
    <n v="0.79700000000000004"/>
    <n v="122"/>
    <n v="0.70199999999999996"/>
    <x v="7"/>
    <n v="3.56E-2"/>
    <s v="Disclosure, Eliza Doolittle, Rivo"/>
    <n v="79"/>
    <s v="Afro House"/>
    <s v="You &amp; Me - Rivo Remix"/>
    <d v="2023-12-22T00:00:00"/>
    <n v="0"/>
    <n v="10"/>
    <n v="3.4666666666666668"/>
    <n v="0.58299999999999996"/>
    <x v="12"/>
  </r>
  <r>
    <n v="0.71399999999999997"/>
    <n v="101"/>
    <n v="0.66400000000000003"/>
    <x v="7"/>
    <n v="0.71"/>
    <s v="Mike Posner, Seeb"/>
    <n v="79"/>
    <s v="EDM Hits"/>
    <s v="I Took A Pill In Ibiza - Seeb Remix"/>
    <d v="2016-05-06T00:00:00"/>
    <n v="0"/>
    <n v="7"/>
    <n v="3.2833333333333332"/>
    <n v="3.5299999999999998E-2"/>
    <x v="5"/>
  </r>
  <r>
    <n v="0.72899999999999998"/>
    <n v="127"/>
    <n v="0.88"/>
    <x v="7"/>
    <n v="0.246"/>
    <s v="nimino"/>
    <n v="79"/>
    <s v="Techno Bunker"/>
    <s v="I Only Smoke When I Drink"/>
    <d v="2024-08-22T00:00:00"/>
    <n v="0"/>
    <n v="11"/>
    <n v="3.3"/>
    <n v="0.33400000000000002"/>
    <x v="11"/>
  </r>
  <r>
    <n v="0.73599999999999999"/>
    <n v="127"/>
    <n v="0.57899999999999996"/>
    <x v="7"/>
    <n v="0.61299999999999999"/>
    <s v="Avicii"/>
    <n v="78"/>
    <s v="EDM Hits"/>
    <s v="Waiting For Love"/>
    <d v="2015-10-02T00:00:00"/>
    <n v="0"/>
    <n v="6"/>
    <n v="3.8333333333333335"/>
    <n v="0.31"/>
    <x v="5"/>
  </r>
  <r>
    <n v="0.77700000000000002"/>
    <n v="130"/>
    <n v="0.73"/>
    <x v="7"/>
    <n v="0.57499999999999996"/>
    <s v="Jennifer Lopez, Pitbull"/>
    <n v="78"/>
    <s v="EDM Hits"/>
    <s v="On The Floor"/>
    <d v="2011-04-29T00:00:00"/>
    <n v="0"/>
    <n v="3"/>
    <n v="4.7333333333333334"/>
    <n v="0.105"/>
    <x v="5"/>
  </r>
  <r>
    <n v="0.81499999999999995"/>
    <n v="123"/>
    <n v="0.63600000000000001"/>
    <x v="7"/>
    <n v="0.63600000000000001"/>
    <s v="Robin Schulz, Francesco Yates"/>
    <n v="78"/>
    <s v="EDM Hits"/>
    <s v="Sugar (feat. Francesco Yates)"/>
    <d v="2015-09-25T00:00:00"/>
    <n v="0"/>
    <n v="5"/>
    <n v="3.65"/>
    <n v="1.8499999999999999E-2"/>
    <x v="5"/>
  </r>
  <r>
    <n v="0.74099999999999999"/>
    <n v="123"/>
    <n v="0.64600000000000002"/>
    <x v="7"/>
    <n v="0.57099999999999995"/>
    <s v="Axwell /\ Ingrosso"/>
    <n v="77"/>
    <s v="EDM Hits"/>
    <s v="More Than You Know"/>
    <d v="2017-07-28T00:00:00"/>
    <n v="0"/>
    <n v="5"/>
    <n v="3.3833333333333333"/>
    <n v="2.75E-2"/>
    <x v="5"/>
  </r>
  <r>
    <n v="0.92700000000000005"/>
    <n v="123"/>
    <n v="0.63100000000000001"/>
    <x v="7"/>
    <n v="0.46500000000000002"/>
    <s v="Calvin Harris, Rihanna"/>
    <n v="77"/>
    <s v="EDM Hits"/>
    <s v="This Is What You Came For"/>
    <d v="2016-04-29T00:00:00"/>
    <n v="0"/>
    <n v="9"/>
    <n v="3.7"/>
    <n v="0.19900000000000001"/>
    <x v="5"/>
  </r>
  <r>
    <n v="0.81100000000000005"/>
    <n v="116"/>
    <n v="0.79400000000000004"/>
    <x v="7"/>
    <n v="0.86199999999999999"/>
    <s v="Daft Punk, Pharrell Williams, Nile Rodgers"/>
    <n v="77"/>
    <s v="EDM Hits"/>
    <s v="Get Lucky (Radio Edit) [feat. Pharrell Williams and Nile Rodgers]"/>
    <d v="2013-04-19T00:00:00"/>
    <n v="0"/>
    <n v="6"/>
    <n v="4.1333333333333337"/>
    <n v="4.2599999999999999E-2"/>
    <x v="5"/>
  </r>
  <r>
    <n v="0.81299999999999994"/>
    <n v="125"/>
    <n v="0.51300000000000001"/>
    <x v="7"/>
    <n v="0.35499999999999998"/>
    <s v="David Guetta, Alesso, Madison Love"/>
    <n v="77"/>
    <s v="Techno Bunker"/>
    <s v="Never Going Home Tonight (feat. Madison Love)"/>
    <d v="2024-09-06T00:00:00"/>
    <n v="1"/>
    <n v="5"/>
    <n v="2.7333333333333334"/>
    <n v="0.28000000000000003"/>
    <x v="11"/>
  </r>
  <r>
    <n v="0.65500000000000003"/>
    <n v="129"/>
    <n v="0.55800000000000005"/>
    <x v="7"/>
    <n v="0.39"/>
    <s v="David Guetta, Alphaville, Ava Max"/>
    <n v="77"/>
    <s v="Techno Bunker"/>
    <s v="Forever Young"/>
    <d v="2024-10-18T00:00:00"/>
    <n v="1"/>
    <n v="0"/>
    <n v="2.6"/>
    <n v="0.20799999999999999"/>
    <x v="11"/>
  </r>
  <r>
    <n v="0.86"/>
    <n v="127"/>
    <n v="0.60799999999999998"/>
    <x v="7"/>
    <n v="0.437"/>
    <s v="Flo Rida, Sia"/>
    <n v="77"/>
    <s v="EDM Hits"/>
    <s v="Wild Ones (feat. Sia)"/>
    <d v="2012-06-22T00:00:00"/>
    <n v="0"/>
    <n v="5"/>
    <n v="3.8666666666666667"/>
    <n v="9.9099999999999994E-2"/>
    <x v="5"/>
  </r>
  <r>
    <n v="0.79700000000000004"/>
    <n v="121"/>
    <n v="0.84499999999999997"/>
    <x v="7"/>
    <n v="0.42199999999999999"/>
    <s v="Imanbek, BYOR"/>
    <n v="77"/>
    <s v="Techno Bunker"/>
    <s v="Belly Dancer"/>
    <d v="2022-02-18T00:00:00"/>
    <n v="1"/>
    <n v="1"/>
    <n v="2.5166666666666666"/>
    <n v="5.8200000000000002E-2"/>
    <x v="11"/>
  </r>
  <r>
    <n v="0.44900000000000001"/>
    <n v="114"/>
    <n v="0.66900000000000004"/>
    <x v="7"/>
    <n v="0.32700000000000001"/>
    <s v="Indila"/>
    <n v="77"/>
    <s v="French Touch"/>
    <s v="Derni√®re danse"/>
    <d v="2014-01-01T00:00:00"/>
    <n v="0"/>
    <n v="0"/>
    <n v="3.55"/>
    <n v="0.184"/>
    <x v="13"/>
  </r>
  <r>
    <n v="0.51900000000000002"/>
    <n v="133"/>
    <n v="0.501"/>
    <x v="7"/>
    <n v="0.16800000000000001"/>
    <s v="Martin Garrix, Bebe Rexha"/>
    <n v="77"/>
    <s v="EDM Hits"/>
    <s v="In the Name of Love"/>
    <d v="2016-07-29T00:00:00"/>
    <n v="0"/>
    <n v="4"/>
    <n v="3.25"/>
    <n v="0.109"/>
    <x v="5"/>
  </r>
  <r>
    <n v="0.86"/>
    <n v="128"/>
    <n v="0.755"/>
    <x v="7"/>
    <n v="0.61799999999999999"/>
    <s v="Mr. Belt &amp; Wezol"/>
    <n v="77"/>
    <s v="Techno Bunker"/>
    <s v="It's Not Right But It's Okay"/>
    <d v="2024-02-23T00:00:00"/>
    <n v="0"/>
    <n v="5"/>
    <n v="2.5333333333333332"/>
    <n v="1.44E-2"/>
    <x v="11"/>
  </r>
  <r>
    <n v="0.81799999999999995"/>
    <n v="125"/>
    <n v="0.68700000000000006"/>
    <x v="7"/>
    <n v="0.88600000000000001"/>
    <s v="Alok, Ella Eyre, Kenny Dope, Never Dull"/>
    <n v="76"/>
    <s v="Techno Bunker"/>
    <s v="Deep Down (feat. Never Dull)"/>
    <d v="2022-06-17T00:00:00"/>
    <n v="1"/>
    <n v="0"/>
    <n v="2.75"/>
    <n v="1.12E-2"/>
    <x v="11"/>
  </r>
  <r>
    <n v="0.91500000000000004"/>
    <n v="126"/>
    <n v="0.54400000000000004"/>
    <x v="7"/>
    <n v="0.51"/>
    <s v="Calvin Harris, Alesso, Hurts"/>
    <n v="76"/>
    <s v="EDM Hits"/>
    <s v="Under Control (feat. Hurts)"/>
    <d v="2014-10-31T00:00:00"/>
    <n v="1"/>
    <n v="8"/>
    <n v="3.0666666666666669"/>
    <n v="0.129"/>
    <x v="5"/>
  </r>
  <r>
    <n v="0.86899999999999999"/>
    <n v="127"/>
    <n v="0.61599999999999999"/>
    <x v="7"/>
    <n v="0.47299999999999998"/>
    <s v="Flo Rida, David Guetta"/>
    <n v="76"/>
    <s v="EDM Hits"/>
    <s v="Club Can't Handle Me (feat. David Guetta)"/>
    <d v="2010-11-24T00:00:00"/>
    <n v="1"/>
    <n v="0"/>
    <n v="3.9"/>
    <n v="2.8299999999999999E-2"/>
    <x v="5"/>
  </r>
  <r>
    <n v="0.69"/>
    <n v="125"/>
    <n v="0.84699999999999998"/>
    <x v="7"/>
    <n v="0.69199999999999995"/>
    <s v="James Hype, Miggy Dela Rosa"/>
    <n v="76"/>
    <s v="Techno Bunker"/>
    <s v="Ferrari"/>
    <d v="2022-04-01T00:00:00"/>
    <n v="0"/>
    <n v="1"/>
    <n v="3.1"/>
    <n v="1.2699999999999999E-2"/>
    <x v="11"/>
  </r>
  <r>
    <n v="0.71699999999999997"/>
    <n v="121"/>
    <n v="0.79300000000000004"/>
    <x v="7"/>
    <n v="0.46600000000000003"/>
    <s v="Kungs, Cookin' On 3 Burners"/>
    <n v="76"/>
    <s v="EDM Hits"/>
    <s v="This Girl (Kungs Vs. Cookin' On 3 Burners)"/>
    <d v="2016-11-04T00:00:00"/>
    <n v="0"/>
    <n v="0"/>
    <n v="3.25"/>
    <n v="9.2700000000000005E-2"/>
    <x v="5"/>
  </r>
  <r>
    <n v="0.71699999999999997"/>
    <n v="121"/>
    <n v="0.79300000000000004"/>
    <x v="7"/>
    <n v="0.46600000000000003"/>
    <s v="Kungs, Cookin' On 3 Burners"/>
    <n v="76"/>
    <s v="Tropical House"/>
    <s v="This Girl (Kungs Vs. Cookin' On 3 Burners)"/>
    <d v="2016-11-04T00:00:00"/>
    <n v="0"/>
    <n v="0"/>
    <n v="3.25"/>
    <n v="9.2700000000000005E-2"/>
    <x v="10"/>
  </r>
  <r>
    <n v="0.77700000000000002"/>
    <n v="108"/>
    <n v="0.57999999999999996"/>
    <x v="7"/>
    <n v="0.58899999999999997"/>
    <s v="Kygo, Ava Max"/>
    <n v="76"/>
    <s v="Tropical House"/>
    <s v="Whatever"/>
    <d v="2024-01-19T00:00:00"/>
    <n v="1"/>
    <n v="3"/>
    <n v="2.9666666666666668"/>
    <n v="0.104"/>
    <x v="10"/>
  </r>
  <r>
    <n v="0.77700000000000002"/>
    <n v="108"/>
    <n v="0.57999999999999996"/>
    <x v="7"/>
    <n v="0.58899999999999997"/>
    <s v="Kygo, Ava Max"/>
    <n v="76"/>
    <s v="Techno Bunker"/>
    <s v="Whatever"/>
    <d v="2024-01-19T00:00:00"/>
    <n v="1"/>
    <n v="3"/>
    <n v="2.9666666666666668"/>
    <n v="0.104"/>
    <x v="11"/>
  </r>
  <r>
    <n v="0.68500000000000005"/>
    <n v="130"/>
    <n v="0.77200000000000002"/>
    <x v="7"/>
    <n v="0.501"/>
    <s v="will.i.am, Britney Spears"/>
    <n v="76"/>
    <s v="EDM Hits"/>
    <s v="Scream &amp; Shout"/>
    <d v="2013-01-01T00:00:00"/>
    <n v="1"/>
    <n v="5"/>
    <n v="4.7166666666666668"/>
    <n v="1.9E-2"/>
    <x v="5"/>
  </r>
  <r>
    <n v="0.74099999999999999"/>
    <n v="119"/>
    <n v="0.72"/>
    <x v="7"/>
    <n v="0.35699999999999998"/>
    <s v="Aaron Smith, Krono, Luvli"/>
    <n v="75"/>
    <s v="EDM Hits"/>
    <s v="Dancin (feat. Luvli) - Krono Remix"/>
    <d v="2014-11-07T00:00:00"/>
    <n v="0"/>
    <n v="10"/>
    <n v="3.3"/>
    <n v="0.10100000000000001"/>
    <x v="5"/>
  </r>
  <r>
    <n v="0.72199999999999998"/>
    <n v="121"/>
    <n v="0.58699999999999997"/>
    <x v="7"/>
    <n v="0.46600000000000003"/>
    <s v="Bakermat"/>
    <n v="75"/>
    <s v="Techno Bunker"/>
    <s v="Baian√°"/>
    <d v="2020-10-09T00:00:00"/>
    <n v="0"/>
    <n v="2"/>
    <n v="3"/>
    <n v="7.54E-4"/>
    <x v="11"/>
  </r>
  <r>
    <n v="0.89600000000000002"/>
    <n v="101"/>
    <n v="0.67"/>
    <x v="7"/>
    <n v="0.40300000000000002"/>
    <s v="Gabry Ponte, LUM!X, Prezioso"/>
    <n v="75"/>
    <s v="Techno Bunker"/>
    <s v="Thunder"/>
    <d v="2021-05-07T00:00:00"/>
    <n v="1"/>
    <n v="1"/>
    <n v="2.6666666666666665"/>
    <n v="3.4200000000000001E-2"/>
    <x v="11"/>
  </r>
  <r>
    <n v="0.57699999999999996"/>
    <n v="119"/>
    <n v="0.79500000000000004"/>
    <x v="7"/>
    <n v="0.20599999999999999"/>
    <s v="MoBlack, Salif Keita, Benja (NL), Franc Fala, Cesi°ria Evora"/>
    <n v="75"/>
    <s v="Afro House"/>
    <s v="Yamore"/>
    <d v="2024-06-07T00:00:00"/>
    <n v="0"/>
    <n v="1"/>
    <n v="4.1333333333333337"/>
    <n v="2.63E-3"/>
    <x v="12"/>
  </r>
  <r>
    <n v="0.51"/>
    <n v="119"/>
    <n v="0.82899999999999996"/>
    <x v="7"/>
    <n v="0.45"/>
    <s v="Mr. Probz, Robin Schulz"/>
    <n v="75"/>
    <s v="EDM Hits"/>
    <s v="Waves - Robin Schulz Radio Edit"/>
    <d v="2014-02-07T00:00:00"/>
    <n v="0"/>
    <n v="5"/>
    <n v="3.4666666666666668"/>
    <n v="8.2100000000000003E-3"/>
    <x v="5"/>
  </r>
  <r>
    <n v="0.876"/>
    <n v="129"/>
    <n v="0.67100000000000004"/>
    <x v="7"/>
    <n v="0.96399999999999997"/>
    <s v="Peggy Gou"/>
    <n v="75"/>
    <s v="Techno Bunker"/>
    <s v="(It Goes Like) Nanana - Edit"/>
    <d v="2023-06-15T00:00:00"/>
    <n v="0"/>
    <n v="7"/>
    <n v="3.85"/>
    <n v="0.12"/>
    <x v="11"/>
  </r>
  <r>
    <n v="0.76600000000000001"/>
    <n v="127"/>
    <n v="0.73499999999999999"/>
    <x v="7"/>
    <n v="0.6"/>
    <s v="Rihanna, Calvin Harris"/>
    <n v="75"/>
    <s v="EDM Hits"/>
    <s v="We Found Love"/>
    <d v="2011-11-19T00:00:00"/>
    <n v="1"/>
    <n v="1"/>
    <n v="3.5833333333333335"/>
    <n v="2.5000000000000001E-2"/>
    <x v="5"/>
  </r>
  <r>
    <n v="0.59299999999999997"/>
    <n v="119"/>
    <n v="0.79"/>
    <x v="7"/>
    <n v="0.72"/>
    <s v="Stromae"/>
    <n v="75"/>
    <s v="EDM Hits"/>
    <s v="Alors on danse - Radio Edit"/>
    <d v="2010-01-01T00:00:00"/>
    <n v="0"/>
    <n v="1"/>
    <n v="3.4333333333333331"/>
    <n v="9.8299999999999998E-2"/>
    <x v="5"/>
  </r>
  <r>
    <n v="0.59299999999999997"/>
    <n v="119"/>
    <n v="0.79"/>
    <x v="7"/>
    <n v="0.72"/>
    <s v="Stromae"/>
    <n v="75"/>
    <s v="French Touch"/>
    <s v="Alors on danse - Radio Edit"/>
    <d v="2010-01-01T00:00:00"/>
    <n v="0"/>
    <n v="1"/>
    <n v="3.4333333333333331"/>
    <n v="9.8299999999999998E-2"/>
    <x v="13"/>
  </r>
  <r>
    <n v="0.627"/>
    <n v="118"/>
    <n v="0.78800000000000003"/>
    <x v="7"/>
    <n v="0.90900000000000003"/>
    <s v="Carbonne"/>
    <n v="74"/>
    <s v="French Touch"/>
    <s v="Imagine"/>
    <d v="2024-05-03T00:00:00"/>
    <n v="0"/>
    <n v="0"/>
    <n v="2.75"/>
    <n v="0.69299999999999995"/>
    <x v="13"/>
  </r>
  <r>
    <n v="0.64100000000000001"/>
    <n v="141"/>
    <n v="0.52900000000000003"/>
    <x v="7"/>
    <n v="8.8999999999999996E-2"/>
    <s v="Clams Casino, Imogen Heap"/>
    <n v="74"/>
    <s v="Vaporwave Essentials"/>
    <s v="I'm God"/>
    <d v="2020-04-24T00:00:00"/>
    <n v="1"/>
    <n v="2"/>
    <n v="4.6166666666666663"/>
    <n v="7.1099999999999997E-2"/>
    <x v="14"/>
  </r>
  <r>
    <n v="0.69699999999999995"/>
    <n v="122"/>
    <n v="0.61299999999999999"/>
    <x v="7"/>
    <n v="0.47599999999999998"/>
    <s v="Daft Punk"/>
    <n v="74"/>
    <s v="EDM Hits"/>
    <s v="One More Time"/>
    <d v="2001-03-12T00:00:00"/>
    <n v="1"/>
    <n v="2"/>
    <n v="5.333333333333333"/>
    <n v="1.9400000000000001E-2"/>
    <x v="5"/>
  </r>
  <r>
    <n v="0.79300000000000004"/>
    <n v="870"/>
    <n v="0.54500000000000004"/>
    <x v="7"/>
    <n v="0.41099999999999998"/>
    <s v="Ella Henderson, Rudimental"/>
    <n v="74"/>
    <s v="Techno Bunker"/>
    <s v="Alibi (feat. Rudimental)"/>
    <d v="2024-01-12T00:00:00"/>
    <n v="0"/>
    <n v="0"/>
    <n v="3.0666666666666669"/>
    <n v="0.191"/>
    <x v="11"/>
  </r>
  <r>
    <n v="0.80500000000000005"/>
    <n v="126"/>
    <n v="0.50600000000000001"/>
    <x v="7"/>
    <n v="0.38300000000000001"/>
    <s v="Galantis"/>
    <n v="74"/>
    <s v="EDM Hits"/>
    <s v="Runaway (U &amp; I)"/>
    <d v="2015-06-05T00:00:00"/>
    <n v="1"/>
    <n v="1"/>
    <n v="3.7833333333333332"/>
    <n v="7.11E-3"/>
    <x v="5"/>
  </r>
  <r>
    <n v="0.85199999999999998"/>
    <n v="119"/>
    <n v="0.77900000000000003"/>
    <x v="7"/>
    <n v="0.60099999999999998"/>
    <s v="GIMS"/>
    <n v="74"/>
    <s v="French Touch"/>
    <s v="Est-ce que tu m'aimes ? - Pilule bleue"/>
    <d v="2015-08-28T00:00:00"/>
    <n v="1"/>
    <n v="2"/>
    <n v="3.95"/>
    <n v="0.23499999999999999"/>
    <x v="13"/>
  </r>
  <r>
    <n v="0.255"/>
    <n v="959"/>
    <n v="0.375"/>
    <x v="7"/>
    <n v="0.33100000000000002"/>
    <s v="Indila"/>
    <n v="74"/>
    <s v="French Touch"/>
    <s v="Love Story"/>
    <d v="2014-01-01T00:00:00"/>
    <n v="0"/>
    <n v="10"/>
    <n v="5.2666666666666666"/>
    <n v="0.81499999999999995"/>
    <x v="13"/>
  </r>
  <r>
    <n v="0.88600000000000001"/>
    <n v="120"/>
    <n v="0.65500000000000003"/>
    <x v="7"/>
    <n v="0.77800000000000002"/>
    <s v="IVE, David Guetta"/>
    <n v="74"/>
    <s v="Techno Bunker"/>
    <s v="Supernova Love"/>
    <d v="2024-11-08T00:00:00"/>
    <n v="0"/>
    <n v="10"/>
    <n v="3.3166666666666669"/>
    <n v="6.6000000000000003E-2"/>
    <x v="11"/>
  </r>
  <r>
    <n v="0.86099999999999999"/>
    <n v="117"/>
    <n v="0.73"/>
    <x v="7"/>
    <n v="0.70399999999999996"/>
    <s v="Jonas Blue, JP Cooper"/>
    <n v="74"/>
    <s v="EDM Hits"/>
    <s v="Perfect Strangers"/>
    <d v="2018-11-09T00:00:00"/>
    <n v="1"/>
    <n v="1"/>
    <n v="3.2666666666666666"/>
    <n v="0.39"/>
    <x v="5"/>
  </r>
  <r>
    <n v="0.63400000000000001"/>
    <n v="113"/>
    <n v="0.70399999999999996"/>
    <x v="7"/>
    <n v="0.41099999999999998"/>
    <s v="Kygo, Conrad Sewell"/>
    <n v="74"/>
    <s v="EDM Hits"/>
    <s v="Firestone"/>
    <d v="2016-05-13T00:00:00"/>
    <n v="0"/>
    <n v="11"/>
    <n v="4.5166666666666666"/>
    <n v="0.39300000000000002"/>
    <x v="5"/>
  </r>
  <r>
    <n v="0.98899999999999999"/>
    <n v="126"/>
    <n v="0.621"/>
    <x v="7"/>
    <n v="3.4799999999999998E-2"/>
    <s v="Shouse, David Guetta"/>
    <n v="74"/>
    <s v="EDM Hits"/>
    <s v="Love Tonight (David Guetta Remix Edit)"/>
    <d v="2021-06-11T00:00:00"/>
    <n v="0"/>
    <n v="10"/>
    <n v="2.6333333333333333"/>
    <n v="1.4999999999999999E-2"/>
    <x v="5"/>
  </r>
  <r>
    <n v="0.63700000000000001"/>
    <n v="120"/>
    <n v="0.84699999999999998"/>
    <x v="7"/>
    <n v="5.0900000000000001E-2"/>
    <s v="Zerb, Sofiya Nzau"/>
    <n v="74"/>
    <s v="Techno Bunker"/>
    <s v="Mwaki"/>
    <d v="2023-10-27T00:00:00"/>
    <n v="0"/>
    <n v="7"/>
    <n v="3.4666666666666668"/>
    <n v="0.20100000000000001"/>
    <x v="11"/>
  </r>
  <r>
    <n v="0.63700000000000001"/>
    <n v="120"/>
    <n v="0.84699999999999998"/>
    <x v="7"/>
    <n v="5.0900000000000001E-2"/>
    <s v="Zerb, Sofiya Nzau"/>
    <n v="74"/>
    <s v="Afro House"/>
    <s v="Mwaki"/>
    <d v="2023-10-27T00:00:00"/>
    <n v="0"/>
    <n v="7"/>
    <n v="3.4666666666666668"/>
    <n v="0.20100000000000001"/>
    <x v="12"/>
  </r>
  <r>
    <n v="0.46300000000000002"/>
    <n v="121"/>
    <n v="0.77800000000000002"/>
    <x v="7"/>
    <n v="0.496"/>
    <s v="Alok, Zeeba, Bruno Martini"/>
    <n v="73"/>
    <s v="EDM Hits"/>
    <s v="Hear Me Now"/>
    <d v="2016-10-21T00:00:00"/>
    <n v="1"/>
    <n v="11"/>
    <n v="3.2333333333333334"/>
    <n v="0.54600000000000004"/>
    <x v="5"/>
  </r>
  <r>
    <n v="0.73"/>
    <n v="859"/>
    <n v="0.59599999999999997"/>
    <x v="7"/>
    <n v="0.52500000000000002"/>
    <s v="David Guetta, AFROJACK, Bebe Rexha, Nicki Minaj"/>
    <n v="73"/>
    <s v="EDM Hits"/>
    <s v="Hey Mama (feat. Nicki Minaj, Bebe Rexha &amp; Afrojack)"/>
    <d v="2014-11-10T00:00:00"/>
    <n v="1"/>
    <n v="9"/>
    <n v="3.2"/>
    <n v="0.24"/>
    <x v="5"/>
  </r>
  <r>
    <n v="0.69499999999999995"/>
    <n v="104"/>
    <n v="0.58299999999999996"/>
    <x v="7"/>
    <n v="0.224"/>
    <s v="DJ Snake, Bipolar Sunshine"/>
    <n v="73"/>
    <s v="EDM Hits"/>
    <s v="Middle"/>
    <d v="2016-08-05T00:00:00"/>
    <n v="1"/>
    <n v="9"/>
    <n v="3.6666666666666665"/>
    <n v="1.38E-2"/>
    <x v="5"/>
  </r>
  <r>
    <n v="0.56799999999999995"/>
    <n v="117"/>
    <n v="0.78"/>
    <x v="7"/>
    <n v="0.45900000000000002"/>
    <s v="Felix Jaehn, Jasmine Thompson"/>
    <n v="73"/>
    <s v="EDM Hits"/>
    <s v="Ain't Nobody (Loves Me Better) (feat. Jasmine Thompson)"/>
    <d v="2018-02-16T00:00:00"/>
    <n v="0"/>
    <n v="2"/>
    <n v="3.1"/>
    <n v="0.66800000000000004"/>
    <x v="5"/>
  </r>
  <r>
    <n v="0.86199999999999999"/>
    <n v="128"/>
    <n v="0.498"/>
    <x v="7"/>
    <n v="0.46899999999999997"/>
    <s v="Guru Josh Project, Klaas"/>
    <n v="73"/>
    <s v="EDM Hits"/>
    <s v="Infinity 2008 - Klaas Vocal Edit"/>
    <d v="2008-05-07T00:00:00"/>
    <n v="0"/>
    <n v="7"/>
    <n v="3.2"/>
    <n v="3.1300000000000002E-4"/>
    <x v="5"/>
  </r>
  <r>
    <n v="0.874"/>
    <n v="910"/>
    <n v="0.53200000000000003"/>
    <x v="7"/>
    <n v="0.36099999999999999"/>
    <s v="Kavinsky"/>
    <n v="73"/>
    <s v="Vaporwave Essentials"/>
    <s v="Nightcall"/>
    <d v="1905-07-02T00:00:00"/>
    <n v="0"/>
    <n v="9"/>
    <n v="4.3"/>
    <n v="8.4200000000000004E-3"/>
    <x v="14"/>
  </r>
  <r>
    <n v="0.64700000000000002"/>
    <n v="117"/>
    <n v="0.58099999999999996"/>
    <x v="7"/>
    <n v="0.25700000000000001"/>
    <s v="Kronan, Nyaruach, Bakermat"/>
    <n v="73"/>
    <s v="Techno Bunker"/>
    <s v="Gatluak - Bakermat Remix"/>
    <d v="2021-07-23T00:00:00"/>
    <n v="0"/>
    <n v="11"/>
    <n v="2.3166666666666669"/>
    <n v="7.7799999999999994E-2"/>
    <x v="11"/>
  </r>
  <r>
    <n v="0.78500000000000003"/>
    <n v="123"/>
    <n v="0.621"/>
    <x v="7"/>
    <n v="0.77900000000000003"/>
    <s v="Nathan Dawe, Ella Henderson"/>
    <n v="73"/>
    <s v="Techno Bunker"/>
    <s v="21 Reasons (feat. Ella Henderson)"/>
    <d v="2022-04-29T00:00:00"/>
    <n v="1"/>
    <n v="6"/>
    <n v="2.5833333333333335"/>
    <n v="1.6500000000000001E-2"/>
    <x v="11"/>
  </r>
  <r>
    <n v="0.85699999999999998"/>
    <n v="119"/>
    <n v="0.56000000000000005"/>
    <x v="7"/>
    <n v="0.432"/>
    <s v="Olly Alexander (Years &amp; Years)"/>
    <n v="73"/>
    <s v="EDM Hits"/>
    <s v="King"/>
    <d v="2015-07-10T00:00:00"/>
    <n v="0"/>
    <n v="4"/>
    <n v="3.5833333333333335"/>
    <n v="5.9400000000000001E-2"/>
    <x v="5"/>
  </r>
  <r>
    <n v="0.91"/>
    <n v="130"/>
    <n v="0.52800000000000002"/>
    <x v="7"/>
    <n v="0.13700000000000001"/>
    <s v="Pastel Ghost"/>
    <n v="73"/>
    <s v="Vaporwave Essentials"/>
    <s v="Dark Beach"/>
    <d v="2015-03-10T00:00:00"/>
    <n v="0"/>
    <n v="9"/>
    <n v="3.7"/>
    <n v="0.34599999999999997"/>
    <x v="14"/>
  </r>
  <r>
    <n v="0.68100000000000005"/>
    <n v="101"/>
    <n v="0.79800000000000004"/>
    <x v="7"/>
    <n v="0.434"/>
    <s v="SativaMusic, Morad, GIMS"/>
    <n v="73"/>
    <s v="French Touch"/>
    <s v="Seya"/>
    <d v="2023-10-06T00:00:00"/>
    <n v="0"/>
    <n v="10"/>
    <n v="3.1333333333333333"/>
    <n v="0.219"/>
    <x v="13"/>
  </r>
  <r>
    <n v="0.77400000000000002"/>
    <n v="112"/>
    <n v="0.67400000000000004"/>
    <x v="7"/>
    <n v="0.33"/>
    <s v="Surf Mesa, Emilee"/>
    <n v="73"/>
    <s v="EDM Hits"/>
    <s v="ily (i love you baby) (feat. Emilee)"/>
    <d v="2019-11-26T00:00:00"/>
    <n v="0"/>
    <n v="11"/>
    <n v="2.9333333333333331"/>
    <n v="6.8599999999999994E-2"/>
    <x v="5"/>
  </r>
  <r>
    <n v="0.622"/>
    <n v="102"/>
    <n v="0.69"/>
    <x v="7"/>
    <n v="0.54400000000000004"/>
    <s v="Zedd, Alessia Cara"/>
    <n v="73"/>
    <s v="EDM Hits"/>
    <s v="Stay"/>
    <d v="2017-02-23T00:00:00"/>
    <n v="0"/>
    <n v="5"/>
    <n v="3.5"/>
    <n v="0.253"/>
    <x v="5"/>
  </r>
  <r>
    <n v="0.78100000000000003"/>
    <n v="128"/>
    <n v="0.50900000000000001"/>
    <x v="7"/>
    <n v="0.17599999999999999"/>
    <s v="Zedd, Foxes"/>
    <n v="73"/>
    <s v="EDM Hits"/>
    <s v="Clarity"/>
    <d v="2012-01-01T00:00:00"/>
    <n v="1"/>
    <n v="8"/>
    <n v="4.5166666666666666"/>
    <n v="3.9800000000000002E-2"/>
    <x v="5"/>
  </r>
  <r>
    <n v="0.58599999999999997"/>
    <n v="120"/>
    <n v="0.79900000000000004"/>
    <x v="7"/>
    <n v="0.54900000000000004"/>
    <s v="Clean Bandit, Jess Glynne"/>
    <n v="72"/>
    <s v="EDM Hits"/>
    <s v="Rather Be (feat. Jess Glynne)"/>
    <d v="2014-06-02T00:00:00"/>
    <n v="1"/>
    <n v="11"/>
    <n v="3.7833333333333332"/>
    <n v="0.16200000000000001"/>
    <x v="5"/>
  </r>
  <r>
    <n v="0.82099999999999995"/>
    <n v="125"/>
    <n v="0.84799999999999998"/>
    <x v="7"/>
    <n v="0.249"/>
    <s v="iñwnboss, Sevek"/>
    <n v="72"/>
    <s v="Techno Bunker"/>
    <s v="Move Your Body"/>
    <d v="2021-10-29T00:00:00"/>
    <n v="0"/>
    <n v="2"/>
    <n v="2.6166666666666667"/>
    <n v="1.6899999999999998E-2"/>
    <x v="11"/>
  </r>
  <r>
    <n v="0.81"/>
    <n v="126"/>
    <n v="0.57199999999999995"/>
    <x v="7"/>
    <n v="0.11"/>
    <s v="Lana Del Rey, Cedric Gervais"/>
    <n v="72"/>
    <s v="EDM Hits"/>
    <s v="Summertime Sadness (Lana Del Rey Vs. Cedric Gervais) - Cedric Gervais Remix"/>
    <d v="2013-02-01T00:00:00"/>
    <n v="0"/>
    <n v="1"/>
    <n v="3.5666666666666669"/>
    <n v="1.5699999999999999E-2"/>
    <x v="5"/>
  </r>
  <r>
    <n v="0.94199999999999995"/>
    <n v="120"/>
    <n v="0.76200000000000001"/>
    <x v="7"/>
    <n v="3.7999999999999999E-2"/>
    <s v="Lavern"/>
    <n v="72"/>
    <s v="Tropical House"/>
    <s v="Hold Me"/>
    <d v="2023-03-31T00:00:00"/>
    <n v="0"/>
    <n v="9"/>
    <n v="2.3333333333333335"/>
    <n v="0.58599999999999997"/>
    <x v="10"/>
  </r>
  <r>
    <n v="0.94199999999999995"/>
    <n v="120"/>
    <n v="0.76200000000000001"/>
    <x v="7"/>
    <n v="3.7999999999999999E-2"/>
    <s v="Lavern"/>
    <n v="72"/>
    <s v="Deep House Relax"/>
    <s v="Hold Me"/>
    <d v="2023-03-31T00:00:00"/>
    <n v="0"/>
    <n v="9"/>
    <n v="2.3333333333333335"/>
    <n v="0.58599999999999997"/>
    <x v="15"/>
  </r>
  <r>
    <n v="0.84099999999999997"/>
    <n v="129"/>
    <n v="0.71399999999999997"/>
    <x v="7"/>
    <n v="0.86499999999999999"/>
    <s v="LAVINIA, Ely Oaks"/>
    <n v="72"/>
    <s v="Techno Bunker"/>
    <s v="K.O."/>
    <d v="2024-08-09T00:00:00"/>
    <n v="0"/>
    <n v="5"/>
    <n v="2.2833333333333332"/>
    <n v="6.2199999999999998E-2"/>
    <x v="11"/>
  </r>
  <r>
    <n v="0.73599999999999999"/>
    <n v="130"/>
    <n v="0.75"/>
    <x v="7"/>
    <n v="0.35499999999999998"/>
    <s v="LMFAO, Lauren Bennett, GoonRock"/>
    <n v="72"/>
    <s v="EDM Hits"/>
    <s v="Party Rock Anthem"/>
    <d v="2011-01-01T00:00:00"/>
    <n v="0"/>
    <n v="5"/>
    <n v="4.3666666666666663"/>
    <n v="2.0199999999999999E-2"/>
    <x v="5"/>
  </r>
  <r>
    <n v="0.71499999999999997"/>
    <n v="113"/>
    <n v="0.55200000000000005"/>
    <x v="7"/>
    <n v="0.85799999999999998"/>
    <s v="Macabre Plaza"/>
    <n v="72"/>
    <s v="Vaporwave Essentials"/>
    <s v="A Bird's Last Look"/>
    <d v="2022-04-21T00:00:00"/>
    <n v="1"/>
    <n v="2"/>
    <n v="11.583333333333334"/>
    <n v="2.86E-2"/>
    <x v="14"/>
  </r>
  <r>
    <n v="0.85499999999999998"/>
    <n v="750"/>
    <n v="0.60499999999999998"/>
    <x v="7"/>
    <n v="0.30199999999999999"/>
    <s v="Niklas Dee, Renie Miller"/>
    <n v="72"/>
    <s v="Techno Bunker"/>
    <s v="Around The World"/>
    <d v="2024-08-02T00:00:00"/>
    <n v="0"/>
    <n v="10"/>
    <n v="2.3333333333333335"/>
    <n v="0.47299999999999998"/>
    <x v="11"/>
  </r>
  <r>
    <n v="0.78100000000000003"/>
    <n v="119"/>
    <n v="0.751"/>
    <x v="7"/>
    <n v="0.81399999999999995"/>
    <s v="Taio Cruz"/>
    <n v="72"/>
    <s v="EDM Hits"/>
    <s v="Dynamite"/>
    <d v="2010-01-01T00:00:00"/>
    <n v="1"/>
    <n v="4"/>
    <n v="3.3666666666666667"/>
    <n v="3.8999999999999998E-3"/>
    <x v="5"/>
  </r>
  <r>
    <n v="0.62"/>
    <n v="120"/>
    <n v="0.79800000000000004"/>
    <x v="7"/>
    <n v="0.23499999999999999"/>
    <s v="Tii´sto"/>
    <n v="72"/>
    <s v="EDM Hits"/>
    <s v="The Business"/>
    <d v="2020-09-16T00:00:00"/>
    <n v="0"/>
    <n v="8"/>
    <n v="2.7333333333333334"/>
    <n v="0.41399999999999998"/>
    <x v="5"/>
  </r>
  <r>
    <n v="0.72"/>
    <n v="122"/>
    <n v="0.78900000000000003"/>
    <x v="7"/>
    <n v="0.66400000000000003"/>
    <s v="Topic, A7S"/>
    <n v="72"/>
    <s v="EDM Hits"/>
    <s v="Breaking Me"/>
    <d v="2019-12-19T00:00:00"/>
    <n v="0"/>
    <n v="8"/>
    <n v="2.7666666666666666"/>
    <n v="0.223"/>
    <x v="5"/>
  </r>
  <r>
    <n v="0.59399999999999997"/>
    <n v="129"/>
    <n v="0.85299999999999998"/>
    <x v="7"/>
    <n v="0.83"/>
    <s v="BLOND:ISH, Stevie Appleton"/>
    <n v="71"/>
    <s v="Techno Bunker"/>
    <s v="Never Walk Alone"/>
    <d v="2024-08-02T00:00:00"/>
    <n v="0"/>
    <n v="6"/>
    <n v="3.1333333333333333"/>
    <n v="5.1999999999999998E-2"/>
    <x v="11"/>
  </r>
  <r>
    <n v="0.79500000000000004"/>
    <n v="121"/>
    <n v="0.95599999999999996"/>
    <x v="7"/>
    <n v="0.84099999999999997"/>
    <s v="Daft Punk"/>
    <n v="71"/>
    <s v="EDM Hits"/>
    <s v="Around the World"/>
    <d v="1997-01-17T00:00:00"/>
    <n v="1"/>
    <n v="7"/>
    <n v="7.15"/>
    <n v="3.5599999999999998E-3"/>
    <x v="5"/>
  </r>
  <r>
    <n v="0.92100000000000004"/>
    <n v="130"/>
    <n v="0.69099999999999995"/>
    <x v="7"/>
    <n v="0.8"/>
    <s v="David Guetta, Ne-Yo, Akon"/>
    <n v="71"/>
    <s v="EDM Hits"/>
    <s v="Play Hard (feat. Ne-Yo &amp; Akon)"/>
    <d v="2012-12-07T00:00:00"/>
    <n v="0"/>
    <n v="8"/>
    <n v="3.35"/>
    <n v="0.17299999999999999"/>
    <x v="5"/>
  </r>
  <r>
    <n v="0.82099999999999995"/>
    <n v="140"/>
    <n v="0.77700000000000002"/>
    <x v="7"/>
    <n v="0.439"/>
    <s v="Hannah Laing, RoRo"/>
    <n v="71"/>
    <s v="Techno Bunker"/>
    <s v="Good Love"/>
    <d v="2023-05-12T00:00:00"/>
    <n v="1"/>
    <n v="1"/>
    <n v="2.8166666666666669"/>
    <n v="0.14000000000000001"/>
    <x v="11"/>
  </r>
  <r>
    <n v="0.94599999999999995"/>
    <n v="120"/>
    <n v="0.54200000000000004"/>
    <x v="7"/>
    <n v="0.22900000000000001"/>
    <s v="HUGEL, Diplo, Malou, Yuna"/>
    <n v="71"/>
    <s v="Afro House"/>
    <s v="Forever (feat. Malou &amp; Yuna)"/>
    <d v="2024-09-20T00:00:00"/>
    <n v="0"/>
    <n v="9"/>
    <n v="2.3333333333333335"/>
    <n v="3.1199999999999999E-2"/>
    <x v="12"/>
  </r>
  <r>
    <n v="0.90600000000000003"/>
    <n v="125"/>
    <n v="0.71099999999999997"/>
    <x v="7"/>
    <n v="0.82399999999999995"/>
    <s v="Icona Pop, Charli xcx"/>
    <n v="71"/>
    <s v="EDM Hits"/>
    <s v="I Love It (feat. Charli XCX)"/>
    <d v="2013-08-27T00:00:00"/>
    <n v="1"/>
    <n v="8"/>
    <n v="2.6166666666666667"/>
    <n v="9.5200000000000007E-3"/>
    <x v="5"/>
  </r>
  <r>
    <n v="0.78200000000000003"/>
    <n v="127"/>
    <n v="0.76300000000000001"/>
    <x v="7"/>
    <n v="0.502"/>
    <s v="Jax Jones, MNEK"/>
    <n v="71"/>
    <s v="Techno Bunker"/>
    <s v="Where Did You Go? (feat. MNEK)"/>
    <d v="2022-02-04T00:00:00"/>
    <n v="0"/>
    <n v="7"/>
    <n v="2.95"/>
    <n v="0.182"/>
    <x v="11"/>
  </r>
  <r>
    <n v="0.58299999999999996"/>
    <n v="126"/>
    <n v="0.79300000000000004"/>
    <x v="7"/>
    <n v="0.97"/>
    <s v="Jungeli, Imen Es, Alonzo, Abou Debeing, Lossa"/>
    <n v="71"/>
    <s v="French Touch"/>
    <s v="Petit g√©nie"/>
    <d v="2023-08-04T00:00:00"/>
    <n v="0"/>
    <n v="1"/>
    <n v="3.6166666666666667"/>
    <n v="0.106"/>
    <x v="13"/>
  </r>
  <r>
    <n v="0.83099999999999996"/>
    <n v="132"/>
    <n v="0.79800000000000004"/>
    <x v="7"/>
    <n v="0.72099999999999997"/>
    <s v="Soolking, Gazo"/>
    <n v="71"/>
    <s v="French Touch"/>
    <s v="Casanova"/>
    <d v="2023-07-06T00:00:00"/>
    <n v="0"/>
    <n v="7"/>
    <n v="3.15"/>
    <n v="0.69699999999999995"/>
    <x v="13"/>
  </r>
  <r>
    <n v="0.80200000000000005"/>
    <n v="100"/>
    <n v="0.71299999999999997"/>
    <x v="7"/>
    <n v="0.34300000000000003"/>
    <s v="The Chainsmokers, ROZES"/>
    <n v="71"/>
    <s v="EDM Hits"/>
    <s v="Roses"/>
    <d v="2015-06-16T00:00:00"/>
    <n v="1"/>
    <n v="4"/>
    <n v="3.7666666666666666"/>
    <n v="4.3499999999999997E-2"/>
    <x v="5"/>
  </r>
  <r>
    <n v="0.80200000000000005"/>
    <n v="100"/>
    <n v="0.71299999999999997"/>
    <x v="7"/>
    <n v="0.34300000000000003"/>
    <s v="The Chainsmokers, ROZES"/>
    <n v="71"/>
    <s v="Future Bass"/>
    <s v="Roses"/>
    <d v="2015-06-16T00:00:00"/>
    <n v="1"/>
    <n v="4"/>
    <n v="3.7666666666666666"/>
    <n v="4.3499999999999997E-2"/>
    <x v="16"/>
  </r>
  <r>
    <n v="0.56899999999999995"/>
    <n v="115"/>
    <n v="0.77200000000000002"/>
    <x v="7"/>
    <n v="0.52500000000000002"/>
    <s v="Tiakola, Genezio, Prototype"/>
    <n v="71"/>
    <s v="French Touch"/>
    <s v="PONA NINI"/>
    <d v="2024-09-20T00:00:00"/>
    <n v="0"/>
    <n v="6"/>
    <n v="4.0999999999999996"/>
    <n v="0.23499999999999999"/>
    <x v="13"/>
  </r>
  <r>
    <n v="0.70899999999999996"/>
    <n v="130"/>
    <n v="0.872"/>
    <x v="7"/>
    <n v="0.309"/>
    <s v="Tiakola, Ryflo, Oskoow"/>
    <n v="71"/>
    <s v="French Touch"/>
    <s v="MANON B"/>
    <d v="2024-08-29T00:00:00"/>
    <n v="1"/>
    <n v="10"/>
    <n v="2.8166666666666669"/>
    <n v="0.33600000000000002"/>
    <x v="13"/>
  </r>
  <r>
    <n v="0.83599999999999997"/>
    <n v="113"/>
    <n v="0.72899999999999998"/>
    <x v="7"/>
    <n v="0.28799999999999998"/>
    <s v="TWOPILOTS"/>
    <n v="71"/>
    <s v="Tropical House"/>
    <s v="Riptide"/>
    <d v="2022-04-21T00:00:00"/>
    <n v="1"/>
    <n v="8"/>
    <n v="2.5666666666666669"/>
    <n v="0.156"/>
    <x v="10"/>
  </r>
  <r>
    <n v="0.14899999999999999"/>
    <n v="820"/>
    <n v="0.48499999999999999"/>
    <x v="7"/>
    <n v="0.112"/>
    <s v=".diedlonely, ienouement"/>
    <n v="70"/>
    <s v="Vaporwave Essentials"/>
    <s v="stellar"/>
    <d v="2023-06-23T00:00:00"/>
    <n v="0"/>
    <n v="8"/>
    <n v="16.600000000000001"/>
    <n v="0.88600000000000001"/>
    <x v="14"/>
  </r>
  <r>
    <n v="0.748"/>
    <n v="125"/>
    <n v="0.503"/>
    <x v="7"/>
    <n v="0.35599999999999998"/>
    <s v="Alesso, Tove Lo"/>
    <n v="70"/>
    <s v="EDM Hits"/>
    <s v="Heroes (we could be)"/>
    <d v="2015-05-22T00:00:00"/>
    <n v="1"/>
    <n v="5"/>
    <n v="3.5"/>
    <n v="3.0499999999999999E-2"/>
    <x v="5"/>
  </r>
  <r>
    <n v="0.83299999999999996"/>
    <n v="129"/>
    <n v="0.55100000000000005"/>
    <x v="7"/>
    <n v="0.14499999999999999"/>
    <s v="Armin van Buuren, Trevor Guthrie"/>
    <n v="70"/>
    <s v="EDM Hits"/>
    <s v="This Is What It Feels Like"/>
    <d v="2013-05-03T00:00:00"/>
    <n v="1"/>
    <n v="8"/>
    <n v="3.4"/>
    <n v="3.9100000000000003E-2"/>
    <x v="5"/>
  </r>
  <r>
    <n v="0.81699999999999995"/>
    <n v="128"/>
    <n v="0.88300000000000001"/>
    <x v="7"/>
    <n v="0.59499999999999997"/>
    <s v="AronChupa, Little Sis Nora"/>
    <n v="70"/>
    <s v="EDM Hits"/>
    <s v="I'm an Albatraoz"/>
    <d v="2014-08-08T00:00:00"/>
    <n v="1"/>
    <n v="0"/>
    <n v="2.7666666666666666"/>
    <n v="0.60099999999999998"/>
    <x v="5"/>
  </r>
  <r>
    <n v="0.68700000000000006"/>
    <n v="106"/>
    <n v="0.60499999999999998"/>
    <x v="7"/>
    <n v="0.12"/>
    <s v="Daft Punk"/>
    <n v="70"/>
    <s v="Vaporwave Essentials"/>
    <s v="Veridis Quo"/>
    <d v="2001-03-12T00:00:00"/>
    <n v="0"/>
    <n v="9"/>
    <n v="5.75"/>
    <n v="0.47899999999999998"/>
    <x v="14"/>
  </r>
  <r>
    <n v="0.91300000000000003"/>
    <n v="123"/>
    <n v="0.60599999999999998"/>
    <x v="7"/>
    <n v="0.83799999999999997"/>
    <s v="Desireless"/>
    <n v="70"/>
    <s v="French Touch"/>
    <s v="Voyage voyage"/>
    <d v="2001-01-02T00:00:00"/>
    <n v="0"/>
    <n v="8"/>
    <n v="4.4333333333333336"/>
    <n v="0.246"/>
    <x v="13"/>
  </r>
  <r>
    <n v="0.39200000000000002"/>
    <n v="750"/>
    <n v="0.59899999999999998"/>
    <x v="7"/>
    <n v="0.26"/>
    <s v="Disclosure, Eliza Doolittle, Flume"/>
    <n v="70"/>
    <s v="EDM Hits"/>
    <s v="You &amp; Me - Flume Remix"/>
    <d v="2013-06-03T00:00:00"/>
    <n v="0"/>
    <n v="10"/>
    <n v="4.7"/>
    <n v="0.378"/>
    <x v="5"/>
  </r>
  <r>
    <n v="0.39200000000000002"/>
    <n v="750"/>
    <n v="0.59899999999999998"/>
    <x v="7"/>
    <n v="0.26"/>
    <s v="Disclosure, Eliza Doolittle, Flume"/>
    <n v="70"/>
    <s v="Future Bass"/>
    <s v="You &amp; Me - Flume Remix"/>
    <d v="2013-06-03T00:00:00"/>
    <n v="0"/>
    <n v="10"/>
    <n v="4.7"/>
    <n v="0.378"/>
    <x v="16"/>
  </r>
  <r>
    <n v="0.86699999999999999"/>
    <n v="124"/>
    <n v="0.747"/>
    <x v="7"/>
    <n v="0.68400000000000005"/>
    <s v="Fred again.., Obongjayar"/>
    <n v="70"/>
    <s v="Techno Bunker"/>
    <s v="adore u"/>
    <d v="2023-08-11T00:00:00"/>
    <n v="1"/>
    <n v="0"/>
    <n v="3.6666666666666665"/>
    <n v="0.58199999999999996"/>
    <x v="11"/>
  </r>
  <r>
    <n v="0.56999999999999995"/>
    <n v="121"/>
    <n v="0.65500000000000003"/>
    <x v="7"/>
    <n v="0.48699999999999999"/>
    <s v="Gordo, Drake"/>
    <n v="70"/>
    <s v="Afro House"/>
    <s v="Sideways"/>
    <d v="2024-07-26T00:00:00"/>
    <n v="0"/>
    <n v="5"/>
    <n v="4.2166666666666668"/>
    <n v="0.52700000000000002"/>
    <x v="12"/>
  </r>
  <r>
    <n v="0.79100000000000004"/>
    <n v="122"/>
    <n v="0.57099999999999995"/>
    <x v="7"/>
    <n v="0.58499999999999996"/>
    <s v="Kygo, Zak Abel, Nile Rodgers"/>
    <n v="70"/>
    <s v="Tropical House"/>
    <s v="For Life (feat. Nile Rodgers)"/>
    <d v="2024-04-19T00:00:00"/>
    <n v="1"/>
    <n v="1"/>
    <n v="2.9166666666666665"/>
    <n v="4.9399999999999999E-2"/>
    <x v="10"/>
  </r>
  <r>
    <n v="8.2299999999999998E-2"/>
    <n v="672"/>
    <n v="0.252"/>
    <x v="7"/>
    <n v="3.8100000000000002E-2"/>
    <s v="leadwave"/>
    <n v="70"/>
    <s v="Vaporwave Essentials"/>
    <s v="memories"/>
    <d v="2022-09-23T00:00:00"/>
    <n v="1"/>
    <n v="5"/>
    <n v="14.383333333333333"/>
    <n v="0.95099999999999996"/>
    <x v="14"/>
  </r>
  <r>
    <n v="0.80900000000000005"/>
    <n v="116"/>
    <n v="0.73199999999999998"/>
    <x v="7"/>
    <n v="0.253"/>
    <s v="Stromae"/>
    <n v="70"/>
    <s v="French Touch"/>
    <s v="Papaoutai"/>
    <d v="2013-01-01T00:00:00"/>
    <n v="0"/>
    <n v="10"/>
    <n v="3.8666666666666667"/>
    <n v="2.6599999999999999E-2"/>
    <x v="13"/>
  </r>
  <r>
    <n v="0.629"/>
    <n v="705"/>
    <n v="0.51300000000000001"/>
    <x v="7"/>
    <n v="0.498"/>
    <s v="Stromae"/>
    <n v="70"/>
    <s v="French Touch"/>
    <s v="Formidable"/>
    <d v="2013-01-01T00:00:00"/>
    <n v="0"/>
    <n v="4"/>
    <n v="3.55"/>
    <n v="9.8599999999999993E-2"/>
    <x v="13"/>
  </r>
  <r>
    <n v="0.72299999999999998"/>
    <n v="123"/>
    <n v="0.78700000000000003"/>
    <x v="7"/>
    <n v="0.57899999999999996"/>
    <s v="Wakyin, Carlos Vives"/>
    <n v="70"/>
    <s v="Afro House"/>
    <s v="Beso (Fruta Fresca)"/>
    <d v="2023-12-13T00:00:00"/>
    <n v="0"/>
    <n v="10"/>
    <n v="3.2833333333333332"/>
    <n v="5.0900000000000001E-2"/>
    <x v="12"/>
  </r>
  <r>
    <n v="0.872"/>
    <n v="122"/>
    <n v="0.43"/>
    <x v="7"/>
    <n v="0.13600000000000001"/>
    <s v="Alex Wann, Route 94, Jess Glynne"/>
    <n v="69"/>
    <s v="Afro House"/>
    <s v="My Love (2024)"/>
    <d v="2024-08-30T00:00:00"/>
    <n v="1"/>
    <n v="1"/>
    <n v="3.0666666666666669"/>
    <n v="0.11799999999999999"/>
    <x v="12"/>
  </r>
  <r>
    <n v="0.86299999999999999"/>
    <n v="130"/>
    <n v="0.65200000000000002"/>
    <x v="7"/>
    <n v="0.80500000000000005"/>
    <s v="Gabry Ponte, Sean Paul, NATTI NATASHA"/>
    <n v="69"/>
    <s v="Techno Bunker"/>
    <s v="Born To Love Ya"/>
    <d v="2024-10-04T00:00:00"/>
    <n v="0"/>
    <n v="7"/>
    <n v="2.5833333333333335"/>
    <n v="9.2100000000000001E-2"/>
    <x v="11"/>
  </r>
  <r>
    <n v="0.93700000000000006"/>
    <n v="123"/>
    <n v="0.65100000000000002"/>
    <x v="7"/>
    <n v="0.66600000000000004"/>
    <s v="Jain, Ian Asher"/>
    <n v="69"/>
    <s v="Techno Bunker"/>
    <s v="Makeba - Ian Asher Remix"/>
    <d v="2023-01-13T00:00:00"/>
    <n v="1"/>
    <n v="7"/>
    <n v="2.0833333333333335"/>
    <n v="0.23599999999999999"/>
    <x v="11"/>
  </r>
  <r>
    <n v="0.89700000000000002"/>
    <n v="124"/>
    <n v="0.68899999999999995"/>
    <x v="7"/>
    <n v="0.58199999999999996"/>
    <s v="Jax Jones, Calum Scott"/>
    <n v="69"/>
    <s v="Techno Bunker"/>
    <s v="Whistle (feat. Calum Scott)"/>
    <d v="2023-02-10T00:00:00"/>
    <n v="0"/>
    <n v="10"/>
    <n v="3.0166666666666666"/>
    <n v="0.14499999999999999"/>
    <x v="11"/>
  </r>
  <r>
    <n v="0.85499999999999998"/>
    <n v="117"/>
    <n v="0.53400000000000003"/>
    <x v="7"/>
    <n v="0.60099999999999998"/>
    <s v="Pastel Ghost"/>
    <n v="69"/>
    <s v="Vaporwave Essentials"/>
    <s v="Iris"/>
    <d v="1905-07-07T00:00:00"/>
    <n v="0"/>
    <n v="8"/>
    <n v="3.6333333333333333"/>
    <n v="4.2999999999999999E-4"/>
    <x v="14"/>
  </r>
  <r>
    <n v="0.83"/>
    <n v="120"/>
    <n v="0.80800000000000005"/>
    <x v="7"/>
    <n v="0.46500000000000002"/>
    <s v="RAFFA GUIDO"/>
    <n v="69"/>
    <s v="Afro House"/>
    <s v="Famax - Edit"/>
    <d v="2024-02-23T00:00:00"/>
    <n v="1"/>
    <n v="1"/>
    <n v="3.55"/>
    <n v="5.7499999999999999E-3"/>
    <x v="12"/>
  </r>
  <r>
    <n v="0.71399999999999997"/>
    <n v="127"/>
    <n v="0.63400000000000001"/>
    <x v="7"/>
    <n v="0.40899999999999997"/>
    <s v="Robin Schulz, CYRIL, Sam Martin"/>
    <n v="69"/>
    <s v="Techno Bunker"/>
    <s v="World Gone Wild (feat. Sam Martin)"/>
    <d v="2024-10-11T00:00:00"/>
    <n v="1"/>
    <n v="7"/>
    <n v="2.4333333333333331"/>
    <n v="8.8199999999999997E-3"/>
    <x v="11"/>
  </r>
  <r>
    <n v="0.70799999999999996"/>
    <n v="130"/>
    <n v="0.872"/>
    <x v="7"/>
    <n v="0.308"/>
    <s v="Tiakola, Ryflo, Oskoow"/>
    <n v="69"/>
    <s v="French Touch"/>
    <s v="MANON B"/>
    <d v="2024-09-20T00:00:00"/>
    <n v="1"/>
    <n v="10"/>
    <n v="2.8166666666666669"/>
    <n v="0.33600000000000002"/>
    <x v="13"/>
  </r>
  <r>
    <n v="0.88800000000000001"/>
    <n v="123"/>
    <n v="0.67100000000000004"/>
    <x v="7"/>
    <n v="0.41199999999999998"/>
    <s v="Tii´sto, Soaky Siren"/>
    <n v="69"/>
    <s v="Techno Bunker"/>
    <s v="Tantalizing"/>
    <d v="2024-11-08T00:00:00"/>
    <n v="0"/>
    <n v="10"/>
    <n v="2.4333333333333331"/>
    <n v="2.2000000000000001E-3"/>
    <x v="11"/>
  </r>
  <r>
    <n v="0.78200000000000003"/>
    <n v="119"/>
    <n v="0.72699999999999998"/>
    <x v="7"/>
    <n v="0.65500000000000003"/>
    <s v="Adam Port, Stryv, Keinemusik, Orso, Malachiii"/>
    <n v="68"/>
    <s v="Afro House"/>
    <s v="Move"/>
    <d v="2024-06-07T00:00:00"/>
    <n v="0"/>
    <n v="8"/>
    <n v="2.95"/>
    <n v="5.6300000000000003E-2"/>
    <x v="12"/>
  </r>
  <r>
    <n v="0.88"/>
    <n v="130"/>
    <n v="0.58799999999999997"/>
    <x v="7"/>
    <n v="0.52300000000000002"/>
    <s v="Alok, Bebe Rexha"/>
    <n v="68"/>
    <s v="Techno Bunker"/>
    <s v="Deep In Your Love"/>
    <d v="2024-01-12T00:00:00"/>
    <n v="1"/>
    <n v="7"/>
    <n v="2.4"/>
    <n v="2.4299999999999999E-2"/>
    <x v="11"/>
  </r>
  <r>
    <n v="0.79700000000000004"/>
    <n v="979"/>
    <n v="0.81100000000000005"/>
    <x v="7"/>
    <n v="0.54100000000000004"/>
    <s v="Aya Nakamura"/>
    <n v="68"/>
    <s v="French Touch"/>
    <s v="Djadja"/>
    <d v="2018-11-02T00:00:00"/>
    <n v="1"/>
    <n v="5"/>
    <n v="2.85"/>
    <n v="6.1699999999999998E-2"/>
    <x v="13"/>
  </r>
  <r>
    <n v="0.95099999999999996"/>
    <n v="749"/>
    <n v="0.77200000000000002"/>
    <x v="7"/>
    <n v="0.4"/>
    <s v="Dimitri Vegas, Steve Aoki, Ann Lee, Sound Of Legend"/>
    <n v="68"/>
    <s v="Techno Bunker"/>
    <s v="2 Times"/>
    <d v="2024-10-04T00:00:00"/>
    <n v="0"/>
    <n v="9"/>
    <n v="2.5333333333333332"/>
    <n v="6.3399999999999998E-2"/>
    <x v="11"/>
  </r>
  <r>
    <n v="0.754"/>
    <n v="170"/>
    <n v="0.56399999999999995"/>
    <x v="7"/>
    <n v="0.45700000000000002"/>
    <s v="Home"/>
    <n v="68"/>
    <s v="Vaporwave Essentials"/>
    <s v="Resonance"/>
    <d v="2014-07-01T00:00:00"/>
    <n v="1"/>
    <n v="8"/>
    <n v="3.5333333333333332"/>
    <n v="4.24E-2"/>
    <x v="14"/>
  </r>
  <r>
    <n v="0.879"/>
    <n v="123"/>
    <n v="0.74099999999999999"/>
    <x v="7"/>
    <n v="0.36199999999999999"/>
    <s v="James Mac, Vall, Rosalie"/>
    <n v="68"/>
    <s v="Afro House"/>
    <s v="The Boy Is Mine"/>
    <d v="2023-06-23T00:00:00"/>
    <n v="0"/>
    <n v="1"/>
    <n v="3.35"/>
    <n v="8.4099999999999994E-2"/>
    <x v="12"/>
  </r>
  <r>
    <n v="0.60599999999999998"/>
    <n v="123"/>
    <n v="0.56699999999999995"/>
    <x v="7"/>
    <n v="0.314"/>
    <s v="Kygo, Sandro Cavazza"/>
    <n v="68"/>
    <s v="Techno Bunker"/>
    <s v="Hold On Me"/>
    <d v="2024-11-15T00:00:00"/>
    <n v="0"/>
    <n v="10"/>
    <n v="2.85"/>
    <n v="8.0100000000000005E-2"/>
    <x v="11"/>
  </r>
  <r>
    <n v="0.68799999999999994"/>
    <n v="127"/>
    <n v="0.60799999999999998"/>
    <x v="7"/>
    <n v="0.214"/>
    <s v="Lost Frequencies"/>
    <n v="68"/>
    <s v="Techno Bunker"/>
    <s v="Love Is The Only Thing"/>
    <d v="2024-11-08T00:00:00"/>
    <n v="0"/>
    <n v="5"/>
    <n v="2.85"/>
    <n v="5.5399999999999998E-2"/>
    <x v="11"/>
  </r>
  <r>
    <n v="0.95299999999999996"/>
    <n v="141"/>
    <n v="0.63100000000000001"/>
    <x v="7"/>
    <n v="0.42199999999999999"/>
    <s v="Marshmello"/>
    <n v="68"/>
    <s v="Future Bass"/>
    <s v="Alone"/>
    <d v="2016-05-13T00:00:00"/>
    <n v="1"/>
    <n v="2"/>
    <n v="4.55"/>
    <n v="2.41E-2"/>
    <x v="16"/>
  </r>
  <r>
    <n v="0.8"/>
    <n v="119"/>
    <n v="0.72399999999999998"/>
    <x v="7"/>
    <n v="0.92500000000000004"/>
    <s v="Purple Disco Machine, Benjamin Ingrosso, Nile Rodgers, Shenseea"/>
    <n v="68"/>
    <s v="Techno Bunker"/>
    <s v="Honey Boy (feat. Nile Rodgers &amp; Shenseea)"/>
    <d v="2024-05-03T00:00:00"/>
    <n v="0"/>
    <n v="5"/>
    <n v="3.7833333333333332"/>
    <n v="1.03E-2"/>
    <x v="11"/>
  </r>
  <r>
    <n v="0.63800000000000001"/>
    <n v="109"/>
    <n v="0.70099999999999996"/>
    <x v="7"/>
    <n v="0.64600000000000002"/>
    <s v="Stromae"/>
    <n v="68"/>
    <s v="French Touch"/>
    <s v="Tous les mmes"/>
    <d v="2013-01-01T00:00:00"/>
    <n v="0"/>
    <n v="5"/>
    <n v="3.5"/>
    <n v="0.223"/>
    <x v="13"/>
  </r>
  <r>
    <n v="0.83099999999999996"/>
    <n v="126"/>
    <n v="0.78500000000000003"/>
    <x v="7"/>
    <n v="0.67300000000000004"/>
    <s v="The Blessed Madonna, Clementine Douglas"/>
    <n v="68"/>
    <s v="Techno Bunker"/>
    <s v="Happier (feat. Clementine Douglas)"/>
    <d v="2024-02-02T00:00:00"/>
    <n v="1"/>
    <n v="0"/>
    <n v="2.8333333333333335"/>
    <n v="3.8E-3"/>
    <x v="11"/>
  </r>
  <r>
    <n v="0.71699999999999997"/>
    <n v="117"/>
    <n v="0.753"/>
    <x v="7"/>
    <n v="0.60099999999999998"/>
    <s v="Werenoi"/>
    <n v="68"/>
    <s v="French Touch"/>
    <s v="Solitaire"/>
    <d v="2022-10-28T00:00:00"/>
    <n v="0"/>
    <n v="1"/>
    <n v="2.4333333333333331"/>
    <n v="0.151"/>
    <x v="13"/>
  </r>
  <r>
    <n v="0.80700000000000005"/>
    <n v="155"/>
    <n v="0.52500000000000002"/>
    <x v="7"/>
    <n v="0.74099999999999999"/>
    <s v="Zaz"/>
    <n v="68"/>
    <s v="French Touch"/>
    <s v="Je veux"/>
    <d v="2010-05-10T00:00:00"/>
    <n v="0"/>
    <n v="2"/>
    <n v="3.5833333333333335"/>
    <n v="0.251"/>
    <x v="13"/>
  </r>
  <r>
    <n v="0.41299999999999998"/>
    <n v="949"/>
    <n v="0.49399999999999999"/>
    <x v="8"/>
    <n v="0.27300000000000002"/>
    <s v="Gigi Perez"/>
    <n v="93"/>
    <s v="Indie Folk"/>
    <s v="Sailor Song"/>
    <d v="2024-07-26T00:00:00"/>
    <n v="1"/>
    <n v="11"/>
    <n v="3.5166666666666666"/>
    <n v="0.68200000000000005"/>
    <x v="17"/>
  </r>
  <r>
    <n v="0.5"/>
    <n v="117"/>
    <n v="0.66400000000000003"/>
    <x v="8"/>
    <n v="0.80100000000000005"/>
    <s v="Noah Kahan"/>
    <n v="87"/>
    <s v="Indie Folk"/>
    <s v="Stick Season"/>
    <d v="2022-10-14T00:00:00"/>
    <n v="1"/>
    <n v="9"/>
    <n v="3.0333333333333332"/>
    <n v="0.79900000000000004"/>
    <x v="17"/>
  </r>
  <r>
    <n v="0.73099999999999998"/>
    <n v="101"/>
    <n v="0.48299999999999998"/>
    <x v="8"/>
    <n v="0.48399999999999999"/>
    <s v="Vance Joy"/>
    <n v="85"/>
    <s v="Indie Folk"/>
    <s v="Riptide"/>
    <d v="2014-08-05T00:00:00"/>
    <n v="1"/>
    <n v="1"/>
    <n v="3.4"/>
    <n v="0.436"/>
    <x v="17"/>
  </r>
  <r>
    <n v="0.55100000000000005"/>
    <n v="148"/>
    <n v="0.52700000000000002"/>
    <x v="8"/>
    <n v="0.443"/>
    <s v="Michael Marcagi"/>
    <n v="84"/>
    <s v="Indie Folk"/>
    <s v="Scared To Start"/>
    <d v="2024-01-12T00:00:00"/>
    <n v="1"/>
    <n v="7"/>
    <n v="2.65"/>
    <n v="0.38400000000000001"/>
    <x v="17"/>
  </r>
  <r>
    <n v="0.216"/>
    <n v="791"/>
    <n v="0.55500000000000005"/>
    <x v="8"/>
    <n v="0.504"/>
    <s v="Richy Mitch &amp; The Coal Miners"/>
    <n v="84"/>
    <s v="Indie Folk"/>
    <s v="Evergreen"/>
    <d v="2017-05-17T00:00:00"/>
    <n v="1"/>
    <n v="3"/>
    <n v="14.5"/>
    <n v="0.55700000000000005"/>
    <x v="17"/>
  </r>
  <r>
    <n v="0.187"/>
    <n v="132"/>
    <n v="0.30299999999999999"/>
    <x v="8"/>
    <n v="0.21199999999999999"/>
    <s v="Patrick Watson"/>
    <n v="83"/>
    <s v="Indie Folk"/>
    <s v="Je te laisserai des mots"/>
    <d v="2010-09-10T00:00:00"/>
    <n v="1"/>
    <n v="2"/>
    <n v="2.6666666666666665"/>
    <n v="0.98899999999999999"/>
    <x v="17"/>
  </r>
  <r>
    <n v="0.22"/>
    <n v="129"/>
    <n v="0.70199999999999996"/>
    <x v="8"/>
    <n v="0.19700000000000001"/>
    <s v="Chance Pei±a"/>
    <n v="79"/>
    <s v="Indie Folk"/>
    <s v="i am not who i was"/>
    <d v="2024-09-13T00:00:00"/>
    <n v="1"/>
    <n v="0"/>
    <n v="2.4166666666666665"/>
    <n v="0.69799999999999995"/>
    <x v="17"/>
  </r>
  <r>
    <n v="0.29099999999999998"/>
    <n v="839"/>
    <n v="0.38800000000000001"/>
    <x v="8"/>
    <n v="0.51"/>
    <s v="Adrianne Lenker"/>
    <n v="77"/>
    <s v="Indie Folk"/>
    <s v="anything"/>
    <d v="2020-10-23T00:00:00"/>
    <n v="1"/>
    <n v="3"/>
    <n v="3.3666666666666667"/>
    <n v="0.77400000000000002"/>
    <x v="17"/>
  </r>
  <r>
    <n v="0.36299999999999999"/>
    <n v="121"/>
    <n v="0.53100000000000003"/>
    <x v="8"/>
    <n v="0.25900000000000001"/>
    <s v="Hozier"/>
    <n v="77"/>
    <s v="Indie Folk"/>
    <s v="Work Song"/>
    <d v="2014-09-19T00:00:00"/>
    <n v="1"/>
    <n v="10"/>
    <n v="3.8166666666666669"/>
    <n v="0.749"/>
    <x v="17"/>
  </r>
  <r>
    <n v="0.50700000000000001"/>
    <n v="123"/>
    <n v="0.65300000000000002"/>
    <x v="8"/>
    <n v="0.83099999999999996"/>
    <s v="America, George Martin"/>
    <n v="76"/>
    <s v="American Folk"/>
    <s v="A Horse with No Name"/>
    <d v="1905-05-25T00:00:00"/>
    <n v="0"/>
    <n v="11"/>
    <n v="4.2"/>
    <n v="0.68700000000000006"/>
    <x v="18"/>
  </r>
  <r>
    <n v="0.186"/>
    <n v="110"/>
    <n v="0.6"/>
    <x v="8"/>
    <n v="0.46800000000000003"/>
    <s v="Gregory Alan Isakov"/>
    <n v="76"/>
    <s v="Indie Folk"/>
    <s v="Big Black Car"/>
    <d v="2009-01-01T00:00:00"/>
    <n v="1"/>
    <n v="3"/>
    <n v="3.6166666666666667"/>
    <n v="0.90900000000000003"/>
    <x v="17"/>
  </r>
  <r>
    <n v="0.53300000000000003"/>
    <n v="130"/>
    <n v="0.64500000000000002"/>
    <x v="8"/>
    <n v="0.34899999999999998"/>
    <s v="Yaelokre"/>
    <n v="76"/>
    <s v="Nordic Folk"/>
    <s v="Harpy Hare"/>
    <d v="2024-01-04T00:00:00"/>
    <n v="1"/>
    <n v="2"/>
    <n v="3"/>
    <n v="0.64400000000000002"/>
    <x v="19"/>
  </r>
  <r>
    <n v="0.309"/>
    <n v="827"/>
    <n v="0.58299999999999996"/>
    <x v="8"/>
    <n v="0.47299999999999998"/>
    <s v="Colter Wall"/>
    <n v="74"/>
    <s v="American Folk"/>
    <s v="Sleeping on the Blacktop"/>
    <d v="2015-06-02T00:00:00"/>
    <n v="0"/>
    <n v="2"/>
    <n v="3.2"/>
    <n v="0.82399999999999995"/>
    <x v="18"/>
  </r>
  <r>
    <n v="0.63800000000000001"/>
    <n v="144"/>
    <n v="0.48599999999999999"/>
    <x v="8"/>
    <n v="0.17799999999999999"/>
    <s v="Mt. Joy"/>
    <n v="74"/>
    <s v="Indie Folk"/>
    <s v="Silver Lining"/>
    <d v="2018-03-02T00:00:00"/>
    <n v="1"/>
    <n v="0"/>
    <n v="3.3166666666666669"/>
    <n v="9.2100000000000005E-4"/>
    <x v="17"/>
  </r>
  <r>
    <n v="0.56100000000000005"/>
    <n v="115"/>
    <n v="0.59799999999999998"/>
    <x v="8"/>
    <n v="0.23100000000000001"/>
    <s v="The Lumineers"/>
    <n v="74"/>
    <s v="Indie Folk"/>
    <s v="Stubborn Love"/>
    <d v="2012-04-03T00:00:00"/>
    <n v="1"/>
    <n v="0"/>
    <n v="4.6500000000000004"/>
    <n v="0.61099999999999999"/>
    <x v="17"/>
  </r>
  <r>
    <n v="0.48499999999999999"/>
    <n v="959"/>
    <n v="0.753"/>
    <x v="8"/>
    <n v="0.54700000000000004"/>
    <s v="Myles Smith"/>
    <n v="73"/>
    <s v="Indie Folk"/>
    <s v="My Home"/>
    <d v="2023-10-13T00:00:00"/>
    <n v="1"/>
    <n v="11"/>
    <n v="3.4333333333333331"/>
    <n v="0.34499999999999997"/>
    <x v="17"/>
  </r>
  <r>
    <n v="0.439"/>
    <n v="122"/>
    <n v="0.58599999999999997"/>
    <x v="8"/>
    <n v="0.36499999999999999"/>
    <s v="Myles Smith"/>
    <n v="73"/>
    <s v="Indie Folk"/>
    <s v="Solo"/>
    <d v="2023-11-15T00:00:00"/>
    <n v="1"/>
    <n v="0"/>
    <n v="3.3166666666666669"/>
    <n v="0.71499999999999997"/>
    <x v="17"/>
  </r>
  <r>
    <n v="0.378"/>
    <n v="120"/>
    <n v="0.66200000000000003"/>
    <x v="8"/>
    <n v="0.20699999999999999"/>
    <s v="Noah Kahan"/>
    <n v="73"/>
    <s v="Indie Folk"/>
    <s v="Orange Juice"/>
    <d v="2022-10-14T00:00:00"/>
    <n v="1"/>
    <n v="9"/>
    <n v="4.95"/>
    <n v="0.47499999999999998"/>
    <x v="17"/>
  </r>
  <r>
    <n v="0.33100000000000002"/>
    <n v="950"/>
    <n v="0.61099999999999999"/>
    <x v="8"/>
    <n v="0.55900000000000005"/>
    <s v="Ocie Elliott"/>
    <n v="73"/>
    <s v="Indie Folk"/>
    <s v="Down by the Water"/>
    <d v="2018-10-19T00:00:00"/>
    <n v="1"/>
    <n v="4"/>
    <n v="2.9666666666666668"/>
    <n v="0.93"/>
    <x v="17"/>
  </r>
  <r>
    <n v="0.33100000000000002"/>
    <n v="950"/>
    <n v="0.61099999999999999"/>
    <x v="8"/>
    <n v="0.55900000000000005"/>
    <s v="Ocie Elliott"/>
    <n v="73"/>
    <s v="American Folk"/>
    <s v="Down by the Water"/>
    <d v="2018-10-19T00:00:00"/>
    <n v="1"/>
    <n v="4"/>
    <n v="2.9666666666666668"/>
    <n v="0.93"/>
    <x v="18"/>
  </r>
  <r>
    <n v="0.247"/>
    <n v="140"/>
    <n v="0.46700000000000003"/>
    <x v="8"/>
    <n v="0.25800000000000001"/>
    <s v="Bon Iver"/>
    <n v="72"/>
    <s v="Indie Folk"/>
    <s v="S P E Y S I D E"/>
    <d v="2024-09-20T00:00:00"/>
    <n v="1"/>
    <n v="7"/>
    <n v="3.4833333333333334"/>
    <n v="0.90600000000000003"/>
    <x v="17"/>
  </r>
  <r>
    <n v="0.122"/>
    <n v="148"/>
    <n v="0.26400000000000001"/>
    <x v="8"/>
    <n v="7.3499999999999996E-2"/>
    <s v="The Cinematic Orchestra, Patrick Watson"/>
    <n v="72"/>
    <s v="Indie Folk"/>
    <s v="To Build A Home"/>
    <d v="2007-05-07T00:00:00"/>
    <n v="1"/>
    <n v="9"/>
    <n v="6.1833333333333336"/>
    <n v="0.88500000000000001"/>
    <x v="17"/>
  </r>
  <r>
    <n v="0.53300000000000003"/>
    <n v="130"/>
    <n v="0.68700000000000006"/>
    <x v="8"/>
    <n v="0.81399999999999995"/>
    <s v="Jim Croce"/>
    <n v="71"/>
    <s v="American Folk"/>
    <s v="Operator (That's Not the Way It Feels)"/>
    <d v="1972-04-01T00:00:00"/>
    <n v="1"/>
    <n v="7"/>
    <n v="3.8166666666666669"/>
    <n v="0.57299999999999995"/>
    <x v="18"/>
  </r>
  <r>
    <n v="0.73099999999999998"/>
    <n v="940"/>
    <n v="0.65600000000000003"/>
    <x v="8"/>
    <n v="0.376"/>
    <s v="Mark Ambor"/>
    <n v="71"/>
    <s v="Indie Folk"/>
    <s v="Good To Be"/>
    <d v="2024-08-16T00:00:00"/>
    <n v="1"/>
    <n v="4"/>
    <n v="2.4500000000000002"/>
    <n v="0.57499999999999996"/>
    <x v="17"/>
  </r>
  <r>
    <n v="0.39900000000000002"/>
    <n v="171"/>
    <n v="0.53700000000000003"/>
    <x v="8"/>
    <n v="0.83199999999999996"/>
    <s v="Neil Young"/>
    <n v="71"/>
    <s v="American Folk"/>
    <s v="Heart of Gold"/>
    <d v="1972-02-01T00:00:00"/>
    <n v="0"/>
    <n v="4"/>
    <n v="3.1166666666666667"/>
    <n v="0.20200000000000001"/>
    <x v="18"/>
  </r>
  <r>
    <n v="0.32400000000000001"/>
    <n v="141"/>
    <n v="0.73299999999999998"/>
    <x v="8"/>
    <n v="0.38800000000000001"/>
    <s v="Wild Rivers"/>
    <n v="71"/>
    <s v="Indie Folk"/>
    <s v="Thinking 'Bout Love"/>
    <d v="2020-05-01T00:00:00"/>
    <n v="1"/>
    <n v="5"/>
    <n v="3.3166666666666669"/>
    <n v="0.47899999999999998"/>
    <x v="17"/>
  </r>
  <r>
    <n v="0.316"/>
    <n v="127"/>
    <n v="0.625"/>
    <x v="8"/>
    <n v="0.45200000000000001"/>
    <s v="Colter Wall"/>
    <n v="70"/>
    <s v="American Folk"/>
    <s v="The Devil Wears a Suit and Tie"/>
    <d v="2015-06-02T00:00:00"/>
    <n v="0"/>
    <n v="6"/>
    <n v="3.9333333333333331"/>
    <n v="0.77700000000000002"/>
    <x v="18"/>
  </r>
  <r>
    <n v="0.624"/>
    <n v="170"/>
    <n v="0.505"/>
    <x v="8"/>
    <n v="0.41299999999999998"/>
    <s v="Noah Kahan"/>
    <n v="70"/>
    <s v="Indie Folk"/>
    <s v="Homesick"/>
    <d v="2022-10-14T00:00:00"/>
    <n v="1"/>
    <n v="6"/>
    <n v="3.2333333333333334"/>
    <n v="2.53E-2"/>
    <x v="17"/>
  </r>
  <r>
    <n v="0.46700000000000003"/>
    <n v="157"/>
    <n v="0.41299999999999998"/>
    <x v="8"/>
    <n v="0.377"/>
    <s v="Bon Iver"/>
    <n v="69"/>
    <s v="Indie Folk"/>
    <s v="THINGS BEHIND THINGS BEHIND THINGS"/>
    <d v="2024-10-18T00:00:00"/>
    <n v="1"/>
    <n v="9"/>
    <n v="3.3333333333333335"/>
    <n v="0.73199999999999998"/>
    <x v="17"/>
  </r>
  <r>
    <n v="0.45200000000000001"/>
    <n v="108"/>
    <n v="0.41299999999999998"/>
    <x v="8"/>
    <n v="0.10199999999999999"/>
    <s v="Chance Pei±a"/>
    <n v="69"/>
    <s v="Indie Folk"/>
    <s v="The Mountain Is You"/>
    <d v="2024-09-13T00:00:00"/>
    <n v="1"/>
    <n v="0"/>
    <n v="3.2666666666666666"/>
    <n v="0.58799999999999997"/>
    <x v="17"/>
  </r>
  <r>
    <n v="0.312"/>
    <n v="128"/>
    <n v="0.68100000000000005"/>
    <x v="8"/>
    <n v="0.78900000000000003"/>
    <s v="Jim Croce"/>
    <n v="69"/>
    <s v="American Folk"/>
    <s v="Walkin‚Äô Back to Georgia"/>
    <d v="1972-04-01T00:00:00"/>
    <n v="0"/>
    <n v="6"/>
    <n v="2.85"/>
    <n v="0.81599999999999995"/>
    <x v="18"/>
  </r>
  <r>
    <n v="0.86399999999999999"/>
    <n v="999"/>
    <n v="0.63700000000000001"/>
    <x v="8"/>
    <n v="0.70599999999999996"/>
    <s v="Vance Joy"/>
    <n v="69"/>
    <s v="Indie Folk"/>
    <s v="Saturday Sun"/>
    <d v="2018-02-23T00:00:00"/>
    <n v="1"/>
    <n v="8"/>
    <n v="3.5666666666666669"/>
    <n v="0.48399999999999999"/>
    <x v="17"/>
  </r>
  <r>
    <n v="0.41699999999999998"/>
    <n v="870"/>
    <n v="0.65400000000000003"/>
    <x v="8"/>
    <n v="0.64900000000000002"/>
    <s v="Henrik"/>
    <n v="68"/>
    <s v="Indie Folk"/>
    <s v="Turn out fine"/>
    <d v="2023-10-27T00:00:00"/>
    <n v="1"/>
    <n v="11"/>
    <n v="2.4500000000000002"/>
    <n v="0.44600000000000001"/>
    <x v="17"/>
  </r>
  <r>
    <n v="0.59199999999999997"/>
    <n v="157"/>
    <n v="0.52100000000000002"/>
    <x v="9"/>
    <n v="0.53500000000000003"/>
    <s v="Lady Gaga, Bruno Mars"/>
    <n v="100"/>
    <s v="Top Gaming Tracks"/>
    <s v="Die With A Smile"/>
    <d v="2024-08-16T00:00:00"/>
    <n v="0"/>
    <n v="6"/>
    <n v="4.1833333333333336"/>
    <n v="0.308"/>
    <x v="5"/>
  </r>
  <r>
    <n v="0.50700000000000001"/>
    <n v="104"/>
    <n v="0.747"/>
    <x v="9"/>
    <n v="0.438"/>
    <s v="Billie Eilish"/>
    <n v="97"/>
    <s v="Top Gaming Tracks"/>
    <s v="BIRDS OF A FEATHER"/>
    <d v="2024-05-17T00:00:00"/>
    <n v="1"/>
    <n v="2"/>
    <n v="3.5"/>
    <n v="0.2"/>
    <x v="5"/>
  </r>
  <r>
    <n v="0.58199999999999996"/>
    <n v="116"/>
    <n v="0.7"/>
    <x v="9"/>
    <n v="0.78500000000000003"/>
    <s v="Chappell Roan"/>
    <n v="94"/>
    <s v="Top Gaming Tracks"/>
    <s v="Good Luck, Babe!"/>
    <d v="2024-04-05T00:00:00"/>
    <n v="0"/>
    <n v="11"/>
    <n v="3.6333333333333333"/>
    <n v="5.0200000000000002E-2"/>
    <x v="5"/>
  </r>
  <r>
    <n v="0.76"/>
    <n v="103"/>
    <n v="0.70099999999999996"/>
    <x v="9"/>
    <n v="0.69"/>
    <s v="Sabrina Carpenter"/>
    <n v="90"/>
    <s v="Top Gaming Tracks"/>
    <s v="Espresso"/>
    <d v="2024-04-12T00:00:00"/>
    <n v="1"/>
    <n v="0"/>
    <n v="2.9166666666666665"/>
    <n v="0.107"/>
    <x v="5"/>
  </r>
  <r>
    <n v="0.60399999999999998"/>
    <n v="159"/>
    <n v="0.56100000000000005"/>
    <x v="9"/>
    <n v="0.24199999999999999"/>
    <s v="Teddy Swims"/>
    <n v="89"/>
    <s v="Top Gaming Tracks"/>
    <s v="Lose Control"/>
    <d v="2023-09-15T00:00:00"/>
    <n v="1"/>
    <n v="9"/>
    <n v="3.5"/>
    <n v="0.19900000000000001"/>
    <x v="5"/>
  </r>
  <r>
    <n v="0.75700000000000001"/>
    <n v="139"/>
    <n v="0.74199999999999999"/>
    <x v="9"/>
    <n v="0.95699999999999996"/>
    <s v="Chappell Roan"/>
    <n v="88"/>
    <s v="Top Gaming Tracks"/>
    <s v="HOT TO GO!"/>
    <d v="2023-09-22T00:00:00"/>
    <n v="1"/>
    <n v="6"/>
    <n v="3.0666666666666669"/>
    <n v="1.8700000000000001E-2"/>
    <x v="5"/>
  </r>
  <r>
    <n v="0.47199999999999998"/>
    <n v="101"/>
    <n v="0.89800000000000002"/>
    <x v="9"/>
    <n v="0.214"/>
    <s v="Kendrick Lamar"/>
    <n v="88"/>
    <s v="Top Gaming Tracks"/>
    <s v="Not Like Us"/>
    <d v="2024-05-04T00:00:00"/>
    <n v="1"/>
    <n v="1"/>
    <n v="4.5666666666666664"/>
    <n v="1.0699999999999999E-2"/>
    <x v="5"/>
  </r>
  <r>
    <n v="0.60099999999999998"/>
    <n v="123"/>
    <n v="0.63500000000000001"/>
    <x v="9"/>
    <n v="0.33200000000000002"/>
    <s v="Myles Smith"/>
    <n v="88"/>
    <s v="Top Gaming Tracks"/>
    <s v="Stargazing"/>
    <d v="2024-05-10T00:00:00"/>
    <n v="0"/>
    <n v="1"/>
    <n v="2.8666666666666667"/>
    <n v="0.246"/>
    <x v="5"/>
  </r>
  <r>
    <n v="0.58599999999999997"/>
    <n v="107"/>
    <n v="0.66900000000000004"/>
    <x v="9"/>
    <n v="0.57899999999999996"/>
    <s v="Sabrina Carpenter"/>
    <n v="88"/>
    <s v="Top Gaming Tracks"/>
    <s v="Please Please Please"/>
    <d v="2024-06-06T00:00:00"/>
    <n v="1"/>
    <n v="9"/>
    <n v="3.1"/>
    <n v="0.27400000000000002"/>
    <x v="5"/>
  </r>
  <r>
    <n v="0.88200000000000001"/>
    <n v="148"/>
    <n v="0.56899999999999995"/>
    <x v="9"/>
    <n v="0.20100000000000001"/>
    <s v="Travis Scott, Playboi Carti"/>
    <n v="88"/>
    <s v="Top Gaming Tracks"/>
    <s v="FE!N (feat. Playboi Carti)"/>
    <d v="2023-07-28T00:00:00"/>
    <n v="0"/>
    <n v="3"/>
    <n v="3.1833333333333331"/>
    <n v="3.1600000000000003E-2"/>
    <x v="5"/>
  </r>
  <r>
    <n v="0.58299999999999996"/>
    <n v="181"/>
    <n v="0.432"/>
    <x v="9"/>
    <n v="0.54400000000000004"/>
    <s v="Benson Boone"/>
    <n v="87"/>
    <s v="Top Gaming Tracks"/>
    <s v="Slow It Down"/>
    <d v="2024-04-05T00:00:00"/>
    <n v="1"/>
    <n v="8"/>
    <n v="2.6833333333333331"/>
    <n v="0.17399999999999999"/>
    <x v="5"/>
  </r>
  <r>
    <n v="0.78200000000000003"/>
    <n v="119"/>
    <n v="0.72699999999999998"/>
    <x v="9"/>
    <n v="0.65500000000000003"/>
    <s v="Adam Port, Stryv, Keinemusik, Orso, Malachiii"/>
    <n v="86"/>
    <s v="Top Gaming Tracks"/>
    <s v="Move"/>
    <d v="2024-06-07T00:00:00"/>
    <n v="0"/>
    <n v="8"/>
    <n v="2.95"/>
    <n v="5.6300000000000003E-2"/>
    <x v="5"/>
  </r>
  <r>
    <n v="0.70899999999999996"/>
    <n v="810"/>
    <n v="0.72199999999999998"/>
    <x v="9"/>
    <n v="0.60399999999999998"/>
    <s v="Shaboozey"/>
    <n v="86"/>
    <s v="Top Gaming Tracks"/>
    <s v="A Bar Song (Tipsy)"/>
    <d v="2024-04-12T00:00:00"/>
    <n v="1"/>
    <n v="9"/>
    <n v="2.85"/>
    <n v="6.3299999999999995E-2"/>
    <x v="5"/>
  </r>
  <r>
    <n v="0.47099999999999997"/>
    <n v="105"/>
    <n v="0.47199999999999998"/>
    <x v="9"/>
    <n v="0.219"/>
    <s v="Benson Boone"/>
    <n v="85"/>
    <s v="Top Gaming Tracks"/>
    <s v="Beautiful Things"/>
    <d v="2024-01-18T00:00:00"/>
    <n v="1"/>
    <n v="10"/>
    <n v="3"/>
    <n v="0.151"/>
    <x v="5"/>
  </r>
  <r>
    <n v="0.66700000000000004"/>
    <n v="130"/>
    <n v="0.77600000000000002"/>
    <x v="9"/>
    <n v="0.61799999999999999"/>
    <s v="Charli xcx, Billie Eilish"/>
    <n v="85"/>
    <s v="Top Gaming Tracks"/>
    <s v="Guess featuring billie eilish"/>
    <d v="2024-08-01T00:00:00"/>
    <n v="1"/>
    <n v="7"/>
    <n v="2.4166666666666665"/>
    <n v="1.46E-2"/>
    <x v="5"/>
  </r>
  <r>
    <n v="0.54400000000000004"/>
    <n v="132"/>
    <n v="0.57099999999999995"/>
    <x v="9"/>
    <n v="0.216"/>
    <s v="d4vd"/>
    <n v="85"/>
    <s v="Top Gaming Tracks"/>
    <s v="Romantic Homicide"/>
    <d v="2022-07-20T00:00:00"/>
    <n v="1"/>
    <n v="6"/>
    <n v="2.2000000000000002"/>
    <n v="0.45300000000000001"/>
    <x v="5"/>
  </r>
  <r>
    <n v="0.96499999999999997"/>
    <n v="128"/>
    <n v="0.56100000000000005"/>
    <x v="9"/>
    <n v="0.30399999999999999"/>
    <s v="David Guetta, Bebe Rexha"/>
    <n v="85"/>
    <s v="Top Gaming Tracks"/>
    <s v="I'm Good (Blue)"/>
    <d v="2022-08-26T00:00:00"/>
    <n v="0"/>
    <n v="7"/>
    <n v="2.9166666666666665"/>
    <n v="3.8300000000000001E-3"/>
    <x v="5"/>
  </r>
  <r>
    <n v="0.745"/>
    <n v="180"/>
    <n v="0.46400000000000002"/>
    <x v="9"/>
    <n v="0.26200000000000001"/>
    <s v="Hanumankind, Kalmi"/>
    <n v="85"/>
    <s v="Top Gaming Tracks"/>
    <s v="Big Dawgs"/>
    <d v="2024-07-09T00:00:00"/>
    <n v="0"/>
    <n v="4"/>
    <n v="3.1666666666666665"/>
    <n v="2.35E-2"/>
    <x v="5"/>
  </r>
  <r>
    <n v="0.85399999999999998"/>
    <n v="140"/>
    <n v="0.47699999999999998"/>
    <x v="9"/>
    <n v="0.314"/>
    <s v="LISA, ROSALiA"/>
    <n v="85"/>
    <s v="Top Gaming Tracks"/>
    <s v="New Woman (feat. ROSAL√çA)"/>
    <d v="2024-08-15T00:00:00"/>
    <n v="1"/>
    <n v="7"/>
    <n v="2.9833333333333334"/>
    <n v="8.5800000000000001E-2"/>
    <x v="5"/>
  </r>
  <r>
    <n v="0.94599999999999995"/>
    <n v="151"/>
    <n v="0.59899999999999998"/>
    <x v="9"/>
    <n v="0.747"/>
    <s v="Artemas"/>
    <n v="84"/>
    <s v="Top Gaming Tracks"/>
    <s v="i like the way you kiss me"/>
    <d v="2024-03-19T00:00:00"/>
    <n v="1"/>
    <n v="11"/>
    <n v="2.3666666666666667"/>
    <n v="9.3800000000000003E-4"/>
    <x v="5"/>
  </r>
  <r>
    <n v="0.55200000000000005"/>
    <n v="144"/>
    <n v="0.64"/>
    <x v="9"/>
    <n v="0.112"/>
    <s v="Future, Metro Boomin, Travis Scott, Playboi Carti"/>
    <n v="84"/>
    <s v="Top Gaming Tracks"/>
    <s v="Type Shit"/>
    <d v="2024-03-22T00:00:00"/>
    <n v="1"/>
    <n v="2"/>
    <n v="3.8"/>
    <n v="2.1499999999999998E-2"/>
    <x v="5"/>
  </r>
  <r>
    <n v="0.45300000000000001"/>
    <n v="139"/>
    <n v="0.91500000000000004"/>
    <x v="9"/>
    <n v="0.28699999999999998"/>
    <s v="Gunna"/>
    <n v="84"/>
    <s v="Top Gaming Tracks"/>
    <s v="one of wun"/>
    <d v="2024-05-10T00:00:00"/>
    <n v="0"/>
    <n v="10"/>
    <n v="2.4"/>
    <n v="8.72E-2"/>
    <x v="5"/>
  </r>
  <r>
    <n v="0.64200000000000002"/>
    <n v="179"/>
    <n v="0.745"/>
    <x v="9"/>
    <n v="0.22600000000000001"/>
    <s v="Lil Tecca"/>
    <n v="84"/>
    <s v="Top Gaming Tracks"/>
    <s v="Ransom"/>
    <d v="2019-08-30T00:00:00"/>
    <n v="0"/>
    <n v="7"/>
    <n v="2.1833333333333331"/>
    <n v="2.0400000000000001E-2"/>
    <x v="5"/>
  </r>
  <r>
    <n v="0.82899999999999996"/>
    <n v="139"/>
    <n v="0.47599999999999998"/>
    <x v="9"/>
    <n v="0.505"/>
    <s v="Odetari"/>
    <n v="84"/>
    <s v="Top Gaming Tracks"/>
    <s v="KEEP UP"/>
    <d v="2024-07-17T00:00:00"/>
    <n v="0"/>
    <n v="10"/>
    <n v="2.2166666666666668"/>
    <n v="1.72E-2"/>
    <x v="5"/>
  </r>
  <r>
    <n v="0.85499999999999998"/>
    <n v="127"/>
    <n v="0.63800000000000001"/>
    <x v="9"/>
    <n v="0.73099999999999998"/>
    <s v="Post Malone, Morgan Wallen"/>
    <n v="84"/>
    <s v="Top Gaming Tracks"/>
    <s v="I Had Some Help (Feat. Morgan Wallen)"/>
    <d v="2024-05-10T00:00:00"/>
    <n v="1"/>
    <n v="7"/>
    <n v="2.9666666666666668"/>
    <n v="7.5700000000000003E-3"/>
    <x v="5"/>
  </r>
  <r>
    <n v="0.95699999999999996"/>
    <n v="126"/>
    <n v="0.80400000000000005"/>
    <x v="9"/>
    <n v="0.96199999999999997"/>
    <s v="Charli xcx"/>
    <n v="83"/>
    <s v="Top Gaming Tracks"/>
    <s v="Apple"/>
    <d v="2024-06-07T00:00:00"/>
    <n v="1"/>
    <n v="0"/>
    <n v="2.5166666666666666"/>
    <n v="0.125"/>
    <x v="5"/>
  </r>
  <r>
    <n v="0.67600000000000005"/>
    <n v="162"/>
    <n v="0.81399999999999995"/>
    <x v="9"/>
    <n v="0.312"/>
    <s v="Future, Metro Boomin, Kendrick Lamar"/>
    <n v="83"/>
    <s v="Top Gaming Tracks"/>
    <s v="Like That"/>
    <d v="2024-03-22T00:00:00"/>
    <n v="0"/>
    <n v="11"/>
    <n v="4.45"/>
    <n v="7.0899999999999999E-3"/>
    <x v="5"/>
  </r>
  <r>
    <n v="0.78700000000000003"/>
    <n v="119"/>
    <n v="0.70399999999999996"/>
    <x v="9"/>
    <n v="0.31"/>
    <s v="HUGEL, Topic, Arash, Daecolm"/>
    <n v="83"/>
    <s v="Top Gaming Tracks"/>
    <s v="I Adore You (feat. Daecolm)"/>
    <d v="2024-07-19T00:00:00"/>
    <n v="0"/>
    <n v="11"/>
    <n v="3.5666666666666669"/>
    <n v="9.2599999999999991E-3"/>
    <x v="5"/>
  </r>
  <r>
    <n v="0.61799999999999999"/>
    <n v="126"/>
    <n v="0.85299999999999998"/>
    <x v="9"/>
    <n v="0.32"/>
    <s v="Lost Frequencies, Tom Odell"/>
    <n v="83"/>
    <s v="Top Gaming Tracks"/>
    <s v="Black Friday (pretty like the sun)"/>
    <d v="2024-07-19T00:00:00"/>
    <n v="1"/>
    <n v="6"/>
    <n v="2.4166666666666665"/>
    <n v="0.63300000000000001"/>
    <x v="5"/>
  </r>
  <r>
    <n v="0.751"/>
    <n v="129"/>
    <n v="0.70099999999999996"/>
    <x v="9"/>
    <n v="0.22"/>
    <s v="Taylor Swift"/>
    <n v="83"/>
    <s v="Top Gaming Tracks"/>
    <s v="I Can Do It With a Broken Heart"/>
    <d v="2024-04-18T00:00:00"/>
    <n v="1"/>
    <n v="0"/>
    <n v="3.6333333333333333"/>
    <n v="0.123"/>
    <x v="5"/>
  </r>
  <r>
    <n v="0.64200000000000002"/>
    <n v="833"/>
    <n v="0.46300000000000002"/>
    <x v="9"/>
    <n v="0.33900000000000002"/>
    <s v="Future, Drake, Tems"/>
    <n v="82"/>
    <s v="Top Gaming Tracks"/>
    <s v="WAIT FOR U (feat. Drake &amp; Tems)"/>
    <d v="2022-04-29T00:00:00"/>
    <n v="1"/>
    <n v="1"/>
    <n v="3.15"/>
    <n v="0.314"/>
    <x v="5"/>
  </r>
  <r>
    <n v="0.622"/>
    <n v="130"/>
    <n v="0.84699999999999998"/>
    <x v="9"/>
    <n v="0.22"/>
    <s v="Gunna"/>
    <n v="82"/>
    <s v="Top Gaming Tracks"/>
    <s v="fukumean"/>
    <d v="2023-06-16T00:00:00"/>
    <n v="0"/>
    <n v="1"/>
    <n v="2.0833333333333335"/>
    <n v="0.11899999999999999"/>
    <x v="5"/>
  </r>
  <r>
    <n v="0.72699999999999998"/>
    <n v="130"/>
    <n v="0.88700000000000001"/>
    <x v="9"/>
    <n v="0.93200000000000005"/>
    <s v="Gunna"/>
    <n v="82"/>
    <s v="Top Gaming Tracks"/>
    <s v="on one tonight"/>
    <d v="2024-05-10T00:00:00"/>
    <n v="0"/>
    <n v="4"/>
    <n v="15.116666666666667"/>
    <n v="0.38100000000000001"/>
    <x v="5"/>
  </r>
  <r>
    <n v="0.66800000000000004"/>
    <n v="909"/>
    <n v="0.64600000000000002"/>
    <x v="9"/>
    <n v="0.64"/>
    <s v="Mark Ambor"/>
    <n v="82"/>
    <s v="Top Gaming Tracks"/>
    <s v="Belong Together"/>
    <d v="2024-02-16T00:00:00"/>
    <n v="1"/>
    <n v="2"/>
    <n v="2.4666666666666668"/>
    <n v="0.49099999999999999"/>
    <x v="5"/>
  </r>
  <r>
    <n v="0.79200000000000004"/>
    <n v="100"/>
    <n v="0.68700000000000006"/>
    <x v="9"/>
    <n v="0.67100000000000004"/>
    <s v="Marshmello, Bastille"/>
    <n v="82"/>
    <s v="Top Gaming Tracks"/>
    <s v="Happier"/>
    <d v="2018-08-17T00:00:00"/>
    <n v="1"/>
    <n v="5"/>
    <n v="3.5666666666666669"/>
    <n v="0.191"/>
    <x v="5"/>
  </r>
  <r>
    <n v="0.52200000000000002"/>
    <n v="899"/>
    <n v="0.755"/>
    <x v="9"/>
    <n v="0.92500000000000004"/>
    <s v="Post Malone, Swae Lee"/>
    <n v="82"/>
    <s v="Top Gaming Tracks"/>
    <s v="Sunflower - Spider-Man: Into the Spider-Verse"/>
    <d v="2019-09-06T00:00:00"/>
    <n v="1"/>
    <n v="2"/>
    <n v="2.6166666666666667"/>
    <n v="0.53300000000000003"/>
    <x v="5"/>
  </r>
  <r>
    <n v="0.45700000000000002"/>
    <n v="146"/>
    <n v="0.59199999999999997"/>
    <x v="9"/>
    <n v="0.22500000000000001"/>
    <s v="XXXTENTACION"/>
    <n v="82"/>
    <s v="Top Gaming Tracks"/>
    <s v="Hope"/>
    <d v="2018-03-16T00:00:00"/>
    <n v="0"/>
    <n v="9"/>
    <n v="1.8333333333333333"/>
    <n v="0.66100000000000003"/>
    <x v="5"/>
  </r>
  <r>
    <n v="0.73299999999999998"/>
    <n v="172"/>
    <n v="0.625"/>
    <x v="9"/>
    <n v="0.24399999999999999"/>
    <s v="21 Savage"/>
    <n v="81"/>
    <s v="Top Gaming Tracks"/>
    <s v="redrum"/>
    <d v="2024-01-12T00:00:00"/>
    <n v="1"/>
    <n v="2"/>
    <n v="4.5"/>
    <n v="5.9800000000000001E-3"/>
    <x v="5"/>
  </r>
  <r>
    <n v="0.64600000000000002"/>
    <n v="115"/>
    <n v="0.64500000000000002"/>
    <x v="9"/>
    <n v="0.29499999999999998"/>
    <s v="Ariana Grande"/>
    <n v="81"/>
    <s v="Top Gaming Tracks"/>
    <s v="we can't be friends (wait for your love)"/>
    <d v="2024-03-08T00:00:00"/>
    <n v="1"/>
    <n v="5"/>
    <n v="3.8"/>
    <n v="6.1499999999999999E-2"/>
    <x v="5"/>
  </r>
  <r>
    <n v="0.76400000000000001"/>
    <n v="140"/>
    <n v="0.88200000000000001"/>
    <x v="9"/>
    <n v="0.88600000000000001"/>
    <s v="Central Cee, Lil Baby"/>
    <n v="81"/>
    <s v="Top Gaming Tracks"/>
    <s v="BAND4BAND (feat. Lil Baby)"/>
    <d v="2024-05-23T00:00:00"/>
    <n v="1"/>
    <n v="11"/>
    <n v="2.3333333333333335"/>
    <n v="0.35899999999999999"/>
    <x v="5"/>
  </r>
  <r>
    <n v="0.62"/>
    <n v="120"/>
    <n v="0.85699999999999998"/>
    <x v="9"/>
    <n v="0.79600000000000004"/>
    <s v="Charli xcx"/>
    <n v="81"/>
    <s v="Top Gaming Tracks"/>
    <n v="360"/>
    <d v="2024-06-07T00:00:00"/>
    <n v="1"/>
    <n v="0"/>
    <n v="2.2166666666666668"/>
    <n v="0.64600000000000002"/>
    <x v="5"/>
  </r>
  <r>
    <n v="0.95"/>
    <n v="150"/>
    <n v="0.67300000000000004"/>
    <x v="9"/>
    <n v="0.56299999999999994"/>
    <s v="Dimitri Vegas &amp; Like Mike, Tii´sto, Dido, W&amp;W, Dimitri Vegas, Like Mike"/>
    <n v="81"/>
    <s v="Top Gaming Tracks"/>
    <s v="Thank You (Not So Bad)"/>
    <d v="2023-12-01T00:00:00"/>
    <n v="1"/>
    <n v="11"/>
    <n v="2.3333333333333335"/>
    <n v="2.29E-2"/>
    <x v="5"/>
  </r>
  <r>
    <n v="0.88700000000000001"/>
    <n v="127"/>
    <n v="0.93600000000000005"/>
    <x v="9"/>
    <n v="0.88900000000000001"/>
    <s v="Eminem"/>
    <n v="81"/>
    <s v="Top Gaming Tracks"/>
    <s v="Houdini"/>
    <d v="2024-05-31T00:00:00"/>
    <n v="0"/>
    <n v="9"/>
    <n v="3.7833333333333332"/>
    <n v="2.92E-2"/>
    <x v="5"/>
  </r>
  <r>
    <n v="0.745"/>
    <n v="165"/>
    <n v="0.80800000000000005"/>
    <x v="9"/>
    <n v="0.82899999999999996"/>
    <s v="Eminem, Juice WRLD"/>
    <n v="81"/>
    <s v="Top Gaming Tracks"/>
    <s v="Godzilla (feat. Juice WRLD)"/>
    <d v="2020-01-17T00:00:00"/>
    <n v="0"/>
    <n v="10"/>
    <n v="3.5"/>
    <n v="0.14499999999999999"/>
    <x v="5"/>
  </r>
  <r>
    <n v="0.55800000000000005"/>
    <n v="104"/>
    <n v="0.94299999999999995"/>
    <x v="9"/>
    <n v="0.60599999999999998"/>
    <s v="Jack Harlow"/>
    <n v="81"/>
    <s v="Top Gaming Tracks"/>
    <s v="Lovin On Me"/>
    <d v="2023-11-10T00:00:00"/>
    <n v="1"/>
    <n v="2"/>
    <n v="2.2999999999999998"/>
    <n v="2.5999999999999999E-3"/>
    <x v="5"/>
  </r>
  <r>
    <n v="0.75"/>
    <n v="155"/>
    <n v="0.73199999999999998"/>
    <x v="9"/>
    <n v="0.40100000000000002"/>
    <s v="Lil Uzi Vert"/>
    <n v="81"/>
    <s v="Top Gaming Tracks"/>
    <s v="XO Tour Llif3"/>
    <d v="2017-08-25T00:00:00"/>
    <n v="0"/>
    <n v="11"/>
    <n v="3.0333333333333332"/>
    <n v="2.64E-3"/>
    <x v="5"/>
  </r>
  <r>
    <n v="0.63200000000000001"/>
    <n v="121"/>
    <n v="0.76200000000000001"/>
    <x v="9"/>
    <n v="0.28199999999999997"/>
    <s v="Lost Frequencies, Calum Scott"/>
    <n v="81"/>
    <s v="Top Gaming Tracks"/>
    <s v="Where Are You Now"/>
    <d v="2023-11-10T00:00:00"/>
    <n v="0"/>
    <n v="6"/>
    <n v="2.4833333333333334"/>
    <n v="0.51"/>
    <x v="5"/>
  </r>
  <r>
    <n v="0.76100000000000001"/>
    <n v="129"/>
    <n v="0.63400000000000001"/>
    <x v="9"/>
    <n v="0.78500000000000003"/>
    <s v="Marshmello, Kane Brown"/>
    <n v="81"/>
    <s v="Top Gaming Tracks"/>
    <s v="Miles On It"/>
    <d v="2024-05-03T00:00:00"/>
    <n v="1"/>
    <n v="5"/>
    <n v="2.8"/>
    <n v="5.3699999999999998E-3"/>
    <x v="5"/>
  </r>
  <r>
    <n v="0.58599999999999997"/>
    <n v="116"/>
    <n v="0.89600000000000002"/>
    <x v="9"/>
    <n v="0.64200000000000002"/>
    <s v="Roddy Ricch"/>
    <n v="81"/>
    <s v="Top Gaming Tracks"/>
    <s v="The Box"/>
    <d v="2019-12-06T00:00:00"/>
    <n v="0"/>
    <n v="10"/>
    <n v="3.2666666666666666"/>
    <n v="0.104"/>
    <x v="5"/>
  </r>
  <r>
    <n v="0.53700000000000003"/>
    <n v="128"/>
    <n v="0.92100000000000004"/>
    <x v="9"/>
    <n v="0.71099999999999997"/>
    <s v="XXXTENTACION"/>
    <n v="81"/>
    <s v="Top Gaming Tracks"/>
    <s v="Moonlight"/>
    <d v="2018-03-16T00:00:00"/>
    <n v="0"/>
    <n v="9"/>
    <n v="2.25"/>
    <n v="0.55600000000000005"/>
    <x v="5"/>
  </r>
  <r>
    <n v="0.74099999999999999"/>
    <n v="120"/>
    <n v="0.77100000000000002"/>
    <x v="9"/>
    <n v="0.19"/>
    <s v="Zerb, The Chainsmokers, Ink"/>
    <n v="81"/>
    <s v="Top Gaming Tracks"/>
    <s v="Addicted"/>
    <d v="2024-03-29T00:00:00"/>
    <n v="0"/>
    <n v="5"/>
    <n v="2.5333333333333332"/>
    <n v="2.4500000000000001E-2"/>
    <x v="5"/>
  </r>
  <r>
    <n v="0.71599999999999997"/>
    <n v="910"/>
    <n v="0.70099999999999996"/>
    <x v="9"/>
    <n v="0.73199999999999998"/>
    <s v="24kGoldn, iann dior"/>
    <n v="80"/>
    <s v="Top Gaming Tracks"/>
    <s v="Mood (feat. iann dior)"/>
    <d v="2021-03-26T00:00:00"/>
    <n v="0"/>
    <n v="7"/>
    <n v="2.3333333333333335"/>
    <n v="0.17399999999999999"/>
    <x v="5"/>
  </r>
  <r>
    <n v="0.67300000000000004"/>
    <n v="165"/>
    <n v="0.52900000000000003"/>
    <x v="9"/>
    <n v="0.36599999999999999"/>
    <s v="Drake, 21 Savage"/>
    <n v="80"/>
    <s v="Top Gaming Tracks"/>
    <s v="Jimmy Cooks (feat. 21 Savage)"/>
    <d v="2022-06-17T00:00:00"/>
    <n v="1"/>
    <n v="0"/>
    <n v="3.6333333333333333"/>
    <n v="3.0699999999999998E-4"/>
    <x v="5"/>
  </r>
  <r>
    <n v="0.77300000000000002"/>
    <n v="129"/>
    <n v="0.68100000000000005"/>
    <x v="9"/>
    <n v="0.504"/>
    <s v="Eternxlkz"/>
    <n v="80"/>
    <s v="Top Gaming Tracks"/>
    <s v="SLAY!"/>
    <d v="2024-03-15T00:00:00"/>
    <n v="1"/>
    <n v="1"/>
    <n v="1.7833333333333334"/>
    <n v="8.6300000000000002E-2"/>
    <x v="5"/>
  </r>
  <r>
    <n v="0.51200000000000001"/>
    <n v="805"/>
    <n v="0.82899999999999996"/>
    <x v="9"/>
    <n v="0.63800000000000001"/>
    <s v="Sleepy Hallow"/>
    <n v="80"/>
    <s v="Top Gaming Tracks"/>
    <n v="2055"/>
    <d v="2021-06-02T00:00:00"/>
    <n v="0"/>
    <n v="6"/>
    <n v="2.0499999999999998"/>
    <n v="0.49199999999999999"/>
    <x v="5"/>
  </r>
  <r>
    <n v="0.68100000000000005"/>
    <n v="139"/>
    <n v="0.91800000000000004"/>
    <x v="9"/>
    <n v="0.70599999999999996"/>
    <s v="Dave, Central Cee"/>
    <n v="79"/>
    <s v="Top Gaming Tracks"/>
    <s v="Sprinter"/>
    <d v="2023-06-01T00:00:00"/>
    <n v="1"/>
    <n v="1"/>
    <n v="3.8166666666666669"/>
    <n v="0.26300000000000001"/>
    <x v="5"/>
  </r>
  <r>
    <n v="0.79700000000000004"/>
    <n v="122"/>
    <n v="0.70199999999999996"/>
    <x v="9"/>
    <n v="3.56E-2"/>
    <s v="Disclosure, Eliza Doolittle, Rivo"/>
    <n v="79"/>
    <s v="Top Gaming Tracks"/>
    <s v="You &amp; Me - Rivo Remix"/>
    <d v="2023-12-22T00:00:00"/>
    <n v="0"/>
    <n v="10"/>
    <n v="3.4666666666666668"/>
    <n v="0.58299999999999996"/>
    <x v="5"/>
  </r>
  <r>
    <n v="0.76100000000000001"/>
    <n v="146"/>
    <n v="0.62"/>
    <x v="9"/>
    <n v="0.19400000000000001"/>
    <s v="Jungle"/>
    <n v="79"/>
    <s v="Top Gaming Tracks"/>
    <s v="Back On 74"/>
    <d v="2023-08-11T00:00:00"/>
    <n v="0"/>
    <n v="10"/>
    <n v="3.4833333333333334"/>
    <n v="0.20699999999999999"/>
    <x v="5"/>
  </r>
  <r>
    <n v="0.58299999999999996"/>
    <n v="116"/>
    <n v="0.70899999999999996"/>
    <x v="9"/>
    <n v="0.53300000000000003"/>
    <s v="Metro Boomin, Future, Chris Brown"/>
    <n v="79"/>
    <s v="Top Gaming Tracks"/>
    <s v="Superhero (Heroes &amp; Villains) [with Future &amp; Chris Brown]"/>
    <d v="2022-12-02T00:00:00"/>
    <n v="0"/>
    <n v="5"/>
    <n v="3.0333333333333332"/>
    <n v="0.13800000000000001"/>
    <x v="5"/>
  </r>
  <r>
    <n v="0.753"/>
    <n v="127"/>
    <n v="0.67100000000000004"/>
    <x v="9"/>
    <n v="0.54300000000000004"/>
    <s v="Sonny Fodera, Jazzy, D.O.D"/>
    <n v="79"/>
    <s v="Top Gaming Tracks"/>
    <s v="Somedays"/>
    <d v="2024-07-26T00:00:00"/>
    <n v="0"/>
    <n v="4"/>
    <n v="3.45"/>
    <n v="1.9E-2"/>
    <x v="5"/>
  </r>
  <r>
    <n v="0.51200000000000001"/>
    <n v="960"/>
    <n v="0.80300000000000005"/>
    <x v="9"/>
    <n v="0.435"/>
    <s v="Bryson Tiller"/>
    <n v="78"/>
    <s v="Top Gaming Tracks"/>
    <s v="Whatever She Wants"/>
    <d v="2024-02-13T00:00:00"/>
    <n v="0"/>
    <n v="9"/>
    <n v="2.6833333333333331"/>
    <n v="0.128"/>
    <x v="5"/>
  </r>
  <r>
    <n v="0.59299999999999997"/>
    <n v="120"/>
    <n v="0.56499999999999995"/>
    <x v="9"/>
    <n v="0.42899999999999999"/>
    <s v="d4vd"/>
    <n v="78"/>
    <s v="Top Gaming Tracks"/>
    <s v="Feel It - From The Original Series ‚ÄúInvincible‚Äù"/>
    <d v="2024-03-28T00:00:00"/>
    <n v="1"/>
    <n v="8"/>
    <n v="2.6166666666666667"/>
    <n v="2.8799999999999999E-2"/>
    <x v="5"/>
  </r>
  <r>
    <n v="0.56699999999999995"/>
    <n v="759"/>
    <n v="0.57399999999999995"/>
    <x v="9"/>
    <n v="0.52600000000000002"/>
    <s v="JID, 21 Savage, Baby Tate"/>
    <n v="78"/>
    <s v="Top Gaming Tracks"/>
    <s v="Surround Sound (feat. 21 Savage &amp; Baby Tate)"/>
    <d v="2022-10-31T00:00:00"/>
    <n v="0"/>
    <n v="7"/>
    <n v="3.8166666666666669"/>
    <n v="0.16400000000000001"/>
    <x v="5"/>
  </r>
  <r>
    <n v="0.64300000000000002"/>
    <n v="139"/>
    <n v="0.83099999999999996"/>
    <x v="9"/>
    <n v="0.14199999999999999"/>
    <s v="Kendrick Lamar"/>
    <n v="78"/>
    <s v="Top Gaming Tracks"/>
    <s v="euphoria"/>
    <d v="2024-04-30T00:00:00"/>
    <n v="1"/>
    <n v="1"/>
    <n v="6.3833333333333337"/>
    <n v="4.5999999999999999E-2"/>
    <x v="5"/>
  </r>
  <r>
    <n v="0.45200000000000001"/>
    <n v="900"/>
    <n v="0.90400000000000003"/>
    <x v="9"/>
    <n v="0.61299999999999999"/>
    <s v="Tommy Richman"/>
    <n v="78"/>
    <s v="Top Gaming Tracks"/>
    <s v="DEVIL IS A LIE"/>
    <d v="2024-06-14T00:00:00"/>
    <n v="1"/>
    <n v="9"/>
    <n v="2.1666666666666665"/>
    <n v="0.17399999999999999"/>
    <x v="5"/>
  </r>
  <r>
    <n v="0.57299999999999995"/>
    <n v="140"/>
    <n v="0.91100000000000003"/>
    <x v="9"/>
    <n v="0.97199999999999998"/>
    <s v="Central Cee"/>
    <n v="77"/>
    <s v="Top Gaming Tracks"/>
    <s v="Doja"/>
    <d v="2022-07-21T00:00:00"/>
    <n v="1"/>
    <n v="6"/>
    <n v="16.216666666666665"/>
    <n v="0.38"/>
    <x v="5"/>
  </r>
  <r>
    <n v="0.93400000000000005"/>
    <n v="880"/>
    <n v="0.77700000000000002"/>
    <x v="9"/>
    <n v="0.63700000000000001"/>
    <s v="Chase &amp; Status, Stormzy"/>
    <n v="77"/>
    <s v="Top Gaming Tracks"/>
    <s v="BACKBONE"/>
    <d v="2024-08-08T00:00:00"/>
    <n v="1"/>
    <n v="2"/>
    <n v="2.7666666666666666"/>
    <n v="0.28499999999999998"/>
    <x v="5"/>
  </r>
  <r>
    <n v="0.83"/>
    <n v="750"/>
    <n v="0.76700000000000002"/>
    <x v="9"/>
    <n v="0.187"/>
    <s v="Creeds"/>
    <n v="77"/>
    <s v="Top Gaming Tracks"/>
    <s v="Push Up - Main Edit"/>
    <d v="2023-03-31T00:00:00"/>
    <n v="1"/>
    <n v="7"/>
    <n v="2.3166666666666669"/>
    <n v="0.20899999999999999"/>
    <x v="5"/>
  </r>
  <r>
    <n v="0.96299999999999997"/>
    <n v="130"/>
    <n v="0.81699999999999995"/>
    <x v="9"/>
    <n v="0.502"/>
    <s v="CURSEDEVIL, DJ FKU, Skorde"/>
    <n v="77"/>
    <s v="Top Gaming Tracks"/>
    <s v="TUCA DONKA"/>
    <d v="2023-07-28T00:00:00"/>
    <n v="1"/>
    <n v="1"/>
    <n v="12.6"/>
    <n v="6.83E-2"/>
    <x v="5"/>
  </r>
  <r>
    <n v="0.55600000000000005"/>
    <n v="999"/>
    <n v="0.86399999999999999"/>
    <x v="9"/>
    <n v="0.72599999999999998"/>
    <s v="Doja Cat"/>
    <n v="77"/>
    <s v="Top Gaming Tracks"/>
    <s v="Paint The Town Red"/>
    <d v="2023-09-20T00:00:00"/>
    <n v="0"/>
    <n v="2"/>
    <n v="3.8333333333333335"/>
    <n v="0.255"/>
    <x v="5"/>
  </r>
  <r>
    <n v="0.629"/>
    <n v="130"/>
    <n v="0.84799999999999998"/>
    <x v="9"/>
    <n v="0.58599999999999997"/>
    <s v="Gotye, FISHER, Chris Lake, Kimbra, Sante Sansone"/>
    <n v="77"/>
    <s v="Top Gaming Tracks"/>
    <s v="Somebody (2024)"/>
    <d v="2024-02-09T00:00:00"/>
    <n v="1"/>
    <n v="0"/>
    <n v="2.5499999999999998"/>
    <n v="1.6E-2"/>
    <x v="5"/>
  </r>
  <r>
    <n v="0.62"/>
    <n v="117"/>
    <n v="0.74099999999999999"/>
    <x v="9"/>
    <n v="0.93400000000000005"/>
    <s v="Hozier"/>
    <n v="77"/>
    <s v="Top Gaming Tracks"/>
    <s v="Too Sweet"/>
    <d v="2024-03-22T00:00:00"/>
    <n v="1"/>
    <n v="10"/>
    <n v="4.1833333333333336"/>
    <n v="2.9499999999999998E-2"/>
    <x v="5"/>
  </r>
  <r>
    <n v="0.52300000000000002"/>
    <n v="169"/>
    <n v="0.628"/>
    <x v="9"/>
    <n v="0.41599999999999998"/>
    <s v="Kenya Grace"/>
    <n v="77"/>
    <s v="Top Gaming Tracks"/>
    <s v="Strangers"/>
    <d v="2023-09-01T00:00:00"/>
    <n v="0"/>
    <n v="11"/>
    <n v="2.8666666666666667"/>
    <n v="0.70099999999999996"/>
    <x v="5"/>
  </r>
  <r>
    <n v="0.64"/>
    <n v="130"/>
    <n v="0.53700000000000003"/>
    <x v="9"/>
    <n v="0.222"/>
    <s v="LXNGVX"/>
    <n v="77"/>
    <s v="Top Gaming Tracks"/>
    <s v="Montagem Mysterious Game"/>
    <d v="2023-12-01T00:00:00"/>
    <n v="1"/>
    <n v="1"/>
    <n v="1.7166666666666666"/>
    <n v="0.14599999999999999"/>
    <x v="5"/>
  </r>
  <r>
    <n v="0.80300000000000005"/>
    <n v="130"/>
    <n v="0.877"/>
    <x v="9"/>
    <n v="0.79500000000000004"/>
    <s v="S3BZS, Mc Gw, Mc Menor Do Alvorada"/>
    <n v="77"/>
    <s v="Top Gaming Tracks"/>
    <s v="MONTAGEM - PR FUNK"/>
    <d v="2023-05-01T00:00:00"/>
    <n v="1"/>
    <n v="9"/>
    <n v="10.266666666666667"/>
    <n v="0.73399999999999999"/>
    <x v="5"/>
  </r>
  <r>
    <n v="0.92700000000000005"/>
    <n v="109"/>
    <n v="0.755"/>
    <x v="9"/>
    <n v="0.70199999999999996"/>
    <s v="xxanteria, isq"/>
    <n v="77"/>
    <s v="Top Gaming Tracks"/>
    <s v="FUNKED UP - SLOWED"/>
    <d v="2024-01-19T00:00:00"/>
    <n v="0"/>
    <n v="11"/>
    <n v="1.9166666666666667"/>
    <n v="2.8800000000000002E-3"/>
    <x v="5"/>
  </r>
  <r>
    <n v="0.81799999999999995"/>
    <n v="125"/>
    <n v="0.68700000000000006"/>
    <x v="9"/>
    <n v="0.88600000000000001"/>
    <s v="Alok, Ella Eyre, Kenny Dope, Never Dull"/>
    <n v="76"/>
    <s v="Top Gaming Tracks"/>
    <s v="Deep Down (feat. Never Dull)"/>
    <d v="2022-06-17T00:00:00"/>
    <n v="1"/>
    <n v="0"/>
    <n v="2.75"/>
    <n v="1.12E-2"/>
    <x v="5"/>
  </r>
  <r>
    <n v="0.68700000000000006"/>
    <n v="123"/>
    <n v="0.755"/>
    <x v="9"/>
    <n v="0.38100000000000001"/>
    <s v="Doja Cat"/>
    <n v="76"/>
    <s v="Top Gaming Tracks"/>
    <s v="Agora Hills"/>
    <d v="2023-09-20T00:00:00"/>
    <n v="0"/>
    <n v="8"/>
    <n v="4.416666666666667"/>
    <n v="0.183"/>
    <x v="5"/>
  </r>
  <r>
    <n v="0.67200000000000004"/>
    <n v="136"/>
    <n v="0.67300000000000004"/>
    <x v="9"/>
    <n v="0.14000000000000001"/>
    <s v="Drake, Yeat"/>
    <n v="76"/>
    <s v="Top Gaming Tracks"/>
    <s v="IDGAF (feat. Yeat)"/>
    <d v="2023-10-06T00:00:00"/>
    <n v="1"/>
    <n v="8"/>
    <n v="4.333333333333333"/>
    <n v="4.6600000000000003E-2"/>
    <x v="5"/>
  </r>
  <r>
    <n v="0.91900000000000004"/>
    <n v="151"/>
    <n v="0.83"/>
    <x v="9"/>
    <n v="0.84799999999999998"/>
    <s v="Dyan Dxddy"/>
    <n v="76"/>
    <s v="Top Gaming Tracks"/>
    <s v="CUTE DEPRESSED"/>
    <d v="2024-02-02T00:00:00"/>
    <n v="0"/>
    <n v="10"/>
    <n v="16.149999999999999"/>
    <n v="0.503"/>
    <x v="5"/>
  </r>
  <r>
    <n v="0.77700000000000002"/>
    <n v="108"/>
    <n v="0.57999999999999996"/>
    <x v="9"/>
    <n v="0.58899999999999997"/>
    <s v="Kygo, Ava Max"/>
    <n v="76"/>
    <s v="Top Gaming Tracks"/>
    <s v="Whatever"/>
    <d v="2024-01-19T00:00:00"/>
    <n v="1"/>
    <n v="3"/>
    <n v="2.9666666666666668"/>
    <n v="0.104"/>
    <x v="5"/>
  </r>
  <r>
    <n v="0.53900000000000003"/>
    <n v="158"/>
    <n v="0.65"/>
    <x v="9"/>
    <n v="0.253"/>
    <s v="Rich Amiri"/>
    <n v="76"/>
    <s v="Top Gaming Tracks"/>
    <s v="ONE CALL"/>
    <d v="2023-11-17T00:00:00"/>
    <n v="1"/>
    <n v="1"/>
    <n v="2.0166666666666666"/>
    <n v="6.1700000000000001E-3"/>
    <x v="5"/>
  </r>
  <r>
    <n v="0.73799999999999999"/>
    <n v="130"/>
    <n v="0.59299999999999997"/>
    <x v="9"/>
    <n v="0.59099999999999997"/>
    <s v="Eternxlkz"/>
    <n v="75"/>
    <s v="Top Gaming Tracks"/>
    <s v="BRODYAGA FUNK"/>
    <d v="2023-11-17T00:00:00"/>
    <n v="0"/>
    <n v="11"/>
    <n v="2.2333333333333334"/>
    <n v="0.26900000000000002"/>
    <x v="5"/>
  </r>
  <r>
    <n v="0.89700000000000002"/>
    <n v="129"/>
    <n v="0.68600000000000005"/>
    <x v="9"/>
    <n v="0.35499999999999998"/>
    <s v="Lil Uzi Vert, sped up nightcore, ARIZONATEARS"/>
    <n v="75"/>
    <s v="Top Gaming Tracks"/>
    <s v="Watch This - ARIZONATEARS Pluggnb Remix"/>
    <d v="2023-02-05T00:00:00"/>
    <n v="0"/>
    <n v="11"/>
    <n v="2.7166666666666668"/>
    <n v="1.03E-2"/>
    <x v="5"/>
  </r>
  <r>
    <n v="0.96699999999999997"/>
    <n v="149"/>
    <n v="0.628"/>
    <x v="9"/>
    <n v="0.39900000000000002"/>
    <s v="Marnik, Naeleck, VINAI"/>
    <n v="75"/>
    <s v="Top Gaming Tracks"/>
    <s v="Boyz In Paris (with VINAI)"/>
    <d v="2023-07-28T00:00:00"/>
    <n v="1"/>
    <n v="1"/>
    <n v="2.5166666666666666"/>
    <n v="3.9800000000000002E-2"/>
    <x v="5"/>
  </r>
  <r>
    <n v="0.79300000000000004"/>
    <n v="120"/>
    <n v="0.69599999999999995"/>
    <x v="9"/>
    <n v="0.69799999999999995"/>
    <s v="Tii´sto, Tate McRae"/>
    <n v="75"/>
    <s v="Top Gaming Tracks"/>
    <d v="1899-12-30T10:35:00"/>
    <d v="2023-04-21T00:00:00"/>
    <n v="1"/>
    <n v="8"/>
    <n v="2.8666666666666667"/>
    <n v="6.83E-2"/>
    <x v="5"/>
  </r>
  <r>
    <n v="0.81"/>
    <n v="150"/>
    <n v="0.61299999999999999"/>
    <x v="9"/>
    <n v="0.68600000000000005"/>
    <s v="ZWE1HVNDXR, yatashigang"/>
    <n v="75"/>
    <s v="Top Gaming Tracks"/>
    <s v="LOVELY BASTARDS"/>
    <d v="2023-08-25T00:00:00"/>
    <n v="1"/>
    <n v="1"/>
    <n v="1.9333333333333333"/>
    <n v="0.83199999999999996"/>
    <x v="5"/>
  </r>
  <r>
    <n v="0.52700000000000002"/>
    <n v="774"/>
    <n v="0.82399999999999995"/>
    <x v="9"/>
    <n v="0.21199999999999999"/>
    <s v="A$AP Rocky"/>
    <n v="74"/>
    <s v="Top Gaming Tracks"/>
    <s v="Tailor Swif"/>
    <d v="2024-08-30T00:00:00"/>
    <n v="1"/>
    <n v="8"/>
    <n v="2.5833333333333335"/>
    <n v="0.14899999999999999"/>
    <x v="5"/>
  </r>
  <r>
    <n v="0.84799999999999998"/>
    <n v="135"/>
    <n v="0.72099999999999997"/>
    <x v="9"/>
    <n v="0.77400000000000002"/>
    <s v="Bibi Babydoll, Dj Brunin XM, KZA Produißiµes"/>
    <n v="74"/>
    <s v="Top Gaming Tracks"/>
    <s v="Automotivo Bibi Fogosa"/>
    <d v="2023-11-10T00:00:00"/>
    <n v="1"/>
    <n v="9"/>
    <n v="2.15"/>
    <n v="0.26"/>
    <x v="5"/>
  </r>
  <r>
    <n v="0.65500000000000003"/>
    <n v="163"/>
    <n v="0.47499999999999998"/>
    <x v="9"/>
    <n v="0.245"/>
    <s v="Drake, J. Cole"/>
    <n v="74"/>
    <s v="Top Gaming Tracks"/>
    <s v="First Person Shooter (feat. J. Cole)"/>
    <d v="2023-10-06T00:00:00"/>
    <n v="0"/>
    <n v="11"/>
    <n v="4.1166666666666663"/>
    <n v="3.0599999999999999E-2"/>
    <x v="5"/>
  </r>
  <r>
    <n v="0.74199999999999999"/>
    <n v="114"/>
    <n v="0.77300000000000002"/>
    <x v="9"/>
    <n v="0.57099999999999995"/>
    <s v="Imagine Dragons"/>
    <n v="74"/>
    <s v="Top Gaming Tracks"/>
    <s v="Bones"/>
    <d v="2022-03-11T00:00:00"/>
    <n v="0"/>
    <n v="5"/>
    <n v="2.75"/>
    <n v="2.06E-2"/>
    <x v="5"/>
  </r>
  <r>
    <n v="0.78100000000000003"/>
    <n v="128"/>
    <n v="0.80500000000000005"/>
    <x v="9"/>
    <n v="0.81799999999999995"/>
    <s v="PAWSA"/>
    <n v="74"/>
    <s v="Top Gaming Tracks"/>
    <s v="TOO COOL TO BE CARELESS"/>
    <d v="2024-07-05T00:00:00"/>
    <n v="0"/>
    <n v="1"/>
    <n v="3.6666666666666665"/>
    <n v="2E-3"/>
    <x v="5"/>
  </r>
  <r>
    <n v="0.75800000000000001"/>
    <n v="165"/>
    <n v="0.68100000000000005"/>
    <x v="9"/>
    <n v="0.33100000000000002"/>
    <s v="21 Savage, Travis Scott, Metro Boomin"/>
    <n v="73"/>
    <s v="Top Gaming Tracks"/>
    <s v="n√©e-nah"/>
    <d v="2024-01-12T00:00:00"/>
    <n v="1"/>
    <n v="1"/>
    <n v="3.6666666666666665"/>
    <n v="4.6499999999999996E-3"/>
    <x v="5"/>
  </r>
  <r>
    <n v="0.85"/>
    <n v="106"/>
    <n v="0.81499999999999995"/>
    <x v="9"/>
    <n v="0.69399999999999995"/>
    <s v="bbno$, Rich Brian"/>
    <n v="73"/>
    <s v="Top Gaming Tracks"/>
    <s v="edamame"/>
    <d v="2021-10-08T00:00:00"/>
    <n v="0"/>
    <n v="4"/>
    <n v="2.2166666666666668"/>
    <n v="2.3199999999999998E-2"/>
    <x v="5"/>
  </r>
  <r>
    <n v="0.89500000000000002"/>
    <n v="125"/>
    <n v="0.76200000000000001"/>
    <x v="9"/>
    <n v="0.75700000000000001"/>
    <s v="FISHER, Kita Alexander"/>
    <n v="73"/>
    <s v="Top Gaming Tracks"/>
    <s v="Atmosphere"/>
    <d v="2023-08-11T00:00:00"/>
    <n v="1"/>
    <n v="8"/>
    <n v="3.0333333333333332"/>
    <n v="6.2300000000000003E-3"/>
    <x v="5"/>
  </r>
  <r>
    <n v="0.63600000000000001"/>
    <n v="754"/>
    <n v="0.65400000000000003"/>
    <x v="9"/>
    <n v="0.26700000000000002"/>
    <s v="Key Glock"/>
    <n v="73"/>
    <s v="Top Gaming Tracks"/>
    <s v="Let's Go"/>
    <d v="2023-06-23T00:00:00"/>
    <n v="1"/>
    <n v="8"/>
    <n v="2.3333333333333335"/>
    <n v="2.5799999999999998E-3"/>
    <x v="5"/>
  </r>
  <r>
    <n v="0.76500000000000001"/>
    <n v="145"/>
    <n v="0.58799999999999997"/>
    <x v="9"/>
    <n v="0.49199999999999999"/>
    <s v="League of Legends, NewJeans"/>
    <n v="73"/>
    <s v="Top Gaming Tracks"/>
    <s v="GODS"/>
    <d v="2023-10-04T00:00:00"/>
    <n v="0"/>
    <n v="3"/>
    <n v="3.6666666666666665"/>
    <n v="6.8500000000000002E-3"/>
    <x v="5"/>
  </r>
  <r>
    <n v="0.91500000000000004"/>
    <n v="154"/>
    <n v="0.73699999999999999"/>
    <x v="9"/>
    <n v="0.30399999999999999"/>
    <s v="Memphis Cult, Groove Dealers, SPLYXER"/>
    <n v="73"/>
    <s v="Top Gaming Tracks"/>
    <s v="9mm"/>
    <d v="2023-02-23T00:00:00"/>
    <n v="1"/>
    <n v="0"/>
    <n v="14.45"/>
    <n v="3.2200000000000002E-3"/>
    <x v="5"/>
  </r>
  <r>
    <n v="0.86"/>
    <n v="146"/>
    <n v="0.58499999999999996"/>
    <x v="9"/>
    <n v="0.60699999999999998"/>
    <s v="Odetari"/>
    <n v="73"/>
    <s v="Top Gaming Tracks"/>
    <s v="GOOD LOYAL THOTS"/>
    <d v="2023-03-15T00:00:00"/>
    <n v="1"/>
    <n v="6"/>
    <n v="1.7"/>
    <n v="5.6599999999999998E-2"/>
    <x v="5"/>
  </r>
  <r>
    <n v="0.54600000000000004"/>
    <n v="118"/>
    <n v="0.76"/>
    <x v="9"/>
    <n v="0.113"/>
    <s v="Yeat"/>
    <n v="73"/>
    <s v="Top Gaming Tracks"/>
    <s v="Breathe"/>
    <d v="2024-02-16T00:00:00"/>
    <n v="1"/>
    <n v="11"/>
    <n v="2.8333333333333335"/>
    <n v="2.8400000000000002E-2"/>
    <x v="5"/>
  </r>
  <r>
    <n v="0.72199999999999998"/>
    <n v="119"/>
    <n v="0.76900000000000002"/>
    <x v="10"/>
    <n v="0.56999999999999995"/>
    <s v="The Weeknd, Playboi Carti"/>
    <n v="92"/>
    <s v="RapCaviar"/>
    <s v="Timeless (with Playboi Carti)"/>
    <d v="2024-09-27T00:00:00"/>
    <n v="0"/>
    <n v="11"/>
    <n v="4.2666666666666666"/>
    <n v="5.8400000000000001E-2"/>
    <x v="5"/>
  </r>
  <r>
    <n v="0.72199999999999998"/>
    <n v="119"/>
    <n v="0.76900000000000002"/>
    <x v="10"/>
    <n v="0.56999999999999995"/>
    <s v="The Weeknd, Playboi Carti"/>
    <n v="92"/>
    <s v="Chill Hop"/>
    <s v="Timeless (with Playboi Carti)"/>
    <d v="2024-09-27T00:00:00"/>
    <n v="0"/>
    <n v="11"/>
    <n v="4.2666666666666666"/>
    <n v="5.8400000000000001E-2"/>
    <x v="4"/>
  </r>
  <r>
    <n v="0.55900000000000005"/>
    <n v="785"/>
    <n v="0.55800000000000005"/>
    <x v="10"/>
    <n v="0.62"/>
    <s v="Tyler, The Creator, Kali Uchis"/>
    <n v="90"/>
    <s v="Chill Hop"/>
    <s v="See You Again (feat. Kali Uchis)"/>
    <d v="2017-07-21T00:00:00"/>
    <n v="1"/>
    <n v="6"/>
    <n v="3"/>
    <n v="0.371"/>
    <x v="4"/>
  </r>
  <r>
    <n v="0.47199999999999998"/>
    <n v="101"/>
    <n v="0.89800000000000002"/>
    <x v="10"/>
    <n v="0.214"/>
    <s v="Kendrick Lamar"/>
    <n v="88"/>
    <s v="RapCaviar"/>
    <s v="Not Like Us"/>
    <d v="2024-05-04T00:00:00"/>
    <n v="1"/>
    <n v="1"/>
    <n v="4.5666666666666664"/>
    <n v="1.0699999999999999E-2"/>
    <x v="5"/>
  </r>
  <r>
    <n v="0.47199999999999998"/>
    <n v="101"/>
    <n v="0.89800000000000002"/>
    <x v="10"/>
    <n v="0.214"/>
    <s v="Kendrick Lamar"/>
    <n v="88"/>
    <s v="Gangster Rap"/>
    <s v="Not Like Us"/>
    <d v="2024-05-04T00:00:00"/>
    <n v="1"/>
    <n v="1"/>
    <n v="4.5666666666666664"/>
    <n v="1.0699999999999999E-2"/>
    <x v="20"/>
  </r>
  <r>
    <n v="0.81200000000000006"/>
    <n v="800"/>
    <n v="0.505"/>
    <x v="10"/>
    <n v="0.66400000000000003"/>
    <s v="Tyler, The Creator, GloRilla, Sexyy Red, Lil Wayne"/>
    <n v="88"/>
    <s v="RapCaviar"/>
    <s v="Sticky (feat. GloRilla, Sexyy Red &amp; Lil Wayne)"/>
    <d v="2024-10-28T00:00:00"/>
    <n v="1"/>
    <n v="1"/>
    <n v="4.25"/>
    <n v="0.28499999999999998"/>
    <x v="5"/>
  </r>
  <r>
    <n v="0.878"/>
    <n v="825"/>
    <n v="0.66100000000000003"/>
    <x v="10"/>
    <n v="0.51400000000000001"/>
    <s v="Tyler, The Creator"/>
    <n v="87"/>
    <s v="RapCaviar"/>
    <s v="Rah Tah Tah"/>
    <d v="2024-10-28T00:00:00"/>
    <n v="1"/>
    <n v="1"/>
    <n v="2.75"/>
    <n v="2.8900000000000002E-3"/>
    <x v="5"/>
  </r>
  <r>
    <n v="0.81799999999999995"/>
    <n v="975"/>
    <n v="0.373"/>
    <x v="10"/>
    <n v="0.36099999999999999"/>
    <s v="Tyler, The Creator, Teezo Touchdown"/>
    <n v="87"/>
    <s v="Chill Hop"/>
    <s v="Darling, I (feat. Teezo Touchdown)"/>
    <d v="2024-10-28T00:00:00"/>
    <n v="0"/>
    <n v="3"/>
    <n v="4.2166666666666668"/>
    <n v="0.36"/>
    <x v="4"/>
  </r>
  <r>
    <n v="0.628"/>
    <n v="119"/>
    <n v="0.75700000000000001"/>
    <x v="10"/>
    <n v="0.32100000000000001"/>
    <s v="Don Toliver"/>
    <n v="85"/>
    <s v="RapCaviar"/>
    <s v="NEW DROP"/>
    <d v="2024-06-14T00:00:00"/>
    <n v="0"/>
    <n v="4"/>
    <n v="3.6166666666666667"/>
    <n v="0.189"/>
    <x v="5"/>
  </r>
  <r>
    <n v="0.745"/>
    <n v="180"/>
    <n v="0.46400000000000002"/>
    <x v="10"/>
    <n v="0.26200000000000001"/>
    <s v="Hanumankind, Kalmi"/>
    <n v="85"/>
    <s v="Desi Hip-Hop"/>
    <s v="Big Dawgs"/>
    <d v="2024-07-09T00:00:00"/>
    <n v="0"/>
    <n v="4"/>
    <n v="3.1666666666666665"/>
    <n v="2.35E-2"/>
    <x v="21"/>
  </r>
  <r>
    <n v="0.85899999999999999"/>
    <n v="129"/>
    <n v="0.77"/>
    <x v="10"/>
    <n v="0.64"/>
    <s v="Tyler, The Creator, ScHoolboy Q, Santigold"/>
    <n v="85"/>
    <s v="RapCaviar"/>
    <s v="Thought I Was Dead (feat. ScHoolboy Q &amp; Santigold)"/>
    <d v="2024-10-28T00:00:00"/>
    <n v="0"/>
    <n v="10"/>
    <n v="3.45"/>
    <n v="0.36199999999999999"/>
    <x v="5"/>
  </r>
  <r>
    <n v="0.65200000000000002"/>
    <n v="141"/>
    <n v="0.47"/>
    <x v="10"/>
    <n v="0.104"/>
    <s v="A$AP Rocky, Imogen Heap, Clams Casino"/>
    <n v="84"/>
    <s v="Chill Hop"/>
    <s v="I Smoked Away My Brain (I'm God x Demons Mashup) (feat. Imogen Heap &amp; Clams Casino)"/>
    <d v="2023-08-18T00:00:00"/>
    <n v="1"/>
    <n v="2"/>
    <n v="3.1666666666666665"/>
    <n v="8.3099999999999993E-2"/>
    <x v="4"/>
  </r>
  <r>
    <n v="0.55200000000000005"/>
    <n v="144"/>
    <n v="0.64"/>
    <x v="10"/>
    <n v="0.112"/>
    <s v="Future, Metro Boomin, Travis Scott, Playboi Carti"/>
    <n v="84"/>
    <s v="RapCaviar"/>
    <s v="Type Shit"/>
    <d v="2024-03-22T00:00:00"/>
    <n v="1"/>
    <n v="2"/>
    <n v="3.8"/>
    <n v="2.1499999999999998E-2"/>
    <x v="5"/>
  </r>
  <r>
    <n v="0.55200000000000005"/>
    <n v="144"/>
    <n v="0.64"/>
    <x v="10"/>
    <n v="0.112"/>
    <s v="Future, Metro Boomin, Travis Scott, Playboi Carti"/>
    <n v="84"/>
    <s v="Gangster Rap"/>
    <s v="Type Shit"/>
    <d v="2024-03-22T00:00:00"/>
    <n v="1"/>
    <n v="2"/>
    <n v="3.8"/>
    <n v="2.1499999999999998E-2"/>
    <x v="20"/>
  </r>
  <r>
    <n v="0.57399999999999995"/>
    <n v="120"/>
    <n v="0.66900000000000004"/>
    <x v="10"/>
    <n v="0.27300000000000002"/>
    <s v="Lil Peep, XXXTENTACION"/>
    <n v="84"/>
    <s v="Chill Hop"/>
    <s v="Falling Down - Bonus Track"/>
    <d v="2018-11-09T00:00:00"/>
    <n v="0"/>
    <n v="4"/>
    <n v="3.2666666666666666"/>
    <n v="1.7500000000000002E-2"/>
    <x v="4"/>
  </r>
  <r>
    <n v="0.251"/>
    <n v="139"/>
    <n v="0.746"/>
    <x v="10"/>
    <n v="0.18"/>
    <s v="XXXTENTACION"/>
    <n v="84"/>
    <s v="Chill Hop"/>
    <s v="Revenge"/>
    <d v="2017-08-25T00:00:00"/>
    <n v="0"/>
    <n v="11"/>
    <n v="2"/>
    <n v="0.78200000000000003"/>
    <x v="4"/>
  </r>
  <r>
    <n v="0.53300000000000003"/>
    <n v="131"/>
    <n v="0.79700000000000004"/>
    <x v="10"/>
    <n v="0.32900000000000001"/>
    <s v="XXXTENTACION, Trippie Redd"/>
    <n v="84"/>
    <s v="Chill Hop"/>
    <s v="Fuck Love"/>
    <d v="2017-08-25T00:00:00"/>
    <n v="0"/>
    <n v="0"/>
    <n v="2.4333333333333331"/>
    <n v="1.72E-2"/>
    <x v="4"/>
  </r>
  <r>
    <n v="0.67600000000000005"/>
    <n v="162"/>
    <n v="0.81399999999999995"/>
    <x v="10"/>
    <n v="0.312"/>
    <s v="Future, Metro Boomin, Kendrick Lamar"/>
    <n v="83"/>
    <s v="Trap"/>
    <s v="Like That"/>
    <d v="2024-03-22T00:00:00"/>
    <n v="0"/>
    <n v="11"/>
    <n v="4.45"/>
    <n v="7.0899999999999999E-3"/>
    <x v="22"/>
  </r>
  <r>
    <n v="0.52900000000000003"/>
    <n v="161"/>
    <n v="0.67100000000000004"/>
    <x v="10"/>
    <n v="0.20300000000000001"/>
    <s v="Juice WRLD"/>
    <n v="83"/>
    <s v="Melodic Rap"/>
    <s v="All Girls Are The Same"/>
    <d v="2018-12-10T00:00:00"/>
    <n v="1"/>
    <n v="0"/>
    <n v="2.75"/>
    <n v="7.6899999999999996E-2"/>
    <x v="23"/>
  </r>
  <r>
    <n v="0.628"/>
    <n v="904"/>
    <n v="0.63900000000000001"/>
    <x v="10"/>
    <n v="0.43"/>
    <s v="Kanye West, Dwele"/>
    <n v="83"/>
    <s v="Chill Hop"/>
    <s v="Flashing Lights"/>
    <d v="2007-09-11T00:00:00"/>
    <n v="0"/>
    <n v="6"/>
    <n v="3.95"/>
    <n v="3.8100000000000002E-2"/>
    <x v="4"/>
  </r>
  <r>
    <n v="0.67800000000000005"/>
    <n v="117"/>
    <n v="0.59499999999999997"/>
    <x v="10"/>
    <n v="0.25900000000000001"/>
    <s v="PARTYNEXTDOOR"/>
    <n v="83"/>
    <s v="Chill Hop"/>
    <s v="Break from Toronto"/>
    <d v="2013-07-01T00:00:00"/>
    <n v="1"/>
    <n v="9"/>
    <n v="16.533333333333335"/>
    <n v="1.9900000000000001E-2"/>
    <x v="4"/>
  </r>
  <r>
    <n v="0.76300000000000001"/>
    <n v="120"/>
    <n v="0.69499999999999995"/>
    <x v="10"/>
    <n v="0.55100000000000005"/>
    <s v="Post Malone"/>
    <n v="83"/>
    <s v="Melodic Rap"/>
    <s v="Circles"/>
    <d v="2019-09-06T00:00:00"/>
    <n v="1"/>
    <n v="0"/>
    <n v="3.5833333333333335"/>
    <n v="0.189"/>
    <x v="23"/>
  </r>
  <r>
    <n v="0.66800000000000004"/>
    <n v="879"/>
    <n v="0.57299999999999995"/>
    <x v="10"/>
    <n v="0.14499999999999999"/>
    <s v="Metro Boomin, Future, Don Toliver"/>
    <n v="82"/>
    <s v="Trap"/>
    <s v="Too Many Nights (feat. Don Toliver &amp; with Future)"/>
    <d v="2022-12-02T00:00:00"/>
    <n v="0"/>
    <n v="7"/>
    <n v="3.3166666666666669"/>
    <n v="0.189"/>
    <x v="22"/>
  </r>
  <r>
    <n v="0.621"/>
    <n v="119"/>
    <n v="0.45500000000000002"/>
    <x v="10"/>
    <n v="0.28000000000000003"/>
    <s v="Travis Scott"/>
    <n v="82"/>
    <s v="Chill Hop"/>
    <s v="MY EYES"/>
    <d v="2023-07-28T00:00:00"/>
    <n v="0"/>
    <n v="0"/>
    <n v="4.1833333333333336"/>
    <n v="0.65100000000000002"/>
    <x v="4"/>
  </r>
  <r>
    <n v="0.76400000000000001"/>
    <n v="140"/>
    <n v="0.88200000000000001"/>
    <x v="10"/>
    <n v="0.88600000000000001"/>
    <s v="Central Cee, Lil Baby"/>
    <n v="81"/>
    <s v="Gangster Rap"/>
    <s v="BAND4BAND (feat. Lil Baby)"/>
    <d v="2024-05-23T00:00:00"/>
    <n v="1"/>
    <n v="11"/>
    <n v="2.3333333333333335"/>
    <n v="0.35899999999999999"/>
    <x v="20"/>
  </r>
  <r>
    <n v="0.77500000000000002"/>
    <n v="934"/>
    <n v="0.81599999999999995"/>
    <x v="10"/>
    <n v="0.52700000000000002"/>
    <s v="Dr. Dre, Snoop Dogg"/>
    <n v="81"/>
    <s v="90s Hip-Hop"/>
    <s v="Still D.R.E."/>
    <d v="1999-11-16T00:00:00"/>
    <n v="1"/>
    <n v="11"/>
    <n v="4.5"/>
    <n v="0.16"/>
    <x v="24"/>
  </r>
  <r>
    <n v="0.434"/>
    <n v="150"/>
    <n v="0.83299999999999996"/>
    <x v="10"/>
    <n v="0.28100000000000003"/>
    <s v="Future"/>
    <n v="81"/>
    <s v="Gangster Rap"/>
    <s v="Mask Off"/>
    <d v="2017-06-30T00:00:00"/>
    <n v="1"/>
    <n v="2"/>
    <n v="3.4"/>
    <n v="1.0200000000000001E-2"/>
    <x v="20"/>
  </r>
  <r>
    <n v="0.434"/>
    <n v="150"/>
    <n v="0.83299999999999996"/>
    <x v="10"/>
    <n v="0.28100000000000003"/>
    <s v="Future"/>
    <n v="81"/>
    <s v="Trap"/>
    <s v="Mask Off"/>
    <d v="2017-06-30T00:00:00"/>
    <n v="1"/>
    <n v="2"/>
    <n v="3.4"/>
    <n v="1.0200000000000001E-2"/>
    <x v="22"/>
  </r>
  <r>
    <n v="0.75"/>
    <n v="155"/>
    <n v="0.73199999999999998"/>
    <x v="10"/>
    <n v="0.40100000000000002"/>
    <s v="Lil Uzi Vert"/>
    <n v="81"/>
    <s v="Melodic Rap"/>
    <s v="XO Tour Llif3"/>
    <d v="2017-08-25T00:00:00"/>
    <n v="0"/>
    <n v="11"/>
    <n v="3.0333333333333332"/>
    <n v="2.64E-3"/>
    <x v="23"/>
  </r>
  <r>
    <n v="0.66300000000000003"/>
    <n v="143"/>
    <n v="0.76"/>
    <x v="10"/>
    <n v="0.20899999999999999"/>
    <s v="Playboi Carti"/>
    <n v="81"/>
    <s v="RapCaviar"/>
    <s v="ALL RED"/>
    <d v="2024-09-13T00:00:00"/>
    <n v="0"/>
    <n v="9"/>
    <n v="2.4666666666666668"/>
    <n v="0.109"/>
    <x v="5"/>
  </r>
  <r>
    <n v="0.73"/>
    <n v="155"/>
    <n v="0.83399999999999996"/>
    <x v="10"/>
    <n v="0.44600000000000001"/>
    <s v="Travis Scott"/>
    <n v="81"/>
    <s v="Trap"/>
    <s v="SICKO MODE"/>
    <d v="2018-08-03T00:00:00"/>
    <n v="1"/>
    <n v="8"/>
    <n v="5.2"/>
    <n v="5.13E-3"/>
    <x v="22"/>
  </r>
  <r>
    <n v="0.56999999999999995"/>
    <n v="129"/>
    <n v="0.73399999999999999"/>
    <x v="10"/>
    <n v="0.68899999999999995"/>
    <s v="XXXTENTACION"/>
    <n v="81"/>
    <s v="Chill Hop"/>
    <s v="Everybody Dies In Their Nightmares"/>
    <d v="2017-08-25T00:00:00"/>
    <n v="0"/>
    <n v="7"/>
    <n v="15.9"/>
    <n v="0.84699999999999998"/>
    <x v="4"/>
  </r>
  <r>
    <n v="0.73299999999999998"/>
    <n v="130"/>
    <n v="0.84699999999999998"/>
    <x v="10"/>
    <n v="0.20200000000000001"/>
    <s v="21 Savage, Metro Boomin"/>
    <n v="80"/>
    <s v="Gangster Rap"/>
    <s v="Glock In My Lap"/>
    <d v="2020-10-02T00:00:00"/>
    <n v="0"/>
    <n v="10"/>
    <n v="3.2166666666666668"/>
    <n v="5.7400000000000003E-3"/>
    <x v="20"/>
  </r>
  <r>
    <n v="0.46300000000000002"/>
    <n v="111"/>
    <n v="0.80900000000000005"/>
    <x v="10"/>
    <n v="0.36399999999999999"/>
    <s v="Drake"/>
    <n v="80"/>
    <s v="Chill Hop"/>
    <s v="Passionfruit"/>
    <d v="2017-03-18T00:00:00"/>
    <n v="1"/>
    <n v="11"/>
    <n v="4.9666666666666668"/>
    <n v="0.25600000000000001"/>
    <x v="4"/>
  </r>
  <r>
    <n v="0.67300000000000004"/>
    <n v="165"/>
    <n v="0.52900000000000003"/>
    <x v="10"/>
    <n v="0.36599999999999999"/>
    <s v="Drake, 21 Savage"/>
    <n v="80"/>
    <s v="Gangster Rap"/>
    <s v="Jimmy Cooks (feat. 21 Savage)"/>
    <d v="2022-06-17T00:00:00"/>
    <n v="1"/>
    <n v="0"/>
    <n v="3.6333333333333333"/>
    <n v="3.0699999999999998E-4"/>
    <x v="20"/>
  </r>
  <r>
    <n v="0.48599999999999999"/>
    <n v="110"/>
    <n v="0.78400000000000003"/>
    <x v="10"/>
    <n v="8.9399999999999993E-2"/>
    <s v="Future"/>
    <n v="80"/>
    <s v="Trap"/>
    <s v="Solo"/>
    <d v="2017-07-27T00:00:00"/>
    <n v="0"/>
    <n v="5"/>
    <n v="4.416666666666667"/>
    <n v="5.3800000000000001E-2"/>
    <x v="22"/>
  </r>
  <r>
    <n v="0.61099999999999999"/>
    <n v="134"/>
    <n v="0.71099999999999997"/>
    <x v="10"/>
    <n v="0.14399999999999999"/>
    <s v="Baby Keem, Kendrick Lamar"/>
    <n v="79"/>
    <s v="Gangster Rap"/>
    <s v="family ties (with Kendrick Lamar)"/>
    <d v="2021-09-10T00:00:00"/>
    <n v="1"/>
    <n v="1"/>
    <n v="4.2"/>
    <n v="5.8799999999999998E-3"/>
    <x v="20"/>
  </r>
  <r>
    <n v="0.57399999999999995"/>
    <n v="146"/>
    <n v="0.69399999999999995"/>
    <x v="10"/>
    <n v="0.28599999999999998"/>
    <s v="Drake"/>
    <n v="79"/>
    <s v="RapCaviar"/>
    <s v="Circadian Rhythm"/>
    <d v="2024-08-30T00:00:00"/>
    <n v="0"/>
    <n v="1"/>
    <n v="2.1"/>
    <n v="0.193"/>
    <x v="5"/>
  </r>
  <r>
    <n v="0.747"/>
    <n v="869"/>
    <n v="0.67"/>
    <x v="10"/>
    <n v="0.91800000000000004"/>
    <s v="Kanye West, Chris Martin"/>
    <n v="79"/>
    <s v="Chill Hop"/>
    <s v="Homecoming"/>
    <d v="2007-09-11T00:00:00"/>
    <n v="1"/>
    <n v="1"/>
    <n v="3.3833333333333333"/>
    <n v="0.33700000000000002"/>
    <x v="4"/>
  </r>
  <r>
    <n v="0.66200000000000003"/>
    <n v="112"/>
    <n v="0.89700000000000002"/>
    <x v="10"/>
    <n v="0.39"/>
    <s v="Lil Baby, Gunna"/>
    <n v="79"/>
    <s v="Melodic Rap"/>
    <s v="Drip Too Hard (Lil Baby &amp; Gunna)"/>
    <d v="2018-10-05T00:00:00"/>
    <n v="0"/>
    <n v="1"/>
    <n v="2.4166666666666665"/>
    <n v="8.5199999999999998E-2"/>
    <x v="23"/>
  </r>
  <r>
    <n v="0.58299999999999996"/>
    <n v="116"/>
    <n v="0.70899999999999996"/>
    <x v="10"/>
    <n v="0.53300000000000003"/>
    <s v="Metro Boomin, Future, Chris Brown"/>
    <n v="79"/>
    <s v="Gangster Rap"/>
    <s v="Superhero (Heroes &amp; Villains) [with Future &amp; Chris Brown]"/>
    <d v="2022-12-02T00:00:00"/>
    <n v="0"/>
    <n v="5"/>
    <n v="3.0333333333333332"/>
    <n v="0.13800000000000001"/>
    <x v="20"/>
  </r>
  <r>
    <n v="0.58299999999999996"/>
    <n v="116"/>
    <n v="0.70899999999999996"/>
    <x v="10"/>
    <n v="0.53300000000000003"/>
    <s v="Metro Boomin, Future, Chris Brown"/>
    <n v="79"/>
    <s v="Trap"/>
    <s v="Superhero (Heroes &amp; Villains) [with Future &amp; Chris Brown]"/>
    <d v="2022-12-02T00:00:00"/>
    <n v="0"/>
    <n v="5"/>
    <n v="3.0333333333333332"/>
    <n v="0.13800000000000001"/>
    <x v="22"/>
  </r>
  <r>
    <n v="0.626"/>
    <n v="143"/>
    <n v="0.81899999999999995"/>
    <x v="10"/>
    <n v="0.41499999999999998"/>
    <s v="21 Savage, Metro Boomin"/>
    <n v="78"/>
    <s v="Gangster Rap"/>
    <s v="Runnin"/>
    <d v="2020-10-02T00:00:00"/>
    <n v="0"/>
    <n v="10"/>
    <n v="3.25"/>
    <n v="7.4799999999999997E-3"/>
    <x v="20"/>
  </r>
  <r>
    <n v="0.35399999999999998"/>
    <n v="160"/>
    <n v="0.74099999999999999"/>
    <x v="10"/>
    <n v="0.58299999999999996"/>
    <s v="Childish Gambino"/>
    <n v="78"/>
    <s v="Chill Hop"/>
    <s v="Redbone"/>
    <d v="2016-12-02T00:00:00"/>
    <n v="1"/>
    <n v="1"/>
    <n v="5.4333333333333336"/>
    <n v="0.18099999999999999"/>
    <x v="4"/>
  </r>
  <r>
    <n v="0.69"/>
    <n v="125"/>
    <n v="0.85299999999999998"/>
    <x v="10"/>
    <n v="0.47099999999999997"/>
    <s v="Drake"/>
    <n v="78"/>
    <s v="RapCaviar"/>
    <s v="No Face"/>
    <d v="2024-08-31T00:00:00"/>
    <n v="1"/>
    <n v="10"/>
    <n v="2.2833333333333332"/>
    <n v="7.7100000000000002E-2"/>
    <x v="5"/>
  </r>
  <r>
    <n v="0.68400000000000005"/>
    <n v="166"/>
    <n v="0.83199999999999996"/>
    <x v="10"/>
    <n v="0.68"/>
    <s v="GloRilla, Sexyy Red"/>
    <n v="78"/>
    <s v="RapCaviar"/>
    <s v="WHATCHU KNO ABOUT ME (feat. Sexyy Red)"/>
    <d v="2024-10-11T00:00:00"/>
    <n v="1"/>
    <n v="1"/>
    <n v="2.4833333333333334"/>
    <n v="4.4900000000000001E-3"/>
    <x v="5"/>
  </r>
  <r>
    <n v="0.74399999999999999"/>
    <n v="823"/>
    <n v="0.79800000000000004"/>
    <x v="10"/>
    <n v="0.79400000000000004"/>
    <s v="Ice Cube"/>
    <n v="78"/>
    <s v="Chill Hop"/>
    <s v="It Was A Good Day"/>
    <d v="1992-11-17T00:00:00"/>
    <n v="0"/>
    <n v="7"/>
    <n v="4.333333333333333"/>
    <n v="0.33"/>
    <x v="4"/>
  </r>
  <r>
    <n v="0.56699999999999995"/>
    <n v="759"/>
    <n v="0.57399999999999995"/>
    <x v="10"/>
    <n v="0.52600000000000002"/>
    <s v="JID, 21 Savage, Baby Tate"/>
    <n v="78"/>
    <s v="Gangster Rap"/>
    <s v="Surround Sound (feat. 21 Savage &amp; Baby Tate)"/>
    <d v="2022-10-31T00:00:00"/>
    <n v="0"/>
    <n v="7"/>
    <n v="3.8166666666666669"/>
    <n v="0.16400000000000001"/>
    <x v="20"/>
  </r>
  <r>
    <n v="0.59199999999999997"/>
    <n v="159"/>
    <n v="0.82"/>
    <x v="10"/>
    <n v="0.4"/>
    <s v="King Von"/>
    <n v="78"/>
    <s v="Gangster Rap"/>
    <s v="Took Her To The O"/>
    <d v="2020-03-06T00:00:00"/>
    <n v="1"/>
    <n v="1"/>
    <n v="3.2666666666666666"/>
    <n v="1.49E-2"/>
    <x v="20"/>
  </r>
  <r>
    <n v="0.77900000000000003"/>
    <n v="123"/>
    <n v="0.72399999999999998"/>
    <x v="10"/>
    <n v="0.53"/>
    <s v="Lil Tecca"/>
    <n v="78"/>
    <s v="Melodic Rap"/>
    <s v="500lbs"/>
    <d v="2023-09-22T00:00:00"/>
    <n v="0"/>
    <n v="7"/>
    <n v="2.4"/>
    <n v="9.8000000000000004E-2"/>
    <x v="23"/>
  </r>
  <r>
    <n v="0.53400000000000003"/>
    <n v="939"/>
    <n v="0.83199999999999996"/>
    <x v="10"/>
    <n v="0.11600000000000001"/>
    <s v="Polo G"/>
    <n v="78"/>
    <s v="Melodic Rap"/>
    <s v="Martin &amp; Gina"/>
    <d v="2020-05-15T00:00:00"/>
    <n v="0"/>
    <n v="1"/>
    <n v="2.2000000000000002"/>
    <n v="0.34499999999999997"/>
    <x v="23"/>
  </r>
  <r>
    <n v="0.69699999999999995"/>
    <n v="939"/>
    <n v="0.90100000000000002"/>
    <x v="10"/>
    <n v="0.67"/>
    <s v="The Notorious B.I.G."/>
    <n v="78"/>
    <s v="90s Hip-Hop"/>
    <s v="Hypnotize - 2014 Remaster"/>
    <d v="1997-03-04T00:00:00"/>
    <n v="1"/>
    <n v="9"/>
    <n v="3.8166666666666669"/>
    <n v="0.14499999999999999"/>
    <x v="24"/>
  </r>
  <r>
    <n v="0.63600000000000001"/>
    <n v="145"/>
    <n v="0.83699999999999997"/>
    <x v="10"/>
    <n v="0.27400000000000002"/>
    <s v="21 Savage"/>
    <n v="77"/>
    <s v="Chill Hop"/>
    <s v="a lot"/>
    <d v="2018-12-21T00:00:00"/>
    <n v="1"/>
    <n v="1"/>
    <n v="4.8"/>
    <n v="3.95E-2"/>
    <x v="4"/>
  </r>
  <r>
    <n v="0.78200000000000003"/>
    <n v="940"/>
    <n v="0.70099999999999996"/>
    <x v="10"/>
    <n v="0.56999999999999995"/>
    <s v="Baby Keem"/>
    <n v="77"/>
    <s v="Melodic Rap"/>
    <n v="16"/>
    <d v="2021-09-10T00:00:00"/>
    <n v="1"/>
    <n v="1"/>
    <n v="2.6"/>
    <n v="9.1800000000000007E-2"/>
    <x v="23"/>
  </r>
  <r>
    <n v="0.57299999999999995"/>
    <n v="140"/>
    <n v="0.91100000000000003"/>
    <x v="10"/>
    <n v="0.97199999999999998"/>
    <s v="Central Cee"/>
    <n v="77"/>
    <s v="UK Drill"/>
    <s v="Doja"/>
    <d v="2022-07-21T00:00:00"/>
    <n v="1"/>
    <n v="6"/>
    <n v="16.216666666666665"/>
    <n v="0.38"/>
    <x v="25"/>
  </r>
  <r>
    <n v="0.41299999999999998"/>
    <n v="131"/>
    <n v="0.77200000000000002"/>
    <x v="10"/>
    <n v="0.21099999999999999"/>
    <s v="Chief Keef"/>
    <n v="77"/>
    <s v="Gangster Rap"/>
    <s v="Love Sosa"/>
    <d v="2012-01-01T00:00:00"/>
    <n v="0"/>
    <n v="0"/>
    <n v="4.0999999999999996"/>
    <n v="3.61E-2"/>
    <x v="20"/>
  </r>
  <r>
    <n v="0.41299999999999998"/>
    <n v="131"/>
    <n v="0.77200000000000002"/>
    <x v="10"/>
    <n v="0.21099999999999999"/>
    <s v="Chief Keef"/>
    <n v="77"/>
    <s v="Trap"/>
    <s v="Love Sosa"/>
    <d v="2012-01-01T00:00:00"/>
    <n v="0"/>
    <n v="0"/>
    <n v="4.0999999999999996"/>
    <n v="3.61E-2"/>
    <x v="22"/>
  </r>
  <r>
    <n v="0.28299999999999997"/>
    <n v="970"/>
    <n v="0.76600000000000001"/>
    <x v="10"/>
    <n v="0.14399999999999999"/>
    <s v="Drake"/>
    <n v="77"/>
    <s v="Chill Hop"/>
    <s v="Teenage Fever"/>
    <d v="2017-03-18T00:00:00"/>
    <n v="0"/>
    <n v="8"/>
    <n v="3.65"/>
    <n v="0.111"/>
    <x v="4"/>
  </r>
  <r>
    <n v="0.754"/>
    <n v="131"/>
    <n v="0.86299999999999999"/>
    <x v="10"/>
    <n v="0.30099999999999999"/>
    <s v="Future"/>
    <n v="77"/>
    <s v="RapCaviar"/>
    <s v="LIL DEMON"/>
    <d v="2024-09-20T00:00:00"/>
    <n v="1"/>
    <n v="11"/>
    <n v="2.3166666666666669"/>
    <n v="1.25E-3"/>
    <x v="5"/>
  </r>
  <r>
    <n v="0.65700000000000003"/>
    <n v="124"/>
    <n v="0.88300000000000001"/>
    <x v="10"/>
    <n v="0.28399999999999997"/>
    <s v="Future"/>
    <n v="77"/>
    <s v="Trap"/>
    <s v="PUFFIN ON ZOOTIEZ"/>
    <d v="2022-04-29T00:00:00"/>
    <n v="1"/>
    <n v="8"/>
    <n v="2.8666666666666667"/>
    <n v="6.0299999999999999E-2"/>
    <x v="22"/>
  </r>
  <r>
    <n v="0.65100000000000002"/>
    <n v="163"/>
    <n v="0.66500000000000004"/>
    <x v="10"/>
    <n v="0.23699999999999999"/>
    <s v="Juice WRLD"/>
    <n v="77"/>
    <s v="Melodic Rap"/>
    <s v="Lean Wit Me"/>
    <d v="2018-12-10T00:00:00"/>
    <n v="1"/>
    <n v="1"/>
    <n v="2.9166666666666665"/>
    <n v="4.1399999999999999E-2"/>
    <x v="23"/>
  </r>
  <r>
    <n v="0.48699999999999999"/>
    <n v="127"/>
    <n v="0.96399999999999997"/>
    <x v="10"/>
    <n v="0.108"/>
    <s v="Lil Baby"/>
    <n v="77"/>
    <s v="Gangster Rap"/>
    <s v="Pure Cocaine"/>
    <d v="2018-11-30T00:00:00"/>
    <n v="0"/>
    <n v="10"/>
    <n v="2.5666666666666669"/>
    <n v="1.2700000000000001E-3"/>
    <x v="20"/>
  </r>
  <r>
    <n v="0.58599999999999997"/>
    <n v="125"/>
    <n v="0.73099999999999998"/>
    <x v="10"/>
    <n v="0.14699999999999999"/>
    <s v="NLE Choppa, 41, Kyle Richh"/>
    <n v="77"/>
    <s v="RapCaviar"/>
    <s v="Or What"/>
    <d v="2024-09-06T00:00:00"/>
    <n v="0"/>
    <n v="1"/>
    <n v="3.3166666666666669"/>
    <n v="0.11600000000000001"/>
    <x v="5"/>
  </r>
  <r>
    <n v="0.53800000000000003"/>
    <n v="999"/>
    <n v="0.82899999999999996"/>
    <x v="10"/>
    <n v="0.38900000000000001"/>
    <s v="Post Malone"/>
    <n v="77"/>
    <s v="Melodic Rap"/>
    <s v="Wow."/>
    <d v="2019-09-06T00:00:00"/>
    <n v="0"/>
    <n v="11"/>
    <n v="2.4833333333333334"/>
    <n v="0.13700000000000001"/>
    <x v="23"/>
  </r>
  <r>
    <n v="0.82099999999999995"/>
    <n v="948"/>
    <n v="0.66900000000000004"/>
    <x v="10"/>
    <n v="0.68400000000000005"/>
    <s v="Dr. Dre, Snoop Dogg"/>
    <n v="76"/>
    <s v="Hip-Hop Drive"/>
    <s v="Nuthin' But A &quot;G&quot; Thang"/>
    <d v="1992-12-15T00:00:00"/>
    <n v="0"/>
    <n v="11"/>
    <n v="3.95"/>
    <n v="1.82E-3"/>
    <x v="5"/>
  </r>
  <r>
    <n v="0.82099999999999995"/>
    <n v="948"/>
    <n v="0.66900000000000004"/>
    <x v="10"/>
    <n v="0.68400000000000005"/>
    <s v="Dr. Dre, Snoop Dogg"/>
    <n v="76"/>
    <s v="90s Hip-Hop"/>
    <s v="Nuthin' But A &quot;G&quot; Thang"/>
    <d v="1992-12-15T00:00:00"/>
    <n v="0"/>
    <n v="11"/>
    <n v="3.95"/>
    <n v="1.82E-3"/>
    <x v="24"/>
  </r>
  <r>
    <n v="0.72299999999999998"/>
    <n v="139"/>
    <n v="0.78300000000000003"/>
    <x v="10"/>
    <n v="0.29399999999999998"/>
    <s v="Drake, Young Thug, 21 Savage"/>
    <n v="76"/>
    <s v="RapCaviar"/>
    <s v="It's Up (feat. Young Thug &amp; 21 Savage)"/>
    <d v="2024-08-30T00:00:00"/>
    <n v="1"/>
    <n v="1"/>
    <n v="4.6333333333333337"/>
    <n v="2.64E-2"/>
    <x v="5"/>
  </r>
  <r>
    <n v="0.50700000000000001"/>
    <n v="130"/>
    <n v="0.872"/>
    <x v="10"/>
    <n v="0.50600000000000001"/>
    <s v="Gunna"/>
    <n v="76"/>
    <s v="RapCaviar"/>
    <s v="HIM ALL ALONG"/>
    <d v="2024-10-18T00:00:00"/>
    <n v="0"/>
    <n v="4"/>
    <n v="2.6333333333333333"/>
    <n v="0.19500000000000001"/>
    <x v="5"/>
  </r>
  <r>
    <n v="0.50700000000000001"/>
    <n v="130"/>
    <n v="0.872"/>
    <x v="10"/>
    <n v="0.50600000000000001"/>
    <s v="Gunna"/>
    <n v="76"/>
    <s v="Melodic Rap"/>
    <s v="HIM ALL ALONG"/>
    <d v="2024-10-18T00:00:00"/>
    <n v="0"/>
    <n v="4"/>
    <n v="2.6333333333333333"/>
    <n v="0.19500000000000001"/>
    <x v="23"/>
  </r>
  <r>
    <n v="0.52"/>
    <n v="928"/>
    <n v="0.747"/>
    <x v="10"/>
    <n v="0.60099999999999998"/>
    <s v="Ice Cube"/>
    <n v="76"/>
    <s v="Chill Hop"/>
    <s v="You Know How We Do It"/>
    <d v="1993-12-07T00:00:00"/>
    <n v="0"/>
    <n v="10"/>
    <n v="3.8666666666666667"/>
    <n v="9.7699999999999995E-2"/>
    <x v="4"/>
  </r>
  <r>
    <n v="0.76"/>
    <n v="800"/>
    <n v="0.435"/>
    <x v="10"/>
    <n v="0.20599999999999999"/>
    <s v="Kanye West, Rick Ross"/>
    <n v="76"/>
    <s v="Chill Hop"/>
    <s v="Devil In A New Dress"/>
    <d v="2010-11-22T00:00:00"/>
    <n v="0"/>
    <n v="8"/>
    <n v="5.85"/>
    <n v="1.7500000000000002E-2"/>
    <x v="4"/>
  </r>
  <r>
    <n v="0.66300000000000003"/>
    <n v="184"/>
    <n v="0.67200000000000004"/>
    <x v="10"/>
    <n v="0.38100000000000001"/>
    <s v="Lil Uzi Vert"/>
    <n v="76"/>
    <s v="RapCaviar"/>
    <s v="Chill Bae"/>
    <d v="2024-11-01T00:00:00"/>
    <n v="1"/>
    <n v="3"/>
    <n v="2.2999999999999998"/>
    <n v="0.112"/>
    <x v="5"/>
  </r>
  <r>
    <n v="0.66300000000000003"/>
    <n v="184"/>
    <n v="0.67200000000000004"/>
    <x v="10"/>
    <n v="0.38100000000000001"/>
    <s v="Lil Uzi Vert"/>
    <n v="76"/>
    <s v="Melodic Rap"/>
    <s v="Chill Bae"/>
    <d v="2024-11-01T00:00:00"/>
    <n v="1"/>
    <n v="3"/>
    <n v="2.2999999999999998"/>
    <n v="0.112"/>
    <x v="23"/>
  </r>
  <r>
    <n v="0.80500000000000005"/>
    <n v="142"/>
    <n v="0.54800000000000004"/>
    <x v="10"/>
    <n v="0.64900000000000002"/>
    <s v="Pop Smoke"/>
    <n v="76"/>
    <s v="Gangster Rap"/>
    <s v="Dior"/>
    <d v="2019-07-26T00:00:00"/>
    <n v="1"/>
    <n v="7"/>
    <n v="3.6"/>
    <n v="0.21199999999999999"/>
    <x v="20"/>
  </r>
  <r>
    <n v="0.5"/>
    <n v="639"/>
    <n v="0.42699999999999999"/>
    <x v="10"/>
    <n v="0.26900000000000002"/>
    <s v="Rod Wave"/>
    <n v="76"/>
    <s v="RapCaviar"/>
    <n v="25"/>
    <d v="2024-10-11T00:00:00"/>
    <n v="1"/>
    <n v="0"/>
    <n v="3"/>
    <n v="0.28599999999999998"/>
    <x v="5"/>
  </r>
  <r>
    <n v="0.73299999999999998"/>
    <n v="979"/>
    <n v="0.82499999999999996"/>
    <x v="10"/>
    <n v="0.62"/>
    <s v="21 Savage, Metro Boomin, Young Thug"/>
    <n v="75"/>
    <s v="Gangster Rap"/>
    <s v="Rich Nigga Shit (feat. Young Thug)"/>
    <d v="2020-10-02T00:00:00"/>
    <n v="0"/>
    <n v="1"/>
    <n v="3.1666666666666665"/>
    <n v="0.34899999999999998"/>
    <x v="20"/>
  </r>
  <r>
    <n v="0.58599999999999997"/>
    <n v="130"/>
    <n v="0.89100000000000001"/>
    <x v="10"/>
    <n v="0.95399999999999996"/>
    <s v="Aaron May"/>
    <n v="75"/>
    <s v="Chill Hop"/>
    <s v="I'm Good Luv, Enjoy."/>
    <d v="2019-02-28T00:00:00"/>
    <n v="1"/>
    <n v="11"/>
    <n v="2.2333333333333334"/>
    <n v="8.3299999999999999E-2"/>
    <x v="4"/>
  </r>
  <r>
    <n v="0.35599999999999998"/>
    <n v="836"/>
    <n v="0.70799999999999996"/>
    <x v="10"/>
    <n v="0.56899999999999995"/>
    <s v="AUR"/>
    <n v="75"/>
    <s v="Desi Hip-Hop"/>
    <s v="Tu hai kahan"/>
    <d v="2023-10-16T00:00:00"/>
    <n v="1"/>
    <n v="1"/>
    <n v="4.3833333333333337"/>
    <n v="0.437"/>
    <x v="21"/>
  </r>
  <r>
    <n v="0.81399999999999995"/>
    <n v="144"/>
    <n v="0.625"/>
    <x v="10"/>
    <n v="0.53500000000000003"/>
    <s v="Juice WRLD, Marshmello"/>
    <n v="75"/>
    <s v="Melodic Rap"/>
    <s v="Come &amp; Go (with Marshmello)"/>
    <d v="2020-07-10T00:00:00"/>
    <n v="1"/>
    <n v="0"/>
    <n v="3.4166666666666665"/>
    <n v="1.72E-2"/>
    <x v="23"/>
  </r>
  <r>
    <n v="0.78"/>
    <n v="171"/>
    <n v="0.46100000000000002"/>
    <x v="10"/>
    <n v="0.44800000000000001"/>
    <s v="Karan Aujla, Mxrci"/>
    <n v="75"/>
    <s v="Desi Hip-Hop"/>
    <s v="Winning Speech"/>
    <d v="2024-05-16T00:00:00"/>
    <n v="0"/>
    <n v="11"/>
    <n v="3.7833333333333332"/>
    <n v="0.128"/>
    <x v="21"/>
  </r>
  <r>
    <n v="0.67"/>
    <n v="139"/>
    <n v="0.79"/>
    <x v="10"/>
    <n v="0.40799999999999997"/>
    <s v="Kendrick Lamar"/>
    <n v="75"/>
    <s v="Gangster Rap"/>
    <s v="N95"/>
    <d v="2022-05-13T00:00:00"/>
    <n v="1"/>
    <n v="1"/>
    <n v="3.25"/>
    <n v="0.377"/>
    <x v="20"/>
  </r>
  <r>
    <n v="0.73"/>
    <n v="156"/>
    <n v="0.72899999999999998"/>
    <x v="10"/>
    <n v="0.41"/>
    <s v="King Von"/>
    <n v="75"/>
    <s v="Gangster Rap"/>
    <s v="Crazy Story, Pt. 3"/>
    <d v="2019-09-20T00:00:00"/>
    <n v="0"/>
    <n v="11"/>
    <n v="3.1833333333333331"/>
    <n v="1.65E-3"/>
    <x v="20"/>
  </r>
  <r>
    <n v="0.34599999999999997"/>
    <n v="119"/>
    <n v="0.96299999999999997"/>
    <x v="10"/>
    <n v="0.56200000000000006"/>
    <s v="Lil Baby, Drake"/>
    <n v="75"/>
    <s v="Trap"/>
    <s v="Yes Indeed"/>
    <d v="2018-05-18T00:00:00"/>
    <n v="0"/>
    <n v="5"/>
    <n v="2.3666666666666667"/>
    <n v="3.5499999999999997E-2"/>
    <x v="22"/>
  </r>
  <r>
    <n v="0.66500000000000004"/>
    <n v="943"/>
    <n v="0.58299999999999996"/>
    <x v="10"/>
    <n v="0.46300000000000002"/>
    <s v="Matu, Veigh"/>
    <n v="75"/>
    <s v="Trap"/>
    <s v="Imagina esse Cen√°rio"/>
    <d v="2024-09-09T00:00:00"/>
    <n v="1"/>
    <n v="1"/>
    <n v="2.5833333333333335"/>
    <n v="0.314"/>
    <x v="22"/>
  </r>
  <r>
    <n v="0.88"/>
    <n v="169"/>
    <n v="0.49"/>
    <x v="10"/>
    <n v="0.39200000000000002"/>
    <s v="Post Malone"/>
    <n v="75"/>
    <s v="Melodic Rap"/>
    <s v="Chemical"/>
    <d v="2023-04-14T00:00:00"/>
    <n v="1"/>
    <n v="2"/>
    <n v="3.0666666666666669"/>
    <n v="1.5399999999999999E-3"/>
    <x v="23"/>
  </r>
  <r>
    <n v="0.627"/>
    <n v="899"/>
    <n v="0.74199999999999999"/>
    <x v="10"/>
    <n v="0.35599999999999998"/>
    <s v="Shubh"/>
    <n v="75"/>
    <s v="Desi Hip-Hop"/>
    <s v="Cheques"/>
    <d v="2023-05-19T00:00:00"/>
    <n v="0"/>
    <n v="4"/>
    <n v="3.05"/>
    <n v="0.26200000000000001"/>
    <x v="21"/>
  </r>
  <r>
    <n v="0.51200000000000001"/>
    <n v="144"/>
    <n v="0.84799999999999998"/>
    <x v="10"/>
    <n v="0.88100000000000001"/>
    <s v="Shubh"/>
    <n v="75"/>
    <s v="Desi Hip-Hop"/>
    <s v="One Love"/>
    <d v="2023-08-18T00:00:00"/>
    <n v="1"/>
    <n v="7"/>
    <n v="2.65"/>
    <n v="0.28399999999999997"/>
    <x v="21"/>
  </r>
  <r>
    <n v="0.63"/>
    <n v="950"/>
    <n v="0.874"/>
    <x v="10"/>
    <n v="0.71699999999999997"/>
    <s v="2Pac"/>
    <n v="74"/>
    <s v="90s Hip-Hop"/>
    <s v="Do For Love"/>
    <d v="1997-01-01T00:00:00"/>
    <n v="1"/>
    <n v="1"/>
    <n v="4.6833333333333336"/>
    <n v="5.7799999999999997E-2"/>
    <x v="24"/>
  </r>
  <r>
    <n v="0.63"/>
    <n v="950"/>
    <n v="0.874"/>
    <x v="10"/>
    <n v="0.71699999999999997"/>
    <s v="2Pac"/>
    <n v="74"/>
    <s v="Chill Hop"/>
    <s v="Do For Love"/>
    <d v="1997-01-01T00:00:00"/>
    <n v="1"/>
    <n v="1"/>
    <n v="4.6833333333333336"/>
    <n v="5.7799999999999997E-2"/>
    <x v="4"/>
  </r>
  <r>
    <n v="0.52700000000000002"/>
    <n v="774"/>
    <n v="0.82399999999999995"/>
    <x v="10"/>
    <n v="0.21199999999999999"/>
    <s v="A$AP Rocky"/>
    <n v="74"/>
    <s v="RapCaviar"/>
    <s v="Tailor Swif"/>
    <d v="2024-08-30T00:00:00"/>
    <n v="1"/>
    <n v="8"/>
    <n v="2.5833333333333335"/>
    <n v="0.14899999999999999"/>
    <x v="5"/>
  </r>
  <r>
    <n v="0.61499999999999999"/>
    <n v="840"/>
    <n v="0.77500000000000002"/>
    <x v="10"/>
    <n v="0.91800000000000004"/>
    <s v="Dhanda Nyoliwala"/>
    <n v="74"/>
    <s v="Desi Hip-Hop"/>
    <s v="Russian Bandana"/>
    <d v="2024-09-12T00:00:00"/>
    <n v="0"/>
    <n v="1"/>
    <n v="3.2833333333333332"/>
    <n v="0.30399999999999999"/>
    <x v="21"/>
  </r>
  <r>
    <n v="0.57799999999999996"/>
    <n v="124"/>
    <n v="0.91600000000000004"/>
    <x v="10"/>
    <n v="0.192"/>
    <s v="Future"/>
    <n v="74"/>
    <s v="RapCaviar"/>
    <s v="TEFLON DON"/>
    <d v="2024-09-20T00:00:00"/>
    <n v="1"/>
    <n v="11"/>
    <n v="2.65"/>
    <n v="3.49E-3"/>
    <x v="5"/>
  </r>
  <r>
    <n v="0.69099999999999995"/>
    <n v="119"/>
    <n v="0.82299999999999995"/>
    <x v="10"/>
    <n v="0.70699999999999996"/>
    <s v="GIMS, DYSTINCT"/>
    <n v="74"/>
    <s v="French Rap Classics"/>
    <s v="SPIDER"/>
    <d v="2024-05-10T00:00:00"/>
    <n v="0"/>
    <n v="9"/>
    <n v="3.1333333333333333"/>
    <n v="7.7399999999999997E-2"/>
    <x v="13"/>
  </r>
  <r>
    <n v="0.496"/>
    <n v="860"/>
    <n v="0.88900000000000001"/>
    <x v="10"/>
    <n v="0.54400000000000004"/>
    <s v="Meek Mill, Drake"/>
    <n v="74"/>
    <s v="Trap"/>
    <s v="Going Bad (feat. Drake)"/>
    <d v="2018-11-30T00:00:00"/>
    <n v="0"/>
    <n v="4"/>
    <n v="3"/>
    <n v="0.25900000000000001"/>
    <x v="22"/>
  </r>
  <r>
    <n v="0.78600000000000003"/>
    <n v="938"/>
    <n v="0.76300000000000001"/>
    <x v="10"/>
    <n v="0.504"/>
    <s v="Mobb Deep"/>
    <n v="74"/>
    <s v="90s Hip-Hop"/>
    <s v="Shook Ones, Pt. II"/>
    <d v="1995-04-25T00:00:00"/>
    <n v="0"/>
    <n v="10"/>
    <n v="5.416666666666667"/>
    <n v="1.46E-2"/>
    <x v="24"/>
  </r>
  <r>
    <n v="0.505"/>
    <n v="999"/>
    <n v="0.53500000000000003"/>
    <x v="10"/>
    <n v="0.495"/>
    <s v="Ms. Lauryn Hill"/>
    <n v="74"/>
    <s v="90s Hip-Hop"/>
    <s v="Doo Wop (That Thing)"/>
    <d v="1998-08-25T00:00:00"/>
    <n v="0"/>
    <n v="2"/>
    <n v="5.333333333333333"/>
    <n v="3.9300000000000002E-2"/>
    <x v="24"/>
  </r>
  <r>
    <n v="0.65300000000000002"/>
    <n v="150"/>
    <n v="0.54700000000000004"/>
    <x v="10"/>
    <n v="0.16300000000000001"/>
    <s v="Post Malone, Young Thug"/>
    <n v="74"/>
    <s v="Melodic Rap"/>
    <s v="Goodbyes (feat. Young Thug)"/>
    <d v="2019-09-06T00:00:00"/>
    <n v="1"/>
    <n v="5"/>
    <n v="2.9"/>
    <n v="0.45600000000000002"/>
    <x v="23"/>
  </r>
  <r>
    <n v="0.75800000000000001"/>
    <n v="165"/>
    <n v="0.68100000000000005"/>
    <x v="10"/>
    <n v="0.33100000000000002"/>
    <s v="21 Savage, Travis Scott, Metro Boomin"/>
    <n v="73"/>
    <s v="Gangster Rap"/>
    <s v="n√©e-nah"/>
    <d v="2024-01-12T00:00:00"/>
    <n v="1"/>
    <n v="1"/>
    <n v="3.6666666666666665"/>
    <n v="4.6499999999999996E-3"/>
    <x v="20"/>
  </r>
  <r>
    <n v="0.64600000000000002"/>
    <n v="127"/>
    <n v="0.94599999999999995"/>
    <x v="10"/>
    <n v="0.96099999999999997"/>
    <s v="A Boogie Wit da Hoodie"/>
    <n v="73"/>
    <s v="Melodic Rap"/>
    <s v="Still Think About You"/>
    <d v="2016-09-16T00:00:00"/>
    <n v="1"/>
    <n v="5"/>
    <n v="4.0999999999999996"/>
    <n v="0.219"/>
    <x v="23"/>
  </r>
  <r>
    <n v="0.44900000000000001"/>
    <n v="136"/>
    <n v="0.57799999999999996"/>
    <x v="10"/>
    <n v="0.1"/>
    <s v="Drake, Lil Baby"/>
    <n v="73"/>
    <s v="Gangster Rap"/>
    <s v="Wants and Needs (feat. Lil Baby)"/>
    <d v="2021-03-05T00:00:00"/>
    <n v="1"/>
    <n v="1"/>
    <n v="3.2"/>
    <n v="6.1800000000000001E-2"/>
    <x v="20"/>
  </r>
  <r>
    <n v="0.63700000000000001"/>
    <n v="135"/>
    <n v="0.85099999999999998"/>
    <x v="10"/>
    <n v="0.61599999999999999"/>
    <s v="Duki, Headie One"/>
    <n v="73"/>
    <s v="Trap"/>
    <s v="Brindis"/>
    <d v="2024-10-31T00:00:00"/>
    <n v="1"/>
    <n v="0"/>
    <n v="2.9833333333333334"/>
    <n v="0.22500000000000001"/>
    <x v="22"/>
  </r>
  <r>
    <n v="0.53300000000000003"/>
    <n v="120"/>
    <n v="0.79400000000000004"/>
    <x v="10"/>
    <n v="0.15"/>
    <s v="Future"/>
    <n v="73"/>
    <s v="RapCaviar"/>
    <s v="PLUTOSKI"/>
    <d v="2024-09-20T00:00:00"/>
    <n v="1"/>
    <n v="9"/>
    <n v="2.9833333333333334"/>
    <n v="0.14000000000000001"/>
    <x v="5"/>
  </r>
  <r>
    <n v="0.63800000000000001"/>
    <n v="828"/>
    <n v="0.67700000000000005"/>
    <x v="10"/>
    <n v="0.435"/>
    <s v="J. Cole"/>
    <n v="73"/>
    <s v="Chill Hop"/>
    <s v="Love Yourz"/>
    <d v="2014-12-09T00:00:00"/>
    <n v="1"/>
    <n v="8"/>
    <n v="3.5166666666666666"/>
    <n v="0.58899999999999997"/>
    <x v="4"/>
  </r>
  <r>
    <n v="0.39600000000000002"/>
    <n v="780"/>
    <n v="0.72599999999999998"/>
    <x v="10"/>
    <n v="0.41299999999999998"/>
    <s v="Juice WRLD"/>
    <n v="73"/>
    <s v="RapCaviar"/>
    <s v="Both Ways"/>
    <d v="2024-10-14T00:00:00"/>
    <n v="0"/>
    <n v="5"/>
    <n v="3.2833333333333332"/>
    <n v="0.26900000000000002"/>
    <x v="5"/>
  </r>
  <r>
    <n v="0.42099999999999999"/>
    <n v="959"/>
    <n v="0.85199999999999998"/>
    <x v="10"/>
    <n v="0.45700000000000002"/>
    <s v="Kendrick Lamar"/>
    <n v="73"/>
    <s v="Chill Hop"/>
    <s v="Rich Spirit"/>
    <d v="2022-05-13T00:00:00"/>
    <n v="0"/>
    <n v="10"/>
    <n v="3.3666666666666667"/>
    <n v="0.42799999999999999"/>
    <x v="4"/>
  </r>
  <r>
    <n v="0.73199999999999998"/>
    <n v="149"/>
    <n v="0.84099999999999997"/>
    <x v="10"/>
    <n v="0.57599999999999996"/>
    <s v="Key Glock"/>
    <n v="73"/>
    <s v="Gangster Rap"/>
    <s v="Ambition For Cash"/>
    <d v="2021-11-05T00:00:00"/>
    <n v="0"/>
    <n v="7"/>
    <n v="2.3833333333333333"/>
    <n v="1.15E-2"/>
    <x v="20"/>
  </r>
  <r>
    <n v="0.73499999999999999"/>
    <n v="998"/>
    <n v="0.69699999999999995"/>
    <x v="10"/>
    <n v="0.40300000000000002"/>
    <s v="Lazza, Lil Baby"/>
    <n v="73"/>
    <s v="Trap"/>
    <s v="CANZONE D'ODIO (feat. Lil Baby)"/>
    <d v="2024-09-19T00:00:00"/>
    <n v="0"/>
    <n v="10"/>
    <n v="2.7"/>
    <n v="0.17199999999999999"/>
    <x v="22"/>
  </r>
  <r>
    <n v="0.76100000000000001"/>
    <n v="147"/>
    <n v="0.64900000000000002"/>
    <x v="10"/>
    <n v="0.313"/>
    <s v="Lil Tecca, Don Toliver"/>
    <n v="73"/>
    <s v="RapCaviar"/>
    <s v="I CAN‚ÄôT LET GO"/>
    <d v="2024-09-20T00:00:00"/>
    <n v="1"/>
    <n v="8"/>
    <n v="2.5"/>
    <n v="6.94E-3"/>
    <x v="5"/>
  </r>
  <r>
    <n v="0.67100000000000004"/>
    <n v="179"/>
    <n v="0.68400000000000005"/>
    <x v="10"/>
    <n v="0.45"/>
    <s v="Lil Tecca, Juice WRLD"/>
    <n v="73"/>
    <s v="Melodic Rap"/>
    <s v="Ransom (with Juice WRLD) - Remix"/>
    <d v="2019-08-30T00:00:00"/>
    <n v="0"/>
    <n v="2"/>
    <n v="2.85"/>
    <n v="1.1900000000000001E-2"/>
    <x v="23"/>
  </r>
  <r>
    <n v="0.51500000000000001"/>
    <n v="120"/>
    <n v="0.56699999999999995"/>
    <x v="10"/>
    <n v="0.32100000000000001"/>
    <s v="Lil Tjay"/>
    <n v="73"/>
    <s v="Melodic Rap"/>
    <s v="F.N"/>
    <d v="2019-10-11T00:00:00"/>
    <n v="0"/>
    <n v="6"/>
    <n v="3.7333333333333334"/>
    <n v="0.35399999999999998"/>
    <x v="23"/>
  </r>
  <r>
    <n v="0.69199999999999995"/>
    <n v="140"/>
    <n v="0.63700000000000001"/>
    <x v="10"/>
    <n v="0.42699999999999999"/>
    <s v="Lil Uzi Vert"/>
    <n v="73"/>
    <s v="RapCaviar"/>
    <s v="Light Year (Practice)"/>
    <d v="2024-11-01T00:00:00"/>
    <n v="0"/>
    <n v="1"/>
    <n v="2.7333333333333334"/>
    <n v="1.5299999999999999E-2"/>
    <x v="5"/>
  </r>
  <r>
    <n v="0.70599999999999996"/>
    <n v="174"/>
    <n v="0.58399999999999996"/>
    <x v="10"/>
    <n v="0.57899999999999996"/>
    <s v="Luniz, Michael Marshall"/>
    <n v="73"/>
    <s v="90s Hip-Hop"/>
    <s v="I Got 5 On It"/>
    <d v="1995-07-04T00:00:00"/>
    <n v="0"/>
    <n v="10"/>
    <n v="4.2166666666666668"/>
    <n v="0.20899999999999999"/>
    <x v="24"/>
  </r>
  <r>
    <n v="0.53800000000000003"/>
    <n v="141"/>
    <n v="0.52"/>
    <x v="10"/>
    <n v="0.17699999999999999"/>
    <s v="Mac Miller"/>
    <n v="73"/>
    <s v="Chill Hop"/>
    <s v="Self Care"/>
    <d v="2018-08-03T00:00:00"/>
    <n v="1"/>
    <n v="1"/>
    <n v="5.75"/>
    <n v="0.36699999999999999"/>
    <x v="4"/>
  </r>
  <r>
    <n v="0.88"/>
    <n v="920"/>
    <n v="0.753"/>
    <x v="10"/>
    <n v="0.58199999999999996"/>
    <s v="Matu"/>
    <n v="73"/>
    <s v="Trap"/>
    <n v="1993"/>
    <d v="2024-09-09T00:00:00"/>
    <n v="1"/>
    <n v="11"/>
    <n v="2.1166666666666667"/>
    <n v="0.45500000000000002"/>
    <x v="22"/>
  </r>
  <r>
    <n v="0.54500000000000004"/>
    <n v="970"/>
    <n v="0.80900000000000005"/>
    <x v="10"/>
    <n v="0.24399999999999999"/>
    <s v="Mustard, Roddy Ricch"/>
    <n v="73"/>
    <s v="Melodic Rap"/>
    <s v="Ballin' (with Roddy Ricch)"/>
    <d v="2019-06-28T00:00:00"/>
    <n v="1"/>
    <n v="7"/>
    <n v="3"/>
    <n v="0.39200000000000002"/>
    <x v="23"/>
  </r>
  <r>
    <n v="0.53100000000000003"/>
    <n v="118"/>
    <n v="0.56599999999999995"/>
    <x v="10"/>
    <n v="0.36699999999999999"/>
    <s v="Paulo Londra, Lenny Tavi°rez"/>
    <n v="73"/>
    <s v="Trap"/>
    <s v="Nena Maldici√≥n (feat. Lenny Tav√°rez)"/>
    <d v="2019-05-23T00:00:00"/>
    <n v="1"/>
    <n v="6"/>
    <n v="3.7833333333333332"/>
    <n v="0.192"/>
    <x v="22"/>
  </r>
  <r>
    <n v="0.8"/>
    <n v="139"/>
    <n v="0.498"/>
    <x v="10"/>
    <n v="0.27200000000000002"/>
    <s v="Post Malone, Ozzy Osbourne, Travis Scott"/>
    <n v="73"/>
    <s v="Melodic Rap"/>
    <s v="Take What You Want (feat. Ozzy Osbourne &amp; Travis Scott)"/>
    <d v="2019-09-06T00:00:00"/>
    <n v="0"/>
    <n v="1"/>
    <n v="3.8166666666666669"/>
    <n v="9.0300000000000005E-2"/>
    <x v="23"/>
  </r>
  <r>
    <n v="0.45500000000000002"/>
    <n v="999"/>
    <n v="0.79600000000000004"/>
    <x v="10"/>
    <n v="0.35199999999999998"/>
    <s v="Prabh Singh, Jay Trak, Rooh Sandhu"/>
    <n v="73"/>
    <s v="Desi Hip-Hop"/>
    <d v="1899-12-30T09:45:00"/>
    <d v="2023-03-10T00:00:00"/>
    <n v="0"/>
    <n v="1"/>
    <n v="1.95"/>
    <n v="0.63700000000000001"/>
    <x v="21"/>
  </r>
  <r>
    <n v="0.70899999999999996"/>
    <n v="785"/>
    <n v="0.749"/>
    <x v="10"/>
    <n v="0.56399999999999995"/>
    <s v="Real Boston Richey"/>
    <n v="73"/>
    <s v="RapCaviar"/>
    <s v="Help Me"/>
    <d v="2024-05-31T00:00:00"/>
    <n v="1"/>
    <n v="6"/>
    <n v="3.0166666666666666"/>
    <n v="0.155"/>
    <x v="5"/>
  </r>
  <r>
    <n v="0.71799999999999997"/>
    <n v="899"/>
    <n v="0.71599999999999997"/>
    <x v="10"/>
    <n v="0.91"/>
    <s v="Shubh"/>
    <n v="73"/>
    <s v="Desi Hip-Hop"/>
    <s v="Bandana"/>
    <d v="2024-03-29T00:00:00"/>
    <n v="0"/>
    <n v="6"/>
    <n v="2.5666666666666669"/>
    <n v="4.5199999999999997E-2"/>
    <x v="21"/>
  </r>
  <r>
    <n v="0.81799999999999995"/>
    <n v="960"/>
    <n v="0.88900000000000001"/>
    <x v="10"/>
    <n v="0.78200000000000003"/>
    <s v="The Notorious B.I.G."/>
    <n v="73"/>
    <s v="90s Hip-Hop"/>
    <s v="Juicy - 2005 Remaster"/>
    <d v="1994-09-13T00:00:00"/>
    <n v="1"/>
    <n v="9"/>
    <n v="5.0333333333333332"/>
    <n v="0.47"/>
    <x v="24"/>
  </r>
  <r>
    <n v="0.65300000000000002"/>
    <n v="142"/>
    <n v="0.49299999999999999"/>
    <x v="10"/>
    <n v="0.85199999999999998"/>
    <s v="Tyler, The Creator, YoungBoy Never Broke Again, Ty Dolla $ign"/>
    <n v="73"/>
    <s v="Chill Hop"/>
    <s v="WUSYANAME (feat. Youngboy Never Broke Again &amp; Ty Dolla $ign)"/>
    <d v="2021-06-25T00:00:00"/>
    <n v="0"/>
    <n v="0"/>
    <n v="2.0166666666666666"/>
    <n v="0.26900000000000002"/>
    <x v="4"/>
  </r>
  <r>
    <n v="0.36899999999999999"/>
    <n v="140"/>
    <n v="0.73499999999999999"/>
    <x v="10"/>
    <n v="0.23499999999999999"/>
    <s v="YNW Melly"/>
    <n v="73"/>
    <s v="Melodic Rap"/>
    <s v="Suicidal"/>
    <d v="2019-11-22T00:00:00"/>
    <n v="0"/>
    <n v="9"/>
    <n v="3.7"/>
    <n v="0.33400000000000002"/>
    <x v="23"/>
  </r>
  <r>
    <n v="0.80300000000000005"/>
    <n v="675"/>
    <n v="0.28399999999999997"/>
    <x v="10"/>
    <n v="0.55300000000000005"/>
    <s v="A$AP Rocky, Joe Fox, Kanye West"/>
    <n v="72"/>
    <s v="Chill Hop"/>
    <s v="Jukebox Joints (feat. Joe Fox &amp; Kanye West)"/>
    <d v="2015-05-26T00:00:00"/>
    <n v="0"/>
    <n v="2"/>
    <n v="5.3833333333333337"/>
    <n v="0.30199999999999999"/>
    <x v="4"/>
  </r>
  <r>
    <n v="0.6"/>
    <n v="113"/>
    <n v="0.88300000000000001"/>
    <x v="10"/>
    <n v="0.69099999999999995"/>
    <s v="Bad Bunny"/>
    <n v="72"/>
    <s v="Trap"/>
    <s v="BOOKER T"/>
    <d v="2020-11-27T00:00:00"/>
    <n v="1"/>
    <n v="7"/>
    <n v="2.6"/>
    <n v="0.114"/>
    <x v="22"/>
  </r>
  <r>
    <n v="0.71799999999999997"/>
    <n v="128"/>
    <n v="0.76"/>
    <x v="10"/>
    <n v="0.55700000000000005"/>
    <s v="Bad Bunny, Bryant Myers"/>
    <n v="72"/>
    <s v="Trap"/>
    <s v="Pa Ti"/>
    <d v="2017-01-02T00:00:00"/>
    <n v="1"/>
    <n v="1"/>
    <n v="3.1833333333333331"/>
    <n v="0.34799999999999998"/>
    <x v="22"/>
  </r>
  <r>
    <n v="0.62"/>
    <n v="941"/>
    <n v="0.9"/>
    <x v="10"/>
    <n v="0.86699999999999999"/>
    <s v="Big Pun, Joe"/>
    <n v="72"/>
    <s v="90s Hip-Hop"/>
    <s v="Still Not a Player (feat. Joe) - Radio Version"/>
    <d v="1998-04-28T00:00:00"/>
    <n v="0"/>
    <n v="4"/>
    <n v="3.9333333333333331"/>
    <n v="0.2"/>
    <x v="24"/>
  </r>
  <r>
    <n v="0.41299999999999998"/>
    <n v="146"/>
    <n v="0.747"/>
    <x v="10"/>
    <n v="0.48099999999999998"/>
    <s v="Central Cee"/>
    <n v="72"/>
    <s v="UK Drill"/>
    <s v="LET GO"/>
    <d v="2022-12-15T00:00:00"/>
    <n v="0"/>
    <n v="2"/>
    <n v="2.9"/>
    <n v="0.84799999999999998"/>
    <x v="25"/>
  </r>
  <r>
    <n v="0.71099999999999997"/>
    <n v="117"/>
    <n v="0.97399999999999998"/>
    <x v="10"/>
    <n v="0.32800000000000001"/>
    <s v="Doechii"/>
    <n v="72"/>
    <s v="RapCaviar"/>
    <s v="NISSAN ALTIMA"/>
    <d v="2024-08-30T00:00:00"/>
    <n v="0"/>
    <n v="11"/>
    <n v="2.1"/>
    <n v="9.8799999999999999E-2"/>
    <x v="5"/>
  </r>
  <r>
    <n v="0.57699999999999996"/>
    <n v="148"/>
    <n v="0.79700000000000004"/>
    <x v="10"/>
    <n v="0.17"/>
    <s v="Duki, Wiz Khalifa, Arci°ngel"/>
    <n v="72"/>
    <s v="Trap"/>
    <s v="Wake Up &amp; Bake Up"/>
    <d v="2024-10-31T00:00:00"/>
    <n v="1"/>
    <n v="1"/>
    <n v="3.4333333333333331"/>
    <n v="1.7399999999999999E-2"/>
    <x v="22"/>
  </r>
  <r>
    <n v="0.73099999999999998"/>
    <n v="174"/>
    <n v="0.55200000000000005"/>
    <x v="10"/>
    <n v="0.63200000000000001"/>
    <s v="Kendrick Lamar"/>
    <n v="72"/>
    <s v="Chill Hop"/>
    <s v="DUCKWORTH."/>
    <d v="2017-04-14T00:00:00"/>
    <n v="1"/>
    <n v="7"/>
    <n v="4.1333333333333337"/>
    <n v="5.3600000000000002E-2"/>
    <x v="4"/>
  </r>
  <r>
    <n v="0.59199999999999997"/>
    <n v="188"/>
    <n v="0.69599999999999995"/>
    <x v="10"/>
    <n v="0.23200000000000001"/>
    <s v="King Von"/>
    <n v="72"/>
    <s v="Gangster Rap"/>
    <s v="Armed &amp; Dangerous"/>
    <d v="2020-10-30T00:00:00"/>
    <n v="1"/>
    <n v="1"/>
    <n v="2.0333333333333332"/>
    <n v="0.152"/>
    <x v="20"/>
  </r>
  <r>
    <n v="0.56100000000000005"/>
    <n v="148"/>
    <n v="0.68600000000000005"/>
    <x v="10"/>
    <n v="0.186"/>
    <s v="Lil Tecca"/>
    <n v="72"/>
    <s v="Melodic Rap"/>
    <s v="Did It Again"/>
    <d v="2019-08-30T00:00:00"/>
    <n v="0"/>
    <n v="10"/>
    <n v="1.9333333333333333"/>
    <n v="0.185"/>
    <x v="23"/>
  </r>
  <r>
    <n v="0.86"/>
    <n v="765"/>
    <n v="0.57499999999999996"/>
    <x v="10"/>
    <n v="0.83399999999999996"/>
    <s v="Lil Yachty"/>
    <n v="72"/>
    <s v="Chill Hop"/>
    <s v="A Cold Sunday"/>
    <d v="2024-02-02T00:00:00"/>
    <n v="0"/>
    <n v="9"/>
    <n v="1.7833333333333334"/>
    <n v="0.29799999999999999"/>
    <x v="4"/>
  </r>
  <r>
    <n v="0.435"/>
    <n v="120"/>
    <n v="0.84299999999999997"/>
    <x v="10"/>
    <n v="0.19"/>
    <s v="Mac Miller, Miguel"/>
    <n v="72"/>
    <s v="Chill Hop"/>
    <s v="Weekend (feat. Miguel)"/>
    <d v="2015-09-18T00:00:00"/>
    <n v="1"/>
    <n v="8"/>
    <n v="3.4666666666666668"/>
    <n v="0.47"/>
    <x v="4"/>
  </r>
  <r>
    <n v="0.84"/>
    <n v="954"/>
    <n v="0.85599999999999998"/>
    <x v="10"/>
    <n v="0.79200000000000004"/>
    <s v="MF DOOM, Pebbles The Invisible Girl"/>
    <n v="72"/>
    <s v="Chill Hop"/>
    <s v="Doomsday"/>
    <d v="1999-10-19T00:00:00"/>
    <n v="0"/>
    <n v="6"/>
    <n v="4.9666666666666668"/>
    <n v="9.7299999999999998E-2"/>
    <x v="4"/>
  </r>
  <r>
    <n v="0.69899999999999995"/>
    <n v="129"/>
    <n v="0.92"/>
    <x v="10"/>
    <n v="0.48399999999999999"/>
    <s v="NLE Choppa"/>
    <n v="72"/>
    <s v="RapCaviar"/>
    <s v="Gang Baby"/>
    <d v="2024-09-27T00:00:00"/>
    <n v="1"/>
    <n v="11"/>
    <n v="2.2999999999999998"/>
    <n v="7.6800000000000002E-3"/>
    <x v="5"/>
  </r>
  <r>
    <n v="0.68500000000000005"/>
    <n v="121"/>
    <n v="0.73099999999999998"/>
    <x v="10"/>
    <n v="0.45800000000000002"/>
    <s v="Playboi Carti, Don Toliver, Kodak Black"/>
    <n v="72"/>
    <s v="RapCaviar"/>
    <s v="FIELD TRIP"/>
    <d v="2024-08-03T00:00:00"/>
    <n v="0"/>
    <n v="11"/>
    <n v="2.7833333333333332"/>
    <n v="5.3999999999999999E-2"/>
    <x v="5"/>
  </r>
  <r>
    <n v="0.498"/>
    <n v="819"/>
    <n v="0.66500000000000004"/>
    <x v="10"/>
    <n v="0.127"/>
    <s v="Post Malone"/>
    <n v="72"/>
    <s v="Chill Hop"/>
    <s v="Go Flex"/>
    <d v="2016-12-09T00:00:00"/>
    <n v="1"/>
    <n v="5"/>
    <n v="2.9833333333333334"/>
    <n v="0.23"/>
    <x v="4"/>
  </r>
  <r>
    <n v="0.56599999999999995"/>
    <n v="859"/>
    <n v="0.79400000000000004"/>
    <x v="10"/>
    <n v="0.68"/>
    <s v="Shubh"/>
    <n v="72"/>
    <s v="Desi Hip-Hop"/>
    <s v="King Shit"/>
    <d v="2024-01-05T00:00:00"/>
    <n v="0"/>
    <n v="11"/>
    <n v="3.7666666666666666"/>
    <n v="0.30099999999999999"/>
    <x v="21"/>
  </r>
  <r>
    <n v="0.88400000000000001"/>
    <n v="104"/>
    <n v="0.84499999999999997"/>
    <x v="10"/>
    <n v="0.90400000000000003"/>
    <s v="The Notorious B.I.G., Mase, Diddy"/>
    <n v="72"/>
    <s v="90s Hip-Hop"/>
    <s v="Mo Money Mo Problems (feat. Puff Daddy &amp; Mase) - 2014 Remaster"/>
    <d v="1997-03-04T00:00:00"/>
    <n v="0"/>
    <n v="6"/>
    <n v="4.2833333333333332"/>
    <n v="1.2800000000000001E-2"/>
    <x v="24"/>
  </r>
  <r>
    <n v="0.51400000000000001"/>
    <n v="181"/>
    <n v="0.51200000000000001"/>
    <x v="10"/>
    <n v="0.56499999999999995"/>
    <s v="Wu-Tang Clan"/>
    <n v="72"/>
    <s v="90s Hip-Hop"/>
    <s v="C.R.E.A.M. (Cash Rules Everything Around Me)"/>
    <d v="1993-11-09T00:00:00"/>
    <n v="0"/>
    <n v="11"/>
    <n v="4.2"/>
    <n v="0.55500000000000005"/>
    <x v="24"/>
  </r>
  <r>
    <n v="0.752"/>
    <n v="158"/>
    <n v="0.63800000000000001"/>
    <x v="10"/>
    <n v="0.24199999999999999"/>
    <s v="Yeat"/>
    <n v="72"/>
    <s v="RapCaviar"/>
    <s v="GEEK TIM√ã"/>
    <d v="2024-10-18T00:00:00"/>
    <n v="0"/>
    <n v="1"/>
    <n v="2.8333333333333335"/>
    <n v="6.6E-3"/>
    <x v="5"/>
  </r>
  <r>
    <n v="0.57499999999999996"/>
    <n v="145"/>
    <n v="0.71299999999999997"/>
    <x v="10"/>
    <n v="0.189"/>
    <s v="Young Stoner Life, Young Thug, Meek Mill, T-Shyne"/>
    <n v="72"/>
    <s v="Trap"/>
    <s v="That Go! (feat. T-Shyne)"/>
    <d v="2021-04-16T00:00:00"/>
    <n v="1"/>
    <n v="1"/>
    <n v="3.7666666666666666"/>
    <n v="6.6899999999999998E-3"/>
    <x v="22"/>
  </r>
  <r>
    <n v="0.82599999999999996"/>
    <n v="108"/>
    <n v="0.65400000000000003"/>
    <x v="10"/>
    <n v="0.41699999999999998"/>
    <s v="50 Cent"/>
    <n v="71"/>
    <s v="Gangster Rap"/>
    <s v="Many Men (Wish Death)"/>
    <d v="2003-02-06T00:00:00"/>
    <n v="0"/>
    <n v="6"/>
    <n v="4.2666666666666666"/>
    <n v="1.5299999999999999E-2"/>
    <x v="20"/>
  </r>
  <r>
    <n v="0.73299999999999998"/>
    <n v="929"/>
    <n v="0.86399999999999999"/>
    <x v="10"/>
    <n v="0.183"/>
    <s v="AP Dhillon"/>
    <n v="71"/>
    <s v="Desi Hip-Hop"/>
    <s v="Old Money"/>
    <d v="2024-08-09T00:00:00"/>
    <n v="0"/>
    <n v="4"/>
    <n v="2.1333333333333333"/>
    <n v="0.14399999999999999"/>
    <x v="21"/>
  </r>
  <r>
    <n v="0.80200000000000005"/>
    <n v="128"/>
    <n v="0.83499999999999996"/>
    <x v="10"/>
    <n v="0.374"/>
    <s v="BigXthaPlug"/>
    <n v="71"/>
    <s v="RapCaviar"/>
    <s v="Leave Me Alone"/>
    <d v="2024-10-11T00:00:00"/>
    <n v="1"/>
    <n v="7"/>
    <n v="2.3833333333333333"/>
    <n v="3.1099999999999999E-2"/>
    <x v="5"/>
  </r>
  <r>
    <n v="0.81899999999999995"/>
    <n v="940"/>
    <n v="0.56499999999999995"/>
    <x v="10"/>
    <n v="0.68200000000000005"/>
    <s v="Diplo, Trippie Redd"/>
    <n v="71"/>
    <s v="Melodic Rap"/>
    <s v="Wish (feat. Trippie Redd) - Trippie Mix"/>
    <d v="2018-08-10T00:00:00"/>
    <n v="1"/>
    <n v="9"/>
    <n v="2.9333333333333331"/>
    <n v="0.23200000000000001"/>
    <x v="23"/>
  </r>
  <r>
    <n v="0.70799999999999996"/>
    <n v="969"/>
    <n v="0.71199999999999997"/>
    <x v="10"/>
    <n v="0.63400000000000001"/>
    <s v="Duki, YSY A"/>
    <n v="71"/>
    <s v="Trap"/>
    <s v="Un Dia Mas"/>
    <d v="2024-10-31T00:00:00"/>
    <n v="0"/>
    <n v="10"/>
    <n v="2.75"/>
    <n v="0.40400000000000003"/>
    <x v="22"/>
  </r>
  <r>
    <n v="0.54"/>
    <n v="143"/>
    <n v="0.63400000000000001"/>
    <x v="10"/>
    <n v="0.54300000000000004"/>
    <s v="Lil Peep, Lil Tracy"/>
    <n v="71"/>
    <s v="Melodic Rap"/>
    <s v="witchblades"/>
    <d v="2017-02-07T00:00:00"/>
    <n v="1"/>
    <n v="8"/>
    <n v="2.4833333333333334"/>
    <n v="2.23E-2"/>
    <x v="23"/>
  </r>
  <r>
    <n v="0.57499999999999996"/>
    <n v="120"/>
    <n v="0.88"/>
    <x v="10"/>
    <n v="0.67100000000000004"/>
    <s v="Lil Tjay, Offset, Moneybagg Yo"/>
    <n v="71"/>
    <s v="Gangster Rap"/>
    <s v="Run It Up (feat. Offset &amp; Moneybagg Yo)"/>
    <d v="2021-04-02T00:00:00"/>
    <n v="1"/>
    <n v="6"/>
    <n v="3.8666666666666667"/>
    <n v="0.41499999999999998"/>
    <x v="20"/>
  </r>
  <r>
    <n v="0.73199999999999998"/>
    <n v="142"/>
    <n v="0.54800000000000004"/>
    <x v="10"/>
    <n v="0.61199999999999999"/>
    <s v="Pop Smoke"/>
    <n v="71"/>
    <s v="Gangster Rap"/>
    <s v="Invincible"/>
    <d v="2020-02-07T00:00:00"/>
    <n v="0"/>
    <n v="11"/>
    <n v="2.1166666666666667"/>
    <n v="0.125"/>
    <x v="20"/>
  </r>
  <r>
    <n v="0.60299999999999998"/>
    <n v="135"/>
    <n v="0.73499999999999999"/>
    <x v="10"/>
    <n v="0.42899999999999999"/>
    <s v="Revol, Ozuna, Cosculluela, Arci°ngel, Brytiago"/>
    <n v="71"/>
    <s v="Trap"/>
    <s v="Me Ama Me Odia"/>
    <d v="2016-09-01T00:00:00"/>
    <n v="0"/>
    <n v="6"/>
    <n v="5.4333333333333336"/>
    <n v="0.22600000000000001"/>
    <x v="22"/>
  </r>
  <r>
    <n v="0.43099999999999999"/>
    <n v="940"/>
    <n v="0.88100000000000001"/>
    <x v="10"/>
    <n v="0.246"/>
    <s v="Shubh"/>
    <n v="71"/>
    <s v="Desi Hip-Hop"/>
    <s v="Still Rollin"/>
    <d v="2023-05-19T00:00:00"/>
    <n v="0"/>
    <n v="6"/>
    <n v="2.9"/>
    <n v="0.182"/>
    <x v="21"/>
  </r>
  <r>
    <n v="0.63100000000000001"/>
    <n v="105"/>
    <n v="0.64800000000000002"/>
    <x v="10"/>
    <n v="0.14199999999999999"/>
    <s v="Travis Scott, Justin Bieber, Young Thug"/>
    <n v="71"/>
    <s v="Melodic Rap"/>
    <s v="Maria I'm Drunk (feat. Justin Bieber &amp; Young Thug)"/>
    <d v="2015-09-04T00:00:00"/>
    <n v="0"/>
    <n v="4"/>
    <n v="5.8166666666666664"/>
    <n v="0.38"/>
    <x v="23"/>
  </r>
  <r>
    <n v="0.68"/>
    <n v="144"/>
    <n v="0.85"/>
    <x v="10"/>
    <n v="0.69399999999999995"/>
    <s v="Central Cee"/>
    <n v="70"/>
    <s v="Gangster Rap"/>
    <s v="Loading"/>
    <d v="2021-03-12T00:00:00"/>
    <n v="0"/>
    <n v="3"/>
    <n v="2.8833333333333333"/>
    <n v="0.73199999999999998"/>
    <x v="20"/>
  </r>
  <r>
    <n v="0.78"/>
    <n v="134"/>
    <n v="0.72399999999999998"/>
    <x v="10"/>
    <n v="0.72"/>
    <s v="Central Cee, JRK 19"/>
    <n v="70"/>
    <s v="French Rap Classics"/>
    <s v="Bolide Noir"/>
    <d v="2024-08-22T00:00:00"/>
    <n v="0"/>
    <n v="1"/>
    <n v="2.8333333333333335"/>
    <n v="0.29399999999999998"/>
    <x v="13"/>
  </r>
  <r>
    <n v="0.61099999999999999"/>
    <n v="102"/>
    <n v="0.89700000000000002"/>
    <x v="10"/>
    <n v="0.76900000000000002"/>
    <s v="Cypress Hill"/>
    <n v="70"/>
    <s v="90s Hip-Hop"/>
    <s v="Insane in the Brain"/>
    <d v="1993-07-20T00:00:00"/>
    <n v="1"/>
    <n v="11"/>
    <n v="3.4666666666666668"/>
    <n v="2.9100000000000001E-2"/>
    <x v="24"/>
  </r>
  <r>
    <n v="0.72699999999999998"/>
    <n v="150"/>
    <n v="0.47699999999999998"/>
    <x v="10"/>
    <n v="0.22700000000000001"/>
    <s v="DJ Khaled, Lil Baby, Lil Durk"/>
    <n v="70"/>
    <s v="Gangster Rap"/>
    <s v="EVERY CHANCE I GET (feat. Lil Baby &amp; Lil Durk)"/>
    <d v="2021-04-30T00:00:00"/>
    <n v="1"/>
    <n v="2"/>
    <n v="3.9333333333333331"/>
    <n v="8.6600000000000002E-4"/>
    <x v="20"/>
  </r>
  <r>
    <n v="0.65800000000000003"/>
    <n v="151"/>
    <n v="0.752"/>
    <x v="10"/>
    <n v="0.38700000000000001"/>
    <s v="Future, Lil Uzi Vert"/>
    <n v="70"/>
    <s v="Gangster Rap"/>
    <s v="Drankin N Smokin"/>
    <d v="2020-11-13T00:00:00"/>
    <n v="1"/>
    <n v="0"/>
    <n v="3.55"/>
    <n v="4.2099999999999999E-2"/>
    <x v="20"/>
  </r>
  <r>
    <n v="0.66200000000000003"/>
    <n v="150"/>
    <n v="0.70899999999999996"/>
    <x v="10"/>
    <n v="0.439"/>
    <s v="Juice WRLD"/>
    <n v="70"/>
    <s v="Melodic Rap"/>
    <s v="Flaws And Sins"/>
    <d v="2019-03-08T00:00:00"/>
    <n v="1"/>
    <n v="8"/>
    <n v="3.6333333333333333"/>
    <n v="9.6600000000000002E-3"/>
    <x v="23"/>
  </r>
  <r>
    <n v="0.63100000000000001"/>
    <n v="841"/>
    <n v="0.48"/>
    <x v="10"/>
    <n v="0.51500000000000001"/>
    <s v="Kanye West"/>
    <n v="70"/>
    <s v="Chill Hop"/>
    <s v="Good Morning"/>
    <d v="2007-09-11T00:00:00"/>
    <n v="1"/>
    <n v="7"/>
    <n v="3.25"/>
    <n v="7.9100000000000004E-2"/>
    <x v="4"/>
  </r>
  <r>
    <n v="0.79800000000000004"/>
    <n v="866"/>
    <n v="0.50900000000000001"/>
    <x v="10"/>
    <n v="0.48"/>
    <s v="Karan Aujla"/>
    <n v="70"/>
    <s v="Desi Hip-Hop"/>
    <s v="Sifar Safar"/>
    <d v="2024-10-18T00:00:00"/>
    <n v="1"/>
    <n v="2"/>
    <n v="3"/>
    <n v="6.2500000000000003E-3"/>
    <x v="21"/>
  </r>
  <r>
    <n v="0.75"/>
    <n v="139"/>
    <n v="0.83099999999999996"/>
    <x v="10"/>
    <n v="0.66200000000000003"/>
    <s v="Karan Aujla"/>
    <n v="70"/>
    <s v="Desi Hip-Hop"/>
    <s v="On Top"/>
    <d v="2022-11-25T00:00:00"/>
    <n v="0"/>
    <n v="10"/>
    <n v="3.05"/>
    <n v="1.8800000000000001E-2"/>
    <x v="21"/>
  </r>
  <r>
    <n v="0.41099999999999998"/>
    <n v="172"/>
    <n v="0.72199999999999998"/>
    <x v="10"/>
    <n v="0.503"/>
    <s v="KayBlack, Wall Hein, AMUSIK"/>
    <n v="70"/>
    <s v="Trap"/>
    <s v="Maturidade"/>
    <d v="2022-09-08T00:00:00"/>
    <n v="0"/>
    <n v="2"/>
    <n v="2.3666666666666667"/>
    <n v="0.50900000000000001"/>
    <x v="22"/>
  </r>
  <r>
    <n v="0.94599999999999995"/>
    <n v="150"/>
    <n v="0.80400000000000005"/>
    <x v="10"/>
    <n v="0.745"/>
    <s v="Key Glock"/>
    <n v="70"/>
    <s v="Gangster Rap"/>
    <s v="Mr. Glock"/>
    <d v="2020-01-31T00:00:00"/>
    <n v="1"/>
    <n v="7"/>
    <n v="2.4333333333333331"/>
    <n v="2E-3"/>
    <x v="20"/>
  </r>
  <r>
    <n v="0.52500000000000002"/>
    <n v="750"/>
    <n v="0.77600000000000002"/>
    <x v="10"/>
    <n v="0.46700000000000003"/>
    <s v="Latto"/>
    <n v="70"/>
    <s v="RapCaviar"/>
    <s v="Brokey"/>
    <d v="2024-08-09T00:00:00"/>
    <n v="1"/>
    <n v="1"/>
    <n v="3.6166666666666667"/>
    <n v="3.6600000000000001E-2"/>
    <x v="5"/>
  </r>
  <r>
    <n v="0.64200000000000002"/>
    <n v="111"/>
    <n v="0.65"/>
    <x v="10"/>
    <n v="0.186"/>
    <s v="Lil Baby"/>
    <n v="70"/>
    <s v="RapCaviar"/>
    <s v="Insecurities"/>
    <d v="2024-11-15T00:00:00"/>
    <n v="1"/>
    <n v="2"/>
    <n v="2.1166666666666667"/>
    <n v="5.0200000000000002E-3"/>
    <x v="5"/>
  </r>
  <r>
    <n v="0.56399999999999995"/>
    <n v="779"/>
    <n v="0.85599999999999998"/>
    <x v="10"/>
    <n v="0.48299999999999998"/>
    <s v="Lil Baby"/>
    <n v="70"/>
    <s v="Gangster Rap"/>
    <s v="On Me"/>
    <d v="2020-12-04T00:00:00"/>
    <n v="0"/>
    <n v="6"/>
    <n v="2.25"/>
    <n v="3.2699999999999999E-3"/>
    <x v="20"/>
  </r>
  <r>
    <n v="0.54200000000000004"/>
    <n v="135"/>
    <n v="0.92600000000000005"/>
    <x v="10"/>
    <n v="0.56399999999999995"/>
    <s v="Lil Baby, 42 Dugg"/>
    <n v="70"/>
    <s v="Trap"/>
    <s v="We Paid (feat. 42 Dugg)"/>
    <d v="2020-05-01T00:00:00"/>
    <n v="1"/>
    <n v="1"/>
    <n v="3.0166666666666666"/>
    <n v="0.13500000000000001"/>
    <x v="22"/>
  </r>
  <r>
    <n v="0.76700000000000002"/>
    <n v="160"/>
    <n v="0.71799999999999997"/>
    <x v="10"/>
    <n v="0.51900000000000002"/>
    <s v="Lil Skies"/>
    <n v="70"/>
    <s v="Melodic Rap"/>
    <s v="Lust"/>
    <d v="2017-12-12T00:00:00"/>
    <n v="1"/>
    <n v="9"/>
    <n v="2.6"/>
    <n v="0.13800000000000001"/>
    <x v="23"/>
  </r>
  <r>
    <n v="0.58799999999999997"/>
    <n v="114"/>
    <n v="0.71199999999999997"/>
    <x v="10"/>
    <n v="0.47099999999999997"/>
    <s v="Lil Tecca"/>
    <n v="70"/>
    <s v="Melodic Rap"/>
    <s v="Down With Me"/>
    <d v="2024-01-19T00:00:00"/>
    <n v="0"/>
    <n v="9"/>
    <n v="2"/>
    <n v="0.112"/>
    <x v="23"/>
  </r>
  <r>
    <n v="0.54700000000000004"/>
    <n v="138"/>
    <n v="0.92"/>
    <x v="10"/>
    <n v="0.60599999999999998"/>
    <s v="Lil Yachty"/>
    <n v="70"/>
    <s v="Gangster Rap"/>
    <s v="Coffin"/>
    <d v="2020-11-27T00:00:00"/>
    <n v="0"/>
    <n v="6"/>
    <n v="14.916666666666666"/>
    <n v="2.41E-2"/>
    <x v="20"/>
  </r>
  <r>
    <n v="0.50900000000000001"/>
    <n v="157"/>
    <n v="0.66200000000000003"/>
    <x v="10"/>
    <n v="0.54900000000000004"/>
    <s v="Lil Yachty, Veeze"/>
    <n v="70"/>
    <s v="RapCaviar"/>
    <s v="Sorry Not Sorry"/>
    <d v="2024-08-16T00:00:00"/>
    <n v="1"/>
    <n v="1"/>
    <n v="2.2666666666666666"/>
    <n v="0.247"/>
    <x v="5"/>
  </r>
  <r>
    <n v="0.92800000000000005"/>
    <n v="109"/>
    <n v="0.61599999999999999"/>
    <x v="10"/>
    <n v="0.23"/>
    <s v="Matu"/>
    <n v="70"/>
    <s v="Trap"/>
    <s v="Castlevania"/>
    <d v="2024-09-09T00:00:00"/>
    <n v="0"/>
    <n v="9"/>
    <n v="3.8333333333333335"/>
    <n v="1.6799999999999999E-2"/>
    <x v="22"/>
  </r>
  <r>
    <n v="0.66600000000000004"/>
    <n v="127"/>
    <n v="0.92600000000000005"/>
    <x v="10"/>
    <n v="0.16800000000000001"/>
    <s v="Migos, Lil Uzi Vert"/>
    <n v="70"/>
    <s v="Trap"/>
    <s v="Bad and Boujee (feat. Lil Uzi Vert)"/>
    <d v="2017-01-27T00:00:00"/>
    <n v="1"/>
    <n v="11"/>
    <n v="5.7166666666666668"/>
    <n v="6.1100000000000002E-2"/>
    <x v="22"/>
  </r>
  <r>
    <n v="0.91"/>
    <n v="840"/>
    <n v="0.66500000000000004"/>
    <x v="10"/>
    <n v="0.88700000000000001"/>
    <s v="Nas"/>
    <n v="70"/>
    <s v="90s Hip-Hop"/>
    <s v="N.Y. State of Mind"/>
    <d v="1994-04-19T00:00:00"/>
    <n v="0"/>
    <n v="6"/>
    <n v="4.8833333333333337"/>
    <n v="3.9399999999999998E-2"/>
    <x v="24"/>
  </r>
  <r>
    <n v="0.63100000000000001"/>
    <n v="121"/>
    <n v="0.77200000000000002"/>
    <x v="10"/>
    <n v="0.433"/>
    <s v="Offset, Travis Scott"/>
    <n v="70"/>
    <s v="Gangster Rap"/>
    <s v="SAY MY GRACE (feat. Travis Scott)"/>
    <d v="2023-10-13T00:00:00"/>
    <n v="1"/>
    <n v="10"/>
    <n v="2.8833333333333333"/>
    <n v="6.4799999999999996E-2"/>
    <x v="20"/>
  </r>
  <r>
    <n v="0.73399999999999999"/>
    <n v="970"/>
    <n v="0.91800000000000004"/>
    <x v="10"/>
    <n v="0.60799999999999998"/>
    <s v="Outkast"/>
    <n v="70"/>
    <s v="90s Hip-Hop"/>
    <s v="ATLiens"/>
    <d v="1996-08-27T00:00:00"/>
    <n v="0"/>
    <n v="11"/>
    <n v="3.8333333333333335"/>
    <n v="2.9600000000000001E-2"/>
    <x v="24"/>
  </r>
  <r>
    <n v="0.73399999999999999"/>
    <n v="970"/>
    <n v="0.91800000000000004"/>
    <x v="10"/>
    <n v="0.60799999999999998"/>
    <s v="Outkast"/>
    <n v="70"/>
    <s v="Chill Hop"/>
    <s v="ATLiens"/>
    <d v="1996-08-27T00:00:00"/>
    <n v="0"/>
    <n v="11"/>
    <n v="3.8333333333333335"/>
    <n v="2.9600000000000001E-2"/>
    <x v="4"/>
  </r>
  <r>
    <n v="0.57199999999999995"/>
    <n v="880"/>
    <n v="0.74199999999999999"/>
    <x v="10"/>
    <n v="0.64400000000000002"/>
    <s v="Shubh"/>
    <n v="70"/>
    <s v="Desi Hip-Hop"/>
    <s v="MVP"/>
    <d v="2024-05-10T00:00:00"/>
    <n v="0"/>
    <n v="7"/>
    <n v="3.2666666666666666"/>
    <n v="0.39100000000000001"/>
    <x v="21"/>
  </r>
  <r>
    <n v="0.63100000000000001"/>
    <n v="129"/>
    <n v="0.80700000000000005"/>
    <x v="10"/>
    <n v="0.126"/>
    <s v="Trap Capos, Noriel, Anuel AA, Baby Rasta"/>
    <n v="70"/>
    <s v="Trap"/>
    <s v="Diablita (feat. Anuel AA &amp; Baby Rasta)"/>
    <d v="2016-10-07T00:00:00"/>
    <n v="1"/>
    <n v="8"/>
    <n v="3.55"/>
    <n v="0.40699999999999997"/>
    <x v="22"/>
  </r>
  <r>
    <n v="0.748"/>
    <n v="115"/>
    <n v="0.752"/>
    <x v="10"/>
    <n v="0.497"/>
    <s v="Trap Capos, Noriel, Bad Bunny, Almighty"/>
    <n v="70"/>
    <s v="Trap"/>
    <s v="Amigos y Enemigos (feat. Bad Bunny &amp; Almighty) - Remix"/>
    <d v="2017-02-06T00:00:00"/>
    <n v="1"/>
    <n v="6"/>
    <n v="4.916666666666667"/>
    <n v="0.28899999999999998"/>
    <x v="22"/>
  </r>
  <r>
    <n v="0.48399999999999999"/>
    <n v="133"/>
    <n v="0.93"/>
    <x v="10"/>
    <n v="0.747"/>
    <s v="WIU, Teto"/>
    <n v="70"/>
    <s v="Trap"/>
    <s v="Problemas de um Milionario"/>
    <d v="2024-04-10T00:00:00"/>
    <n v="1"/>
    <n v="2"/>
    <n v="2.4"/>
    <n v="0.35499999999999998"/>
    <x v="22"/>
  </r>
  <r>
    <n v="0.57899999999999996"/>
    <n v="841"/>
    <n v="0.56200000000000006"/>
    <x v="10"/>
    <n v="0.57699999999999996"/>
    <s v="XXXTENTACION, Joey Bada$$"/>
    <n v="70"/>
    <s v="Chill Hop"/>
    <s v="infinity (888) - feat. Joey Bada$$"/>
    <d v="2018-03-16T00:00:00"/>
    <n v="0"/>
    <n v="10"/>
    <n v="2.9333333333333331"/>
    <n v="0.27400000000000002"/>
    <x v="4"/>
  </r>
  <r>
    <n v="0.68100000000000005"/>
    <n v="114"/>
    <n v="0.88400000000000001"/>
    <x v="10"/>
    <n v="0.32400000000000001"/>
    <s v="BigXthaPlug"/>
    <n v="69"/>
    <s v="RapCaviar"/>
    <s v="2AM"/>
    <d v="2024-10-11T00:00:00"/>
    <n v="1"/>
    <n v="8"/>
    <n v="3.0666666666666669"/>
    <n v="4.3900000000000002E-2"/>
    <x v="5"/>
  </r>
  <r>
    <n v="0.67400000000000004"/>
    <n v="140"/>
    <n v="0.92200000000000004"/>
    <x v="10"/>
    <n v="0.72599999999999998"/>
    <s v="Dave, Central Cee"/>
    <n v="69"/>
    <s v="UK Drill"/>
    <s v="UK Rap"/>
    <d v="2023-06-04T00:00:00"/>
    <n v="1"/>
    <n v="1"/>
    <n v="3.3"/>
    <n v="0.32300000000000001"/>
    <x v="25"/>
  </r>
  <r>
    <n v="0.50600000000000001"/>
    <n v="115"/>
    <n v="0.84799999999999998"/>
    <x v="10"/>
    <n v="0.59299999999999997"/>
    <s v="Don Toliver, Travis Scott"/>
    <n v="69"/>
    <s v="Chill Hop"/>
    <s v="Embarrassed (feat. Travis Scott)"/>
    <d v="2023-02-28T00:00:00"/>
    <n v="0"/>
    <n v="4"/>
    <n v="3.2"/>
    <n v="0.376"/>
    <x v="4"/>
  </r>
  <r>
    <n v="0.73499999999999999"/>
    <n v="101"/>
    <n v="0.93400000000000005"/>
    <x v="10"/>
    <n v="0.76800000000000002"/>
    <s v="Ice Cube, Das EFX"/>
    <n v="69"/>
    <s v="90s Hip-Hop"/>
    <s v="Check Yo Self - Remix"/>
    <d v="1994-11-22T00:00:00"/>
    <n v="1"/>
    <n v="1"/>
    <n v="4.55"/>
    <n v="3.1E-2"/>
    <x v="24"/>
  </r>
  <r>
    <n v="0.67600000000000005"/>
    <n v="143"/>
    <n v="0.59399999999999997"/>
    <x v="10"/>
    <n v="0.47199999999999998"/>
    <s v="JACKBOYS, Pop Smoke, Travis Scott"/>
    <n v="69"/>
    <s v="Gangster Rap"/>
    <s v="GATTI"/>
    <d v="2019-12-27T00:00:00"/>
    <n v="1"/>
    <n v="2"/>
    <n v="3.0166666666666666"/>
    <n v="0.13500000000000001"/>
    <x v="20"/>
  </r>
  <r>
    <n v="0.77400000000000002"/>
    <n v="130"/>
    <n v="0.86699999999999999"/>
    <x v="10"/>
    <n v="0.54900000000000004"/>
    <s v="Key Glock"/>
    <n v="69"/>
    <s v="Gangster Rap"/>
    <s v="Russian Cream"/>
    <d v="2018-02-02T00:00:00"/>
    <n v="0"/>
    <n v="11"/>
    <n v="2.3666666666666667"/>
    <n v="0.11"/>
    <x v="20"/>
  </r>
  <r>
    <n v="0.53600000000000003"/>
    <n v="119"/>
    <n v="0.68899999999999995"/>
    <x v="10"/>
    <n v="0.34899999999999998"/>
    <s v="Lary Over, Anuel, Bryant Myers, Almighty, Brytiago"/>
    <n v="69"/>
    <s v="Trap"/>
    <s v="Tu Me Enamoraste - Remix"/>
    <d v="2016-04-02T00:00:00"/>
    <n v="1"/>
    <n v="8"/>
    <n v="5.6833333333333336"/>
    <n v="0.25"/>
    <x v="22"/>
  </r>
  <r>
    <n v="0.39500000000000002"/>
    <n v="769"/>
    <n v="0.79300000000000004"/>
    <x v="10"/>
    <n v="0.128"/>
    <s v="Lil Baby, Gunna"/>
    <n v="69"/>
    <s v="Gangster Rap"/>
    <s v="Ready (feat. Gunna)"/>
    <d v="2018-11-30T00:00:00"/>
    <n v="1"/>
    <n v="1"/>
    <n v="3.55"/>
    <n v="0.27700000000000002"/>
    <x v="20"/>
  </r>
  <r>
    <n v="0.56999999999999995"/>
    <n v="142"/>
    <n v="0.78700000000000003"/>
    <x v="10"/>
    <n v="0.73299999999999998"/>
    <s v="Lil Durk, J. Cole"/>
    <n v="69"/>
    <s v="Gangster Rap"/>
    <s v="All My Life (feat. J. Cole)"/>
    <d v="2023-05-12T00:00:00"/>
    <n v="1"/>
    <n v="3"/>
    <n v="3.7166666666666668"/>
    <n v="4.4900000000000002E-2"/>
    <x v="20"/>
  </r>
  <r>
    <n v="0.70199999999999996"/>
    <n v="125"/>
    <n v="0.871"/>
    <x v="10"/>
    <n v="0.67500000000000004"/>
    <s v="Lil Loaded"/>
    <n v="69"/>
    <s v="Gangster Rap"/>
    <s v="6locc 6a6y"/>
    <d v="2019-12-06T00:00:00"/>
    <n v="1"/>
    <n v="5"/>
    <n v="2.1833333333333331"/>
    <n v="0.29599999999999999"/>
    <x v="20"/>
  </r>
  <r>
    <n v="0.4"/>
    <n v="106"/>
    <n v="0.60799999999999998"/>
    <x v="10"/>
    <n v="8.8999999999999996E-2"/>
    <s v="Luh Tyler, BossMan Dlow"/>
    <n v="69"/>
    <s v="RapCaviar"/>
    <s v="2 Slippery (feat. BossMan Dlow)"/>
    <d v="2024-08-22T00:00:00"/>
    <n v="1"/>
    <n v="1"/>
    <n v="2.65"/>
    <n v="2.9000000000000001E-2"/>
    <x v="5"/>
  </r>
  <r>
    <n v="0.33200000000000002"/>
    <n v="141"/>
    <n v="0.88500000000000001"/>
    <x v="10"/>
    <n v="0.42299999999999999"/>
    <s v="Nemzzz"/>
    <n v="69"/>
    <s v="UK Drill"/>
    <s v="2MS"/>
    <d v="2022-02-24T00:00:00"/>
    <n v="1"/>
    <n v="1"/>
    <n v="1.8"/>
    <n v="1.8499999999999999E-2"/>
    <x v="25"/>
  </r>
  <r>
    <n v="0.82199999999999995"/>
    <n v="165"/>
    <n v="0.51300000000000001"/>
    <x v="10"/>
    <n v="0.76800000000000002"/>
    <s v="Night Skinny, Nerissima Serpe, Papa V"/>
    <n v="69"/>
    <s v="Trap"/>
    <s v="Tessera sanitaria (feat. Nerissima Serpe &amp; Papa V)"/>
    <d v="2024-10-10T00:00:00"/>
    <n v="1"/>
    <n v="1"/>
    <n v="3.4"/>
    <n v="0.14000000000000001"/>
    <x v="22"/>
  </r>
  <r>
    <n v="0.36199999999999999"/>
    <n v="115"/>
    <n v="0.96699999999999997"/>
    <x v="10"/>
    <n v="0.63300000000000001"/>
    <s v="Shubh"/>
    <n v="69"/>
    <s v="Desi Hip-Hop"/>
    <s v="Dior"/>
    <d v="2023-05-19T00:00:00"/>
    <n v="0"/>
    <n v="5"/>
    <n v="2.3166666666666669"/>
    <n v="0.51400000000000001"/>
    <x v="21"/>
  </r>
  <r>
    <n v="0.47799999999999998"/>
    <n v="104"/>
    <n v="0.67500000000000004"/>
    <x v="10"/>
    <n v="0.39"/>
    <s v="Tee Grizzley, J. Cole"/>
    <n v="69"/>
    <s v="RapCaviar"/>
    <s v="Blow for Blow (feat. J. Cole)"/>
    <d v="2024-09-27T00:00:00"/>
    <n v="1"/>
    <n v="1"/>
    <n v="3.5"/>
    <n v="7.3099999999999998E-2"/>
    <x v="5"/>
  </r>
  <r>
    <n v="0.69599999999999995"/>
    <n v="120"/>
    <n v="0.74399999999999999"/>
    <x v="10"/>
    <n v="0.40600000000000003"/>
    <s v="Trap Capos, Noriel, Bad Bunny, Arci°ngel"/>
    <n v="69"/>
    <s v="Trap"/>
    <s v="De las 2 (feat. Bad Bunny &amp; Arc√°ngel)"/>
    <d v="2018-04-13T00:00:00"/>
    <n v="0"/>
    <n v="8"/>
    <n v="4.333333333333333"/>
    <n v="0.71"/>
    <x v="22"/>
  </r>
  <r>
    <n v="0.54"/>
    <n v="841"/>
    <n v="0.77300000000000002"/>
    <x v="10"/>
    <n v="0.32200000000000001"/>
    <s v="2Pac"/>
    <n v="68"/>
    <s v="90s Hip-Hop"/>
    <s v="Dear Mama"/>
    <d v="1995-03-14T00:00:00"/>
    <n v="1"/>
    <n v="6"/>
    <n v="4.666666666666667"/>
    <n v="0.371"/>
    <x v="24"/>
  </r>
  <r>
    <n v="0.73199999999999998"/>
    <n v="172"/>
    <n v="0.59799999999999998"/>
    <x v="10"/>
    <n v="0.59499999999999997"/>
    <s v="2Pac"/>
    <n v="68"/>
    <s v="90s Hip-Hop"/>
    <s v="Keep Ya Head Up"/>
    <d v="1993-02-16T00:00:00"/>
    <n v="1"/>
    <n v="4"/>
    <n v="4.3666666666666663"/>
    <n v="0.14399999999999999"/>
    <x v="24"/>
  </r>
  <r>
    <n v="0.63200000000000001"/>
    <n v="123"/>
    <n v="0.84799999999999998"/>
    <x v="10"/>
    <n v="0.253"/>
    <s v="41, Kyle Richh, Jenn Carter, TaTa"/>
    <n v="68"/>
    <s v="Gangster Rap"/>
    <s v="Bent (with Kyle Richh, Jenn Carter &amp; TaTa)"/>
    <d v="2023-11-17T00:00:00"/>
    <n v="1"/>
    <n v="2"/>
    <n v="2.85"/>
    <n v="0.39800000000000002"/>
    <x v="20"/>
  </r>
  <r>
    <n v="0.66600000000000004"/>
    <n v="966"/>
    <n v="0.84799999999999998"/>
    <x v="10"/>
    <n v="0.74399999999999999"/>
    <s v="A Tribe Called Quest"/>
    <n v="68"/>
    <s v="90s Hip-Hop"/>
    <s v="Can I Kick It?"/>
    <d v="1990-04-17T00:00:00"/>
    <n v="1"/>
    <n v="0"/>
    <n v="4.1833333333333336"/>
    <n v="0.17299999999999999"/>
    <x v="24"/>
  </r>
  <r>
    <n v="0.58599999999999997"/>
    <n v="124"/>
    <n v="0.80800000000000005"/>
    <x v="10"/>
    <n v="0.56799999999999995"/>
    <s v="Arcangel, Bad Bunny"/>
    <n v="68"/>
    <s v="Trap"/>
    <s v="Me Acostumbre (feat. Bad Bunny)"/>
    <d v="2017-04-11T00:00:00"/>
    <n v="0"/>
    <n v="10"/>
    <n v="4.3833333333333337"/>
    <n v="0.64100000000000001"/>
    <x v="22"/>
  </r>
  <r>
    <n v="0.83099999999999996"/>
    <n v="139"/>
    <n v="0.65200000000000002"/>
    <x v="10"/>
    <n v="0.64800000000000002"/>
    <s v="BabyChiefDoit"/>
    <n v="68"/>
    <s v="RapCaviar"/>
    <s v="The Viper"/>
    <d v="2024-09-20T00:00:00"/>
    <n v="0"/>
    <n v="10"/>
    <n v="2.5"/>
    <n v="1.11E-2"/>
    <x v="5"/>
  </r>
  <r>
    <n v="0.86699999999999999"/>
    <n v="131"/>
    <n v="0.90200000000000002"/>
    <x v="10"/>
    <n v="0.79900000000000004"/>
    <s v="BigXthaPlug"/>
    <n v="68"/>
    <s v="RapCaviar"/>
    <s v="The Largest"/>
    <d v="2024-08-09T00:00:00"/>
    <n v="0"/>
    <n v="10"/>
    <n v="2.2000000000000002"/>
    <n v="6.7799999999999999E-2"/>
    <x v="5"/>
  </r>
  <r>
    <n v="0.629"/>
    <n v="140"/>
    <n v="0.52300000000000002"/>
    <x v="10"/>
    <n v="0.20899999999999999"/>
    <s v="Bryant Myers, Bad Bunny"/>
    <n v="68"/>
    <s v="Trap"/>
    <s v="Un Ratito Mas"/>
    <d v="2017-06-05T00:00:00"/>
    <n v="1"/>
    <n v="1"/>
    <n v="4.7166666666666668"/>
    <n v="0.156"/>
    <x v="22"/>
  </r>
  <r>
    <n v="0.60599999999999998"/>
    <n v="175"/>
    <n v="0.65600000000000003"/>
    <x v="10"/>
    <n v="0.38"/>
    <s v="Dhanda Nyoliwala"/>
    <n v="68"/>
    <s v="Desi Hip-Hop"/>
    <s v="Knife Brows"/>
    <d v="2024-10-19T00:00:00"/>
    <n v="1"/>
    <n v="9"/>
    <n v="2.9166666666666665"/>
    <n v="0.33500000000000002"/>
    <x v="21"/>
  </r>
  <r>
    <n v="0.495"/>
    <n v="137"/>
    <n v="0.85299999999999998"/>
    <x v="10"/>
    <n v="7.7399999999999997E-2"/>
    <s v="Drake"/>
    <n v="68"/>
    <s v="Gangster Rap"/>
    <s v="Sticky"/>
    <d v="2022-06-17T00:00:00"/>
    <n v="1"/>
    <n v="6"/>
    <n v="4.05"/>
    <n v="9.1700000000000004E-2"/>
    <x v="20"/>
  </r>
  <r>
    <n v="0.67100000000000004"/>
    <n v="147"/>
    <n v="0.60699999999999998"/>
    <x v="10"/>
    <n v="0.316"/>
    <s v="Filipe Ret, Dallass, Hunter"/>
    <n v="68"/>
    <s v="Trap"/>
    <s v="Deus Perdoa"/>
    <d v="2023-03-21T00:00:00"/>
    <n v="0"/>
    <n v="4"/>
    <n v="2.2833333333333332"/>
    <n v="0.40300000000000002"/>
    <x v="22"/>
  </r>
  <r>
    <n v="0.69299999999999995"/>
    <n v="879"/>
    <n v="0.70199999999999996"/>
    <x v="10"/>
    <n v="0.57199999999999995"/>
    <s v="Gazo, Tiakola"/>
    <n v="68"/>
    <s v="French Rap Classics"/>
    <s v="MAMI WATA"/>
    <d v="2023-12-01T00:00:00"/>
    <n v="0"/>
    <n v="5"/>
    <n v="3.8833333333333333"/>
    <n v="0.13900000000000001"/>
    <x v="13"/>
  </r>
  <r>
    <n v="0.28299999999999997"/>
    <n v="138"/>
    <n v="0.89800000000000002"/>
    <x v="10"/>
    <n v="0.46899999999999997"/>
    <s v="J. Cole"/>
    <n v="68"/>
    <s v="Chill Hop"/>
    <s v="Neighbors"/>
    <d v="2016-12-09T00:00:00"/>
    <n v="0"/>
    <n v="6"/>
    <n v="3.6"/>
    <n v="0.31900000000000001"/>
    <x v="4"/>
  </r>
  <r>
    <n v="0.63800000000000001"/>
    <n v="948"/>
    <n v="0.80900000000000005"/>
    <x v="10"/>
    <n v="0.60799999999999998"/>
    <s v="Joey Bada$$"/>
    <n v="68"/>
    <s v="Chill Hop"/>
    <s v="Righteous Minds"/>
    <d v="2012-06-12T00:00:00"/>
    <n v="0"/>
    <n v="8"/>
    <n v="3.7333333333333334"/>
    <n v="0.26200000000000001"/>
    <x v="4"/>
  </r>
  <r>
    <n v="0.64600000000000002"/>
    <n v="176"/>
    <n v="0.59899999999999998"/>
    <x v="10"/>
    <n v="0.63800000000000001"/>
    <s v="Joey Bada$$"/>
    <n v="68"/>
    <s v="Chill Hop"/>
    <s v="Show Me"/>
    <d v="2022-07-22T00:00:00"/>
    <n v="1"/>
    <n v="6"/>
    <n v="3.6666666666666665"/>
    <n v="0.222"/>
    <x v="4"/>
  </r>
  <r>
    <n v="0.38500000000000001"/>
    <n v="129"/>
    <n v="0.69"/>
    <x v="10"/>
    <n v="0.19"/>
    <s v="KHEA, Omar Varela, Asan"/>
    <n v="68"/>
    <s v="Trap"/>
    <s v="C√≥mo Le Digo"/>
    <d v="2018-04-10T00:00:00"/>
    <n v="1"/>
    <n v="0"/>
    <n v="3.7666666666666666"/>
    <n v="0.18099999999999999"/>
    <x v="22"/>
  </r>
  <r>
    <n v="0.48"/>
    <n v="143"/>
    <n v="0.84599999999999997"/>
    <x v="10"/>
    <n v="0.41899999999999998"/>
    <s v="Lil Durk, Lil Baby, Polo G"/>
    <n v="68"/>
    <s v="Gangster Rap"/>
    <s v="3 Headed Goat (feat. Lil Baby &amp; Polo G)"/>
    <d v="2020-05-08T00:00:00"/>
    <n v="0"/>
    <n v="8"/>
    <n v="2.8166666666666669"/>
    <n v="0.26900000000000002"/>
    <x v="20"/>
  </r>
  <r>
    <n v="0.55000000000000004"/>
    <n v="124"/>
    <n v="0.629"/>
    <x v="10"/>
    <n v="0.154"/>
    <s v="Lil Uzi Vert"/>
    <n v="68"/>
    <s v="Melodic Rap"/>
    <s v="Conceited"/>
    <d v="2024-11-01T00:00:00"/>
    <n v="1"/>
    <n v="0"/>
    <n v="3.15"/>
    <n v="0.152"/>
    <x v="23"/>
  </r>
  <r>
    <n v="0.70299999999999996"/>
    <n v="948"/>
    <n v="0.81299999999999994"/>
    <x v="10"/>
    <n v="0.24099999999999999"/>
    <s v="Mobb Deep"/>
    <n v="68"/>
    <s v="90s Hip-Hop"/>
    <s v="Survival of the Fittest"/>
    <d v="1995-04-25T00:00:00"/>
    <n v="0"/>
    <n v="11"/>
    <n v="3.7333333333333334"/>
    <n v="0.125"/>
    <x v="24"/>
  </r>
  <r>
    <n v="0.35"/>
    <n v="775"/>
    <n v="0.82199999999999995"/>
    <x v="10"/>
    <n v="0.34599999999999997"/>
    <s v="Polo G"/>
    <n v="68"/>
    <s v="Gangster Rap"/>
    <s v="Neva Cared"/>
    <d v="2018-03-11T00:00:00"/>
    <n v="0"/>
    <n v="1"/>
    <n v="3.1"/>
    <n v="2.1299999999999999E-2"/>
    <x v="20"/>
  </r>
  <r>
    <n v="0.61799999999999999"/>
    <n v="997"/>
    <n v="0.49"/>
    <x v="10"/>
    <n v="0.28599999999999998"/>
    <s v="Pop Smoke, 50 Cent, Roddy Ricch"/>
    <n v="68"/>
    <s v="Gangster Rap"/>
    <s v="The Woo (feat. 50 Cent &amp; Roddy Ricch)"/>
    <d v="2020-07-03T00:00:00"/>
    <n v="1"/>
    <n v="1"/>
    <n v="3.35"/>
    <n v="2.2100000000000002E-2"/>
    <x v="20"/>
  </r>
  <r>
    <n v="0.441"/>
    <n v="135"/>
    <n v="0.94199999999999995"/>
    <x v="10"/>
    <n v="0.92500000000000004"/>
    <s v="Saintie"/>
    <n v="68"/>
    <s v="Chill Hop"/>
    <s v="Champagne Shots"/>
    <d v="2021-01-06T00:00:00"/>
    <n v="1"/>
    <n v="11"/>
    <n v="2.4"/>
    <n v="0.49299999999999999"/>
    <x v="4"/>
  </r>
  <r>
    <n v="0.70199999999999996"/>
    <n v="180"/>
    <n v="0.71099999999999997"/>
    <x v="10"/>
    <n v="0.67400000000000004"/>
    <s v="Shubh, Ikky"/>
    <n v="68"/>
    <s v="Desi Hip-Hop"/>
    <s v="Baller"/>
    <d v="2022-09-09T00:00:00"/>
    <n v="1"/>
    <n v="5"/>
    <n v="2.4666666666666668"/>
    <n v="4.8700000000000002E-3"/>
    <x v="21"/>
  </r>
  <r>
    <n v="0.68400000000000005"/>
    <n v="100"/>
    <n v="0.76900000000000002"/>
    <x v="10"/>
    <n v="0.48299999999999998"/>
    <s v="Sukha, Chani Nattan, Prodgk, Gurlez Akhtar"/>
    <n v="68"/>
    <s v="Desi Hip-Hop"/>
    <s v="8 ASLE"/>
    <d v="2023-11-17T00:00:00"/>
    <n v="0"/>
    <n v="10"/>
    <n v="2.6833333333333331"/>
    <n v="9.7699999999999995E-2"/>
    <x v="21"/>
  </r>
  <r>
    <n v="0.59"/>
    <n v="119"/>
    <n v="0.88"/>
    <x v="10"/>
    <n v="0.72299999999999998"/>
    <s v="Teto, Matui™"/>
    <n v="68"/>
    <s v="Trap"/>
    <s v="M4"/>
    <d v="2021-01-20T00:00:00"/>
    <n v="0"/>
    <n v="8"/>
    <n v="2.8333333333333335"/>
    <n v="0.08"/>
    <x v="22"/>
  </r>
  <r>
    <n v="0.60399999999999998"/>
    <n v="493"/>
    <n v="0.58299999999999996"/>
    <x v="10"/>
    <n v="0.69099999999999995"/>
    <s v="The Alchemist, Boldy James"/>
    <n v="68"/>
    <s v="Chill Hop"/>
    <s v="Ocean Prime (feat. Boldy James)"/>
    <d v="2019-08-30T00:00:00"/>
    <n v="1"/>
    <n v="2"/>
    <n v="16.649999999999999"/>
    <n v="0.73499999999999999"/>
    <x v="4"/>
  </r>
  <r>
    <n v="0.748"/>
    <n v="119"/>
    <n v="0.86799999999999999"/>
    <x v="11"/>
    <n v="0.82899999999999996"/>
    <s v="Avvy Sra, Karan Aujla, Jaani"/>
    <n v="73"/>
    <s v="Bhangra Bangers"/>
    <s v="White Brown Black"/>
    <d v="2022-12-09T00:00:00"/>
    <n v="0"/>
    <n v="1"/>
    <n v="2.9333333333333331"/>
    <n v="0.28999999999999998"/>
    <x v="26"/>
  </r>
  <r>
    <n v="0.46800000000000003"/>
    <n v="135"/>
    <n v="0.48299999999999998"/>
    <x v="11"/>
    <n v="0.31900000000000001"/>
    <s v="Pritam, Arijit Singh"/>
    <n v="73"/>
    <s v="Bollywood Butter"/>
    <s v="Shayad"/>
    <d v="2020-02-14T00:00:00"/>
    <n v="1"/>
    <n v="8"/>
    <n v="4.1166666666666663"/>
    <n v="0.78400000000000003"/>
    <x v="27"/>
  </r>
  <r>
    <n v="0.879"/>
    <n v="133"/>
    <n v="0.74199999999999999"/>
    <x v="11"/>
    <n v="0.93600000000000005"/>
    <s v="Akon, Hamsika Iyer"/>
    <n v="72"/>
    <s v="Bollywood Workout"/>
    <s v="Chammak Challo"/>
    <d v="2011-09-16T00:00:00"/>
    <n v="0"/>
    <n v="0"/>
    <n v="3.7833333333333332"/>
    <n v="6.9599999999999995E-2"/>
    <x v="28"/>
  </r>
  <r>
    <n v="0.48099999999999998"/>
    <n v="124"/>
    <n v="0.53400000000000003"/>
    <x v="11"/>
    <n v="0.29299999999999998"/>
    <s v="Pritam, Arijit Singh"/>
    <n v="71"/>
    <s v="Bollywood Butter"/>
    <s v="Khairiyat"/>
    <d v="2019-08-31T00:00:00"/>
    <n v="0"/>
    <n v="0"/>
    <n v="4.666666666666667"/>
    <n v="0.69699999999999995"/>
    <x v="27"/>
  </r>
  <r>
    <n v="0.51900000000000002"/>
    <n v="122"/>
    <n v="0.56200000000000006"/>
    <x v="11"/>
    <n v="0.41499999999999998"/>
    <s v="Alka Yagnik, Arijit Singh"/>
    <n v="70"/>
    <s v="Bollywood Butter"/>
    <s v="Agar Tum Saath Ho"/>
    <d v="2015-10-16T00:00:00"/>
    <n v="1"/>
    <n v="3"/>
    <n v="5.6833333333333336"/>
    <n v="0.55700000000000005"/>
    <x v="27"/>
  </r>
  <r>
    <n v="0.82399999999999995"/>
    <n v="172"/>
    <n v="0.77"/>
    <x v="11"/>
    <n v="0.49"/>
    <s v="Badshah, Diljit Dosanjh, Aastha Gill"/>
    <n v="70"/>
    <s v="Bollywood Workout"/>
    <s v="Proper Patola"/>
    <d v="2018-10-03T00:00:00"/>
    <n v="0"/>
    <n v="1"/>
    <n v="2.9666666666666668"/>
    <n v="0.48499999999999999"/>
    <x v="28"/>
  </r>
  <r>
    <n v="0.63"/>
    <n v="810"/>
    <n v="0.72"/>
    <x v="11"/>
    <n v="0.51200000000000001"/>
    <s v="Tanishk Bagchi, Jubin Nautiyal, Asees Kaur"/>
    <n v="70"/>
    <s v="Bollywood Butter"/>
    <s v="Raataan Lambiyan (From &quot;Shershaah&quot;)"/>
    <d v="2021-07-30T00:00:00"/>
    <n v="1"/>
    <n v="10"/>
    <n v="3.8333333333333335"/>
    <n v="0.61499999999999999"/>
    <x v="27"/>
  </r>
  <r>
    <n v="0.61099999999999999"/>
    <n v="100"/>
    <n v="0.85399999999999998"/>
    <x v="11"/>
    <n v="0.41699999999999998"/>
    <s v="AP Dhillon, Gminxr, Gurinder Gill, Shinda Kahlon"/>
    <n v="68"/>
    <s v="Bhangra Bangers"/>
    <s v="Brown Munde"/>
    <d v="2020-09-18T00:00:00"/>
    <n v="0"/>
    <n v="8"/>
    <n v="4.2333333333333334"/>
    <n v="0.223"/>
    <x v="26"/>
  </r>
  <r>
    <n v="0.57299999999999995"/>
    <n v="829"/>
    <n v="0.60299999999999998"/>
    <x v="11"/>
    <n v="0.23599999999999999"/>
    <s v="Jasleen Royal, B Praak, Romy, Anvita Dutt"/>
    <n v="68"/>
    <s v="Bollywood Butter"/>
    <s v="Ranjha (From &quot;Shershaah&quot;)"/>
    <d v="2021-08-05T00:00:00"/>
    <n v="1"/>
    <n v="1"/>
    <n v="3.8"/>
    <n v="0.47799999999999998"/>
    <x v="27"/>
  </r>
  <r>
    <n v="0.873"/>
    <n v="979"/>
    <n v="0.621"/>
    <x v="12"/>
    <n v="0.873"/>
    <s v="Tame Impala"/>
    <n v="79"/>
    <s v="Australian Indie"/>
    <s v="Borderline"/>
    <d v="2020-02-14T00:00:00"/>
    <n v="0"/>
    <n v="5"/>
    <n v="3.95"/>
    <n v="4.0599999999999997E-2"/>
    <x v="29"/>
  </r>
  <r>
    <n v="0.92400000000000004"/>
    <n v="168"/>
    <n v="0.59799999999999998"/>
    <x v="12"/>
    <n v="0.61099999999999999"/>
    <s v="Royel Otis"/>
    <n v="76"/>
    <s v="Australian Indie"/>
    <s v="Oysters In My Pocket"/>
    <d v="2022-03-10T00:00:00"/>
    <n v="0"/>
    <n v="6"/>
    <n v="2.7"/>
    <n v="2.0500000000000001E-2"/>
    <x v="29"/>
  </r>
  <r>
    <n v="0.53300000000000003"/>
    <n v="102"/>
    <n v="0.86299999999999999"/>
    <x v="12"/>
    <n v="0.73799999999999999"/>
    <s v="Parcels"/>
    <n v="71"/>
    <s v="Australian Indie"/>
    <s v="Tieduprightnow"/>
    <d v="2018-04-27T00:00:00"/>
    <n v="0"/>
    <n v="5"/>
    <n v="4.1500000000000004"/>
    <n v="0.29099999999999998"/>
    <x v="29"/>
  </r>
  <r>
    <n v="0.66400000000000003"/>
    <n v="118"/>
    <n v="0.73099999999999998"/>
    <x v="12"/>
    <n v="0.66100000000000003"/>
    <s v="Tame Impala"/>
    <n v="68"/>
    <s v="Australian Indie"/>
    <s v="Is It True"/>
    <d v="2020-02-14T00:00:00"/>
    <n v="1"/>
    <n v="0"/>
    <n v="3.9833333333333334"/>
    <n v="3.0699999999999998E-3"/>
    <x v="29"/>
  </r>
  <r>
    <n v="0.82199999999999995"/>
    <n v="157"/>
    <n v="0.85299999999999998"/>
    <x v="13"/>
    <n v="0.746"/>
    <s v="Creepy Nuts"/>
    <n v="80"/>
    <s v="Anime Hits"/>
    <s v="Bling-Bang-Bang-Born"/>
    <d v="2024-01-07T00:00:00"/>
    <n v="0"/>
    <n v="6"/>
    <n v="2.8"/>
    <n v="8.4099999999999994E-2"/>
    <x v="30"/>
  </r>
  <r>
    <n v="0.79400000000000004"/>
    <n v="149"/>
    <n v="0.53100000000000003"/>
    <x v="13"/>
    <n v="0.77500000000000002"/>
    <s v="Mrs. GREEN APPLE"/>
    <n v="77"/>
    <s v="Anime Hits"/>
    <s v="„É©„Ç§„É©„ÉÉ„ÇØ"/>
    <d v="2024-04-11T00:00:00"/>
    <n v="1"/>
    <n v="10"/>
    <n v="4.8"/>
    <n v="1.7600000000000001E-2"/>
    <x v="30"/>
  </r>
  <r>
    <n v="0.90500000000000003"/>
    <n v="141"/>
    <n v="0.54500000000000004"/>
    <x v="13"/>
    <n v="0.73499999999999999"/>
    <s v="Yuuri"/>
    <n v="73"/>
    <s v="Anime Hits"/>
    <s v="„Ç´„Éº„ÉÜ„É≥„Ç≥„Éº„É´"/>
    <d v="2024-07-19T00:00:00"/>
    <n v="1"/>
    <n v="5"/>
    <n v="4.05"/>
    <n v="0.10299999999999999"/>
    <x v="30"/>
  </r>
  <r>
    <n v="0.94099999999999995"/>
    <n v="101"/>
    <n v="0.57699999999999996"/>
    <x v="13"/>
    <n v="0.29199999999999998"/>
    <s v="Kenshi Yonezu"/>
    <n v="72"/>
    <s v="Anime Hits"/>
    <s v="KICK BACK"/>
    <d v="2022-10-12T00:00:00"/>
    <n v="1"/>
    <n v="1"/>
    <n v="3.2166666666666668"/>
    <n v="2.0699999999999998E-3"/>
    <x v="30"/>
  </r>
  <r>
    <n v="0.93500000000000005"/>
    <n v="166"/>
    <n v="0.57399999999999995"/>
    <x v="13"/>
    <n v="0.83599999999999997"/>
    <s v="YOASOBI"/>
    <n v="72"/>
    <s v="Anime Hits"/>
    <s v="„Ç¢„Ç§„Éâ„É´"/>
    <d v="2023-04-12T00:00:00"/>
    <n v="1"/>
    <n v="1"/>
    <n v="3.55"/>
    <n v="0.112"/>
    <x v="30"/>
  </r>
  <r>
    <n v="0.81100000000000005"/>
    <n v="139"/>
    <n v="0.69299999999999995"/>
    <x v="13"/>
    <n v="0.94399999999999995"/>
    <s v="OneRepublic"/>
    <n v="69"/>
    <s v="Anime Hits"/>
    <s v="Nobody - from Kaiju No. 8"/>
    <d v="2024-04-12T00:00:00"/>
    <n v="1"/>
    <n v="5"/>
    <n v="2.5499999999999998"/>
    <n v="0.39500000000000002"/>
    <x v="30"/>
  </r>
  <r>
    <n v="0.80800000000000005"/>
    <n v="115"/>
    <n v="0.57599999999999996"/>
    <x v="13"/>
    <n v="0.17199999999999999"/>
    <s v="YUNGBLUD"/>
    <n v="68"/>
    <s v="Anime Hits"/>
    <s v="Abyss - from Kaiju No. 8"/>
    <d v="2024-01-19T00:00:00"/>
    <n v="1"/>
    <n v="1"/>
    <n v="2.0499999999999998"/>
    <n v="6.1500000000000001E-3"/>
    <x v="30"/>
  </r>
  <r>
    <n v="0.182"/>
    <n v="136"/>
    <n v="0.34899999999999998"/>
    <x v="14"/>
    <n v="0.17799999999999999"/>
    <s v="Nat King Cole"/>
    <n v="69"/>
    <s v="Jazz Classics"/>
    <s v="Unforgettable"/>
    <d v="1954-01-01T00:00:00"/>
    <n v="1"/>
    <n v="5"/>
    <n v="3.1833333333333331"/>
    <n v="0.92"/>
    <x v="6"/>
  </r>
  <r>
    <n v="0.628"/>
    <n v="140"/>
    <n v="0.66800000000000004"/>
    <x v="15"/>
    <n v="0.56799999999999995"/>
    <s v="LISA"/>
    <n v="83"/>
    <s v="K-Pop Daebak"/>
    <s v="Rockstar"/>
    <d v="2024-06-27T00:00:00"/>
    <n v="1"/>
    <n v="8"/>
    <n v="2.2999999999999998"/>
    <n v="0.129"/>
    <x v="5"/>
  </r>
  <r>
    <n v="0.872"/>
    <n v="131"/>
    <n v="0.64400000000000002"/>
    <x v="15"/>
    <n v="0.378"/>
    <s v="aespa"/>
    <n v="78"/>
    <s v="K-Pop Daebak"/>
    <s v="Drama"/>
    <d v="2023-11-10T00:00:00"/>
    <n v="0"/>
    <n v="6"/>
    <n v="3.5666666666666669"/>
    <n v="0.16400000000000001"/>
    <x v="5"/>
  </r>
  <r>
    <n v="0.72799999999999998"/>
    <n v="140"/>
    <n v="0.77400000000000002"/>
    <x v="15"/>
    <n v="0.46100000000000002"/>
    <s v="BABYMONSTER"/>
    <n v="78"/>
    <s v="K-Pop Daebak"/>
    <s v="SHEESH"/>
    <d v="2024-04-01T00:00:00"/>
    <n v="1"/>
    <n v="2"/>
    <n v="2.8333333333333335"/>
    <n v="0.113"/>
    <x v="5"/>
  </r>
  <r>
    <n v="0.89500000000000002"/>
    <n v="124"/>
    <n v="0.80300000000000005"/>
    <x v="15"/>
    <n v="0.75700000000000001"/>
    <s v="NewJeans"/>
    <n v="78"/>
    <s v="K-Pop Daebak"/>
    <s v="How Sweet"/>
    <d v="2024-05-24T00:00:00"/>
    <n v="1"/>
    <n v="1"/>
    <n v="3.65"/>
    <n v="8.1600000000000006E-2"/>
    <x v="5"/>
  </r>
  <r>
    <n v="0.78200000000000003"/>
    <n v="108"/>
    <n v="0.875"/>
    <x v="15"/>
    <n v="0.90600000000000003"/>
    <s v="ZICO, JENNIE"/>
    <n v="78"/>
    <s v="K-Pop Daebak"/>
    <s v="SPOT!"/>
    <d v="2024-04-26T00:00:00"/>
    <n v="0"/>
    <n v="5"/>
    <n v="2.7833333333333332"/>
    <n v="0.151"/>
    <x v="5"/>
  </r>
  <r>
    <n v="0.5"/>
    <n v="101"/>
    <n v="0.871"/>
    <x v="15"/>
    <n v="0.76"/>
    <s v="BABYMONSTER"/>
    <n v="75"/>
    <s v="K-Pop Daebak"/>
    <s v="LIKE THAT"/>
    <d v="2024-04-01T00:00:00"/>
    <n v="0"/>
    <n v="11"/>
    <n v="2.8"/>
    <n v="0.32"/>
    <x v="5"/>
  </r>
  <r>
    <n v="0.78600000000000003"/>
    <n v="919"/>
    <n v="0.69499999999999995"/>
    <x v="15"/>
    <n v="0.46500000000000002"/>
    <s v="aespa"/>
    <n v="74"/>
    <s v="K-Pop Daebak"/>
    <s v="Armageddon"/>
    <d v="2024-05-27T00:00:00"/>
    <n v="1"/>
    <n v="9"/>
    <n v="3.2666666666666666"/>
    <n v="6.6799999999999998E-2"/>
    <x v="5"/>
  </r>
  <r>
    <n v="0.92600000000000005"/>
    <n v="105"/>
    <n v="0.68200000000000005"/>
    <x v="15"/>
    <n v="0.86"/>
    <s v="NAYEON"/>
    <n v="73"/>
    <s v="K-Pop Daebak"/>
    <s v="ABCD"/>
    <d v="2024-06-14T00:00:00"/>
    <n v="0"/>
    <n v="3"/>
    <n v="2.7"/>
    <n v="4.0399999999999998E-2"/>
    <x v="5"/>
  </r>
  <r>
    <n v="0.747"/>
    <n v="120"/>
    <n v="0.745"/>
    <x v="15"/>
    <n v="0.36299999999999999"/>
    <s v="aespa"/>
    <n v="72"/>
    <s v="K-Pop Daebak"/>
    <s v="Supernova"/>
    <d v="2024-05-27T00:00:00"/>
    <n v="0"/>
    <n v="11"/>
    <n v="2.9666666666666668"/>
    <n v="7.3000000000000001E-3"/>
    <x v="5"/>
  </r>
  <r>
    <n v="0.59699999999999998"/>
    <n v="170"/>
    <n v="0.77"/>
    <x v="15"/>
    <n v="0.875"/>
    <s v="Lee Young Ji, D.O."/>
    <n v="72"/>
    <s v="K-Pop Daebak"/>
    <s v="Small girl (feat. D.O.)"/>
    <d v="2024-06-21T00:00:00"/>
    <n v="1"/>
    <n v="1"/>
    <n v="3.15"/>
    <n v="0.53"/>
    <x v="5"/>
  </r>
  <r>
    <n v="0.77400000000000002"/>
    <n v="109"/>
    <n v="0.80100000000000005"/>
    <x v="15"/>
    <n v="0.38300000000000001"/>
    <s v="NCT DREAM"/>
    <n v="69"/>
    <s v="K-Pop Daebak"/>
    <s v="Smoothie"/>
    <d v="2024-03-25T00:00:00"/>
    <n v="1"/>
    <n v="1"/>
    <n v="3.1333333333333333"/>
    <n v="8.7100000000000007E-3"/>
    <x v="5"/>
  </r>
  <r>
    <n v="0.55100000000000005"/>
    <n v="113"/>
    <n v="0.748"/>
    <x v="16"/>
    <n v="0.65"/>
    <s v="Stevie Wonder"/>
    <n v="74"/>
    <s v="K-Drama OSTs"/>
    <s v="I Just Called To Say I Love You"/>
    <d v="1999-11-23T00:00:00"/>
    <n v="1"/>
    <n v="1"/>
    <n v="4.3666666666666663"/>
    <n v="0.24299999999999999"/>
    <x v="31"/>
  </r>
  <r>
    <n v="0.61399999999999999"/>
    <n v="136"/>
    <n v="0.55300000000000005"/>
    <x v="16"/>
    <n v="0.34499999999999997"/>
    <s v="George Benson"/>
    <n v="71"/>
    <s v="K-Drama OSTs"/>
    <s v="Nothing's Gonna Change My Love for You"/>
    <d v="1985-01-15T00:00:00"/>
    <n v="1"/>
    <n v="1"/>
    <n v="4.0333333333333332"/>
    <n v="0.76400000000000001"/>
    <x v="31"/>
  </r>
  <r>
    <n v="0.50600000000000001"/>
    <n v="133"/>
    <n v="0.46899999999999997"/>
    <x v="16"/>
    <n v="0.217"/>
    <s v="ECLIPSE"/>
    <n v="70"/>
    <s v="K-Drama OSTs"/>
    <s v="Sudden Shower"/>
    <d v="2024-04-08T00:00:00"/>
    <n v="1"/>
    <n v="0"/>
    <n v="3.8833333333333333"/>
    <n v="0.58699999999999997"/>
    <x v="31"/>
  </r>
  <r>
    <n v="0.52600000000000002"/>
    <n v="124"/>
    <n v="0.55800000000000005"/>
    <x v="16"/>
    <n v="0.20200000000000001"/>
    <s v="CHANYEOL, Punch"/>
    <n v="69"/>
    <s v="K-Drama OSTs"/>
    <s v="Stay With Me"/>
    <d v="2016-12-03T00:00:00"/>
    <n v="0"/>
    <n v="0"/>
    <n v="3.2"/>
    <n v="0.43099999999999999"/>
    <x v="31"/>
  </r>
  <r>
    <n v="0.32600000000000001"/>
    <n v="134"/>
    <n v="0.46"/>
    <x v="16"/>
    <n v="0.214"/>
    <s v="Crush"/>
    <n v="69"/>
    <s v="K-Drama OSTs"/>
    <s v="Love You With All My Heart"/>
    <d v="2024-03-24T00:00:00"/>
    <n v="1"/>
    <n v="4"/>
    <n v="4.0666666666666664"/>
    <n v="0.76300000000000001"/>
    <x v="31"/>
  </r>
  <r>
    <n v="0.38400000000000001"/>
    <n v="139"/>
    <n v="0.437"/>
    <x v="16"/>
    <n v="0.18099999999999999"/>
    <s v="V"/>
    <n v="69"/>
    <s v="K-Drama OSTs"/>
    <s v="Christmas Tree"/>
    <d v="2021-12-24T00:00:00"/>
    <n v="1"/>
    <n v="5"/>
    <n v="3.4833333333333334"/>
    <n v="0.69899999999999995"/>
    <x v="31"/>
  </r>
  <r>
    <n v="0.55700000000000005"/>
    <n v="114"/>
    <n v="0.81499999999999995"/>
    <x v="16"/>
    <n v="0.48199999999999998"/>
    <s v="YEONJUN"/>
    <n v="69"/>
    <s v="K-Drama OSTs"/>
    <s v="Boyfriend"/>
    <d v="2024-09-01T00:00:00"/>
    <n v="1"/>
    <n v="5"/>
    <n v="3.3666666666666667"/>
    <n v="0.109"/>
    <x v="31"/>
  </r>
  <r>
    <n v="0.76"/>
    <n v="130"/>
    <n v="0.51200000000000001"/>
    <x v="16"/>
    <n v="0.495"/>
    <s v="Jung Kook"/>
    <n v="68"/>
    <s v="K-Drama OSTs"/>
    <s v="Stay Alive (Prod. SUGA of BTS)"/>
    <d v="2022-02-11T00:00:00"/>
    <n v="0"/>
    <n v="2"/>
    <n v="3.5"/>
    <n v="0.29899999999999999"/>
    <x v="31"/>
  </r>
  <r>
    <n v="0.66800000000000004"/>
    <n v="128"/>
    <n v="0.92400000000000004"/>
    <x v="17"/>
    <n v="0.78700000000000003"/>
    <s v="KAROL G"/>
    <n v="93"/>
    <s v="Viva Latino"/>
    <s v="Si Antes Te Hubiera Conocido"/>
    <d v="2024-06-21T00:00:00"/>
    <n v="1"/>
    <n v="11"/>
    <n v="3.25"/>
    <n v="0.44600000000000001"/>
    <x v="5"/>
  </r>
  <r>
    <n v="0.66800000000000004"/>
    <n v="128"/>
    <n v="0.92400000000000004"/>
    <x v="17"/>
    <n v="0.78700000000000003"/>
    <s v="KAROL G"/>
    <n v="93"/>
    <s v="Reggaeton Hits"/>
    <s v="Si Antes Te Hubiera Conocido"/>
    <d v="2024-06-21T00:00:00"/>
    <n v="1"/>
    <n v="11"/>
    <n v="3.25"/>
    <n v="0.44600000000000001"/>
    <x v="32"/>
  </r>
  <r>
    <n v="0.65100000000000002"/>
    <n v="112"/>
    <n v="0.69399999999999995"/>
    <x v="17"/>
    <n v="0.47099999999999997"/>
    <s v="Oscar Maydon, Fuerza Regida"/>
    <n v="93"/>
    <s v="Viva Latino"/>
    <s v="Tu Boda"/>
    <d v="2024-09-26T00:00:00"/>
    <n v="1"/>
    <n v="6"/>
    <n v="3.75"/>
    <n v="0.496"/>
    <x v="5"/>
  </r>
  <r>
    <n v="0.68100000000000005"/>
    <n v="155"/>
    <n v="0.56000000000000005"/>
    <x v="17"/>
    <n v="0.38800000000000001"/>
    <s v="Omar Courtz, De La Rose"/>
    <n v="89"/>
    <s v="Viva Latino"/>
    <s v="Q U E V A S H A C E R H O Y ?"/>
    <d v="2024-09-20T00:00:00"/>
    <n v="0"/>
    <n v="6"/>
    <n v="3.7166666666666668"/>
    <n v="0.10299999999999999"/>
    <x v="5"/>
  </r>
  <r>
    <n v="0.68899999999999995"/>
    <n v="120"/>
    <n v="0.72399999999999998"/>
    <x v="17"/>
    <n v="0.93600000000000005"/>
    <s v="Tito Double P"/>
    <n v="89"/>
    <s v="Viva Latino"/>
    <s v="EL LOKERON"/>
    <d v="2024-08-22T00:00:00"/>
    <n v="0"/>
    <n v="7"/>
    <n v="2.4333333333333331"/>
    <n v="0.57299999999999995"/>
    <x v="5"/>
  </r>
  <r>
    <n v="0.86"/>
    <n v="100"/>
    <n v="0.77400000000000002"/>
    <x v="17"/>
    <n v="0.44600000000000001"/>
    <s v="Feid, ATL Jacob"/>
    <n v="88"/>
    <s v="Reggaeton Hits"/>
    <s v="LUNA"/>
    <d v="2023-12-01T00:00:00"/>
    <n v="0"/>
    <n v="7"/>
    <n v="3.2666666666666666"/>
    <n v="0.13100000000000001"/>
    <x v="32"/>
  </r>
  <r>
    <n v="0.48199999999999998"/>
    <n v="100"/>
    <n v="0.69"/>
    <x v="17"/>
    <n v="0.35599999999999998"/>
    <s v="Fuerza Regida"/>
    <n v="88"/>
    <s v="Viva Latino"/>
    <s v="NEL"/>
    <d v="2024-07-25T00:00:00"/>
    <n v="0"/>
    <n v="7"/>
    <n v="2.4833333333333334"/>
    <n v="0.52300000000000002"/>
    <x v="5"/>
  </r>
  <r>
    <n v="0.48199999999999998"/>
    <n v="100"/>
    <n v="0.69"/>
    <x v="17"/>
    <n v="0.35599999999999998"/>
    <s v="Fuerza Regida"/>
    <n v="88"/>
    <s v="Reggaeton Hits"/>
    <s v="NEL"/>
    <d v="2024-07-25T00:00:00"/>
    <n v="0"/>
    <n v="7"/>
    <n v="2.4833333333333334"/>
    <n v="0.52300000000000002"/>
    <x v="32"/>
  </r>
  <r>
    <n v="0.51300000000000001"/>
    <n v="109"/>
    <n v="0.745"/>
    <x v="17"/>
    <n v="0.92900000000000005"/>
    <s v="Tito Double P, Peso Pluma"/>
    <n v="88"/>
    <s v="Viva Latino"/>
    <s v="DOS D√çAS"/>
    <d v="2024-08-22T00:00:00"/>
    <n v="1"/>
    <n v="1"/>
    <n v="2.5666666666666669"/>
    <n v="0.78300000000000003"/>
    <x v="5"/>
  </r>
  <r>
    <n v="0.499"/>
    <n v="999"/>
    <n v="0.79100000000000004"/>
    <x v="17"/>
    <n v="0.66900000000000004"/>
    <s v="FloyyMenor, Cris Mj"/>
    <n v="87"/>
    <s v="Reggaeton Hits"/>
    <s v="Gata Only"/>
    <d v="2024-02-02T00:00:00"/>
    <n v="0"/>
    <n v="8"/>
    <n v="3.7"/>
    <n v="0.44600000000000001"/>
    <x v="32"/>
  </r>
  <r>
    <n v="0.58099999999999996"/>
    <n v="999"/>
    <n v="0.80500000000000005"/>
    <x v="17"/>
    <n v="0.52800000000000002"/>
    <s v="Cris Mj, FloyyMenor, LOUKI"/>
    <n v="86"/>
    <s v="Viva Latino"/>
    <s v="Despu√©s De La 1"/>
    <d v="2024-09-12T00:00:00"/>
    <n v="0"/>
    <n v="6"/>
    <n v="2.95"/>
    <n v="3.0300000000000001E-2"/>
    <x v="5"/>
  </r>
  <r>
    <n v="0.78300000000000003"/>
    <n v="103"/>
    <n v="0.70499999999999996"/>
    <x v="17"/>
    <n v="0.45400000000000001"/>
    <s v="Kapo"/>
    <n v="86"/>
    <s v="Viva Latino"/>
    <s v="UWAIE"/>
    <d v="2024-08-15T00:00:00"/>
    <n v="0"/>
    <n v="9"/>
    <n v="2.8666666666666667"/>
    <n v="0.13800000000000001"/>
    <x v="5"/>
  </r>
  <r>
    <n v="0.752"/>
    <n v="100"/>
    <n v="0.84099999999999997"/>
    <x v="17"/>
    <n v="0.67"/>
    <s v="Shakira"/>
    <n v="86"/>
    <s v="Viva Latino"/>
    <s v="Soltera"/>
    <d v="2024-09-25T00:00:00"/>
    <n v="1"/>
    <n v="2"/>
    <n v="3.5666666666666669"/>
    <n v="0.16700000000000001"/>
    <x v="5"/>
  </r>
  <r>
    <n v="0.626"/>
    <n v="100"/>
    <n v="0.76300000000000001"/>
    <x v="17"/>
    <n v="0.78"/>
    <s v="Cris Mj"/>
    <n v="85"/>
    <s v="Reggaeton Hits"/>
    <s v="SI NO ES CONTIGO"/>
    <d v="2024-05-23T00:00:00"/>
    <n v="0"/>
    <n v="5"/>
    <n v="2.6"/>
    <n v="8.5900000000000004E-2"/>
    <x v="32"/>
  </r>
  <r>
    <n v="0.35599999999999998"/>
    <n v="169"/>
    <n v="0.52900000000000003"/>
    <x v="17"/>
    <n v="0.65900000000000003"/>
    <s v="Julii≥n iÅlvarez y su Nortei±o Banda"/>
    <n v="85"/>
    <s v="Viva Latino"/>
    <s v="Rey Sin Reina"/>
    <d v="2024-09-05T00:00:00"/>
    <n v="1"/>
    <n v="3"/>
    <n v="2.5"/>
    <n v="0.28999999999999998"/>
    <x v="5"/>
  </r>
  <r>
    <n v="0.76400000000000001"/>
    <n v="148"/>
    <n v="0.66600000000000004"/>
    <x v="17"/>
    <n v="0.72899999999999998"/>
    <s v="Tito Double P, Grupo Frontera"/>
    <n v="85"/>
    <s v="Viva Latino"/>
    <s v="AY MAM√Å"/>
    <d v="2024-08-22T00:00:00"/>
    <n v="0"/>
    <n v="4"/>
    <n v="2.7166666666666668"/>
    <n v="0.36599999999999999"/>
    <x v="5"/>
  </r>
  <r>
    <n v="0.77800000000000002"/>
    <n v="960"/>
    <n v="0.91100000000000003"/>
    <x v="17"/>
    <n v="0.34499999999999997"/>
    <s v="Bad Bunny, Feid"/>
    <n v="84"/>
    <s v="Chill Spanish Vibes"/>
    <s v="PERRO NEGRO"/>
    <d v="2023-10-13T00:00:00"/>
    <n v="1"/>
    <n v="5"/>
    <n v="2.7"/>
    <n v="8.8700000000000001E-2"/>
    <x v="4"/>
  </r>
  <r>
    <n v="0.77800000000000002"/>
    <n v="960"/>
    <n v="0.91100000000000003"/>
    <x v="17"/>
    <n v="0.34499999999999997"/>
    <s v="Bad Bunny, Feid"/>
    <n v="84"/>
    <s v="Reggaeton Hits"/>
    <s v="PERRO NEGRO"/>
    <d v="2023-10-13T00:00:00"/>
    <n v="1"/>
    <n v="5"/>
    <n v="2.7"/>
    <n v="8.8700000000000001E-2"/>
    <x v="32"/>
  </r>
  <r>
    <n v="0.53600000000000003"/>
    <n v="975"/>
    <n v="0.71599999999999997"/>
    <x v="17"/>
    <n v="0.35899999999999999"/>
    <s v="Junior H"/>
    <n v="84"/>
    <s v="Viva Latino"/>
    <s v="PI√âNSALO"/>
    <d v="2023-10-05T00:00:00"/>
    <n v="0"/>
    <n v="2"/>
    <n v="4"/>
    <n v="0.45200000000000001"/>
    <x v="5"/>
  </r>
  <r>
    <n v="0.71199999999999997"/>
    <n v="919"/>
    <n v="0.84799999999999998"/>
    <x v="17"/>
    <n v="0.69199999999999995"/>
    <s v="KAROL G, Feid, DFZM, Ovy On The Drums, J Balvin, Maluma, Ryan Castro, Blessd"/>
    <n v="84"/>
    <s v="Viva Latino"/>
    <n v="57"/>
    <d v="2024-11-08T00:00:00"/>
    <n v="0"/>
    <n v="1"/>
    <n v="4.9666666666666668"/>
    <n v="0.221"/>
    <x v="5"/>
  </r>
  <r>
    <n v="0.71199999999999997"/>
    <n v="919"/>
    <n v="0.84799999999999998"/>
    <x v="17"/>
    <n v="0.69199999999999995"/>
    <s v="KAROL G, Feid, DFZM, Ovy On The Drums, J Balvin, Maluma, Ryan Castro, Blessd"/>
    <n v="84"/>
    <s v="Reggaeton Hits"/>
    <n v="57"/>
    <d v="2024-11-08T00:00:00"/>
    <n v="0"/>
    <n v="1"/>
    <n v="4.9666666666666668"/>
    <n v="0.221"/>
    <x v="32"/>
  </r>
  <r>
    <n v="0.70699999999999996"/>
    <n v="820"/>
    <n v="0.78600000000000003"/>
    <x v="17"/>
    <n v="0.69099999999999995"/>
    <s v="Maisak, Feid"/>
    <n v="84"/>
    <s v="Viva Latino"/>
    <s v="SE ME OLVIDA"/>
    <d v="2024-08-23T00:00:00"/>
    <n v="0"/>
    <n v="7"/>
    <n v="3.75"/>
    <n v="3.9899999999999998E-2"/>
    <x v="5"/>
  </r>
  <r>
    <n v="0.51900000000000002"/>
    <n v="100"/>
    <n v="0.76300000000000001"/>
    <x v="17"/>
    <n v="0.80400000000000005"/>
    <s v="FloyyMenor"/>
    <n v="83"/>
    <s v="Reggaeton Hits"/>
    <s v="PELIGROSA"/>
    <d v="2024-08-09T00:00:00"/>
    <n v="0"/>
    <n v="6"/>
    <n v="2.2333333333333334"/>
    <n v="0.22"/>
    <x v="32"/>
  </r>
  <r>
    <n v="0.73799999999999999"/>
    <n v="169"/>
    <n v="0.84099999999999997"/>
    <x v="17"/>
    <n v="0.48399999999999999"/>
    <s v="KAROL G, Peso Pluma"/>
    <n v="83"/>
    <s v="Reggaeton Hits"/>
    <s v="QLONA"/>
    <d v="2023-08-10T00:00:00"/>
    <n v="0"/>
    <n v="7"/>
    <n v="2.8666666666666667"/>
    <n v="0.52"/>
    <x v="32"/>
  </r>
  <r>
    <n v="0.58299999999999996"/>
    <n v="115"/>
    <n v="0.66900000000000004"/>
    <x v="17"/>
    <n v="0.27100000000000002"/>
    <s v="Victor Mendivil, Oscar Maydon"/>
    <n v="83"/>
    <s v="Reggaeton Hits"/>
    <s v="Mejores Jordans"/>
    <d v="2024-07-30T00:00:00"/>
    <n v="1"/>
    <n v="1"/>
    <n v="3.9"/>
    <n v="0.60299999999999998"/>
    <x v="32"/>
  </r>
  <r>
    <n v="0.72399999999999998"/>
    <n v="101"/>
    <n v="0.55600000000000005"/>
    <x v="17"/>
    <n v="0.68100000000000005"/>
    <s v="Duki, Myke Towers"/>
    <n v="82"/>
    <s v="Viva Latino"/>
    <s v="Nueva Era"/>
    <d v="2024-10-31T00:00:00"/>
    <n v="1"/>
    <n v="0"/>
    <n v="4.0999999999999996"/>
    <n v="0.26700000000000002"/>
    <x v="5"/>
  </r>
  <r>
    <n v="0.64200000000000002"/>
    <n v="833"/>
    <n v="0.46300000000000002"/>
    <x v="17"/>
    <n v="0.33900000000000002"/>
    <s v="Future, Drake, Tems"/>
    <n v="82"/>
    <s v="Afro-Latin Party"/>
    <s v="WAIT FOR U (feat. Drake &amp; Tems)"/>
    <d v="2022-04-29T00:00:00"/>
    <n v="1"/>
    <n v="1"/>
    <n v="3.15"/>
    <n v="0.314"/>
    <x v="33"/>
  </r>
  <r>
    <n v="0.83199999999999996"/>
    <n v="985"/>
    <n v="0.74199999999999999"/>
    <x v="17"/>
    <n v="0.71599999999999997"/>
    <s v="Grupo Frontera"/>
    <n v="82"/>
    <s v="Viva Latino"/>
    <s v="Hecha Pa' M√≠"/>
    <d v="2024-10-03T00:00:00"/>
    <n v="1"/>
    <n v="8"/>
    <n v="3.25"/>
    <n v="8.5699999999999998E-2"/>
    <x v="5"/>
  </r>
  <r>
    <n v="0.64600000000000002"/>
    <n v="176"/>
    <n v="0.75600000000000001"/>
    <x v="17"/>
    <n v="0.42899999999999999"/>
    <s v="J Balvin, Bad Bunny"/>
    <n v="82"/>
    <s v="Reggaeton Hits"/>
    <s v="LA CANCI√ìN"/>
    <d v="2019-06-28T00:00:00"/>
    <n v="1"/>
    <n v="7"/>
    <n v="4.0333333333333332"/>
    <n v="0.152"/>
    <x v="32"/>
  </r>
  <r>
    <n v="0.70099999999999996"/>
    <n v="175"/>
    <n v="0.73"/>
    <x v="17"/>
    <n v="0.78500000000000003"/>
    <s v="Maluma"/>
    <n v="82"/>
    <s v="Reggaeton Hits"/>
    <s v="Borro Cassette"/>
    <d v="2015-10-30T00:00:00"/>
    <n v="0"/>
    <n v="5"/>
    <n v="3.45"/>
    <n v="0.13200000000000001"/>
    <x v="32"/>
  </r>
  <r>
    <n v="0.73699999999999999"/>
    <n v="919"/>
    <n v="0.70799999999999996"/>
    <x v="17"/>
    <n v="0.60699999999999998"/>
    <s v="Myke Towers"/>
    <n v="82"/>
    <s v="Reggaeton Hits"/>
    <s v="LALA"/>
    <d v="2023-03-23T00:00:00"/>
    <n v="1"/>
    <n v="1"/>
    <n v="3.2833333333333332"/>
    <n v="7.3899999999999993E-2"/>
    <x v="32"/>
  </r>
  <r>
    <n v="0.56299999999999994"/>
    <n v="105"/>
    <n v="0.83299999999999996"/>
    <x v="17"/>
    <n v="0.34300000000000003"/>
    <s v="Rauw Alejandro, Bad Bunny"/>
    <n v="82"/>
    <s v="Viva Latino"/>
    <s v="Qu√© Pasar√≠a..."/>
    <d v="2024-11-15T00:00:00"/>
    <n v="0"/>
    <n v="4"/>
    <n v="3.0333333333333332"/>
    <n v="0.52800000000000002"/>
    <x v="5"/>
  </r>
  <r>
    <n v="0.57799999999999996"/>
    <n v="199"/>
    <n v="0.73399999999999999"/>
    <x v="17"/>
    <n v="0.88"/>
    <s v="W Sound, Blessd, Ovy On The Drums"/>
    <n v="82"/>
    <s v="Viva Latino"/>
    <s v="Soltera - W Sound 01"/>
    <d v="2024-08-06T00:00:00"/>
    <n v="1"/>
    <n v="1"/>
    <n v="2.3666666666666667"/>
    <n v="0.155"/>
    <x v="5"/>
  </r>
  <r>
    <n v="0.71199999999999997"/>
    <n v="920"/>
    <n v="0.91100000000000003"/>
    <x v="17"/>
    <n v="0.42499999999999999"/>
    <s v="Bad Bunny, Chencho Corleone"/>
    <n v="81"/>
    <s v="Reggaeton Hits"/>
    <s v="Me Porto Bonito"/>
    <d v="2022-05-06T00:00:00"/>
    <n v="0"/>
    <n v="1"/>
    <n v="2.9666666666666668"/>
    <n v="9.01E-2"/>
    <x v="32"/>
  </r>
  <r>
    <n v="0.83399999999999996"/>
    <n v="139"/>
    <n v="0.78300000000000003"/>
    <x v="17"/>
    <n v="0.92"/>
    <s v="Clave Especial, Luis R Conriquez"/>
    <n v="81"/>
    <s v="Viva Latino"/>
    <s v="No Son Doritos"/>
    <d v="2024-08-23T00:00:00"/>
    <n v="0"/>
    <n v="3"/>
    <n v="2.6666666666666665"/>
    <n v="0.53900000000000003"/>
    <x v="5"/>
  </r>
  <r>
    <n v="0.442"/>
    <n v="100"/>
    <n v="0.77600000000000002"/>
    <x v="17"/>
    <n v="0.83799999999999997"/>
    <s v="FloyyMenor"/>
    <n v="81"/>
    <s v="Viva Latino"/>
    <s v="PELIGROSA"/>
    <d v="2024-07-12T00:00:00"/>
    <n v="0"/>
    <n v="6"/>
    <n v="2.2666666666666666"/>
    <n v="0.31900000000000001"/>
    <x v="5"/>
  </r>
  <r>
    <n v="0.52400000000000002"/>
    <n v="839"/>
    <n v="0.65300000000000002"/>
    <x v="17"/>
    <n v="0.55300000000000005"/>
    <s v="Kali Uchis"/>
    <n v="81"/>
    <s v="Chill Spanish Vibes"/>
    <s v="telepat√≠a"/>
    <d v="2020-12-04T00:00:00"/>
    <n v="0"/>
    <n v="11"/>
    <n v="2.6666666666666665"/>
    <n v="0.112"/>
    <x v="4"/>
  </r>
  <r>
    <n v="0.79500000000000004"/>
    <n v="949"/>
    <n v="0.84499999999999997"/>
    <x v="17"/>
    <n v="0.68100000000000005"/>
    <s v="Rauw Alejandro"/>
    <n v="81"/>
    <s v="Reggaeton Hits"/>
    <s v="DILUVIO"/>
    <d v="2023-07-07T00:00:00"/>
    <n v="0"/>
    <n v="9"/>
    <n v="3.2833333333333332"/>
    <n v="0.34300000000000003"/>
    <x v="32"/>
  </r>
  <r>
    <n v="0.68600000000000005"/>
    <n v="799"/>
    <n v="0.64700000000000002"/>
    <x v="17"/>
    <n v="0.26800000000000002"/>
    <s v="Bad Bunny, Bomba Estereo"/>
    <n v="80"/>
    <s v="Chill Spanish Vibes"/>
    <s v="Ojitos Lindos"/>
    <d v="2022-05-06T00:00:00"/>
    <n v="0"/>
    <n v="3"/>
    <n v="4.3"/>
    <n v="0.08"/>
    <x v="4"/>
  </r>
  <r>
    <n v="0.78200000000000003"/>
    <n v="128"/>
    <n v="0.621"/>
    <x v="17"/>
    <n v="0.55000000000000004"/>
    <s v="Bizarrap, Quevedo"/>
    <n v="80"/>
    <s v="Chill Spanish Vibes"/>
    <s v="Quevedo: Bzrp Music Sessions, Vol. 52"/>
    <d v="2022-07-06T00:00:00"/>
    <n v="1"/>
    <n v="2"/>
    <n v="3.3"/>
    <n v="1.2500000000000001E-2"/>
    <x v="4"/>
  </r>
  <r>
    <n v="0.63100000000000001"/>
    <n v="111"/>
    <n v="0.70599999999999996"/>
    <x v="17"/>
    <n v="0.28899999999999998"/>
    <s v="Clarent, Mora"/>
    <n v="80"/>
    <s v="Viva Latino"/>
    <s v="IA"/>
    <d v="2024-10-17T00:00:00"/>
    <n v="0"/>
    <n v="0"/>
    <n v="2.85"/>
    <n v="0.65600000000000003"/>
    <x v="5"/>
  </r>
  <r>
    <n v="0.46400000000000002"/>
    <n v="795"/>
    <n v="0.373"/>
    <x v="17"/>
    <n v="0.30099999999999999"/>
    <s v="HUMBE"/>
    <n v="80"/>
    <s v="Viva Latino"/>
    <s v="KINTSUGI"/>
    <d v="2024-09-26T00:00:00"/>
    <n v="0"/>
    <n v="4"/>
    <n v="3.95"/>
    <n v="0.86"/>
    <x v="5"/>
  </r>
  <r>
    <n v="0.42099999999999999"/>
    <n v="982"/>
    <n v="0.53700000000000003"/>
    <x v="17"/>
    <n v="0.52400000000000002"/>
    <s v="ii±igo quintero"/>
    <n v="80"/>
    <s v="Chill Spanish Vibes"/>
    <s v="Si No Est√°s"/>
    <d v="2022-09-23T00:00:00"/>
    <n v="1"/>
    <n v="5"/>
    <n v="3.0666666666666669"/>
    <n v="0.82699999999999996"/>
    <x v="4"/>
  </r>
  <r>
    <n v="0.47499999999999998"/>
    <n v="980"/>
    <n v="0.80100000000000005"/>
    <x v="17"/>
    <n v="0.23400000000000001"/>
    <s v="Bad Bunny"/>
    <n v="79"/>
    <s v="Reggaeton Hits"/>
    <s v="Efecto"/>
    <d v="2022-05-06T00:00:00"/>
    <n v="0"/>
    <n v="7"/>
    <n v="3.55"/>
    <n v="0.14099999999999999"/>
    <x v="32"/>
  </r>
  <r>
    <n v="0.71499999999999997"/>
    <n v="106"/>
    <n v="0.65"/>
    <x v="17"/>
    <n v="0.187"/>
    <s v="Bad Bunny"/>
    <n v="79"/>
    <s v="Reggaeton Hits"/>
    <s v="Tit√≠ Me Pregunt√≥"/>
    <d v="2022-05-06T00:00:00"/>
    <n v="0"/>
    <n v="5"/>
    <n v="4.05"/>
    <n v="9.9299999999999999E-2"/>
    <x v="32"/>
  </r>
  <r>
    <n v="0.67400000000000004"/>
    <n v="999"/>
    <n v="0.80400000000000005"/>
    <x v="17"/>
    <n v="0.29199999999999998"/>
    <s v="Bad Bunny"/>
    <n v="79"/>
    <s v="Reggaeton Hits"/>
    <s v="Moscow Mule"/>
    <d v="2022-05-06T00:00:00"/>
    <n v="0"/>
    <n v="5"/>
    <n v="4.083333333333333"/>
    <n v="0.29399999999999998"/>
    <x v="32"/>
  </r>
  <r>
    <n v="0.68200000000000005"/>
    <n v="100"/>
    <n v="0.75"/>
    <x v="17"/>
    <n v="0.61799999999999999"/>
    <s v="Beiele"/>
    <n v="79"/>
    <s v="Viva Latino"/>
    <s v="Frente al Mar"/>
    <d v="2024-09-26T00:00:00"/>
    <n v="1"/>
    <n v="10"/>
    <n v="2.75"/>
    <n v="0.16800000000000001"/>
    <x v="5"/>
  </r>
  <r>
    <n v="0.61399999999999999"/>
    <n v="119"/>
    <n v="0.65800000000000003"/>
    <x v="17"/>
    <n v="0.46500000000000002"/>
    <s v="Chino Pacas"/>
    <n v="79"/>
    <s v="Viva Latino"/>
    <s v="Morena Canela"/>
    <d v="2024-10-18T00:00:00"/>
    <n v="1"/>
    <n v="10"/>
    <n v="2.9666666666666668"/>
    <n v="0.105"/>
    <x v="5"/>
  </r>
  <r>
    <n v="0.66500000000000004"/>
    <n v="100"/>
    <n v="0.85799999999999998"/>
    <x v="17"/>
    <n v="0.65900000000000003"/>
    <s v="Feid, Young Miko"/>
    <n v="79"/>
    <s v="Chill Spanish Vibes"/>
    <s v="CLASSY 101"/>
    <d v="2023-12-01T00:00:00"/>
    <n v="1"/>
    <n v="11"/>
    <n v="3.25"/>
    <n v="0.126"/>
    <x v="4"/>
  </r>
  <r>
    <n v="0.66500000000000004"/>
    <n v="100"/>
    <n v="0.85799999999999998"/>
    <x v="17"/>
    <n v="0.65900000000000003"/>
    <s v="Feid, Young Miko"/>
    <n v="79"/>
    <s v="Reggaeton Hits"/>
    <s v="CLASSY 101"/>
    <d v="2023-12-01T00:00:00"/>
    <n v="1"/>
    <n v="11"/>
    <n v="3.25"/>
    <n v="0.126"/>
    <x v="32"/>
  </r>
  <r>
    <n v="0.70899999999999996"/>
    <n v="194"/>
    <n v="0.74399999999999999"/>
    <x v="17"/>
    <n v="0.71199999999999997"/>
    <s v="Myke Towers, benny blanco"/>
    <n v="79"/>
    <s v="Viva Latino"/>
    <s v="DEGENERE üëë (feat. benny blanco)"/>
    <d v="2024-10-16T00:00:00"/>
    <n v="0"/>
    <n v="6"/>
    <n v="2.1666666666666665"/>
    <n v="5.0099999999999999E-2"/>
    <x v="5"/>
  </r>
  <r>
    <n v="0.70899999999999996"/>
    <n v="999"/>
    <n v="0.72499999999999998"/>
    <x v="17"/>
    <n v="0.64800000000000002"/>
    <s v="Rvssian, Rauw Alejandro, Ayra Starr"/>
    <n v="79"/>
    <s v="Reggaeton Hits"/>
    <s v="Santa"/>
    <d v="2024-04-04T00:00:00"/>
    <n v="0"/>
    <n v="3"/>
    <n v="3.2166666666666668"/>
    <n v="0.32100000000000001"/>
    <x v="32"/>
  </r>
  <r>
    <n v="0.16200000000000001"/>
    <n v="184"/>
    <n v="0.45900000000000002"/>
    <x v="17"/>
    <n v="0.48299999999999998"/>
    <s v="Yami Safdie, Lasso"/>
    <n v="79"/>
    <s v="Viva Latino"/>
    <s v="En Otra Vida"/>
    <d v="2024-10-10T00:00:00"/>
    <n v="1"/>
    <n v="0"/>
    <n v="2.5499999999999998"/>
    <n v="0.92900000000000005"/>
    <x v="5"/>
  </r>
  <r>
    <n v="0.47899999999999998"/>
    <n v="169"/>
    <n v="0.81200000000000006"/>
    <x v="17"/>
    <n v="0.55900000000000005"/>
    <s v="Yng Lvcas, Peso Pluma"/>
    <n v="79"/>
    <s v="Reggaeton Hits"/>
    <s v="La Bebe - Remix"/>
    <d v="2023-03-17T00:00:00"/>
    <n v="0"/>
    <n v="2"/>
    <n v="3.9"/>
    <n v="0.21299999999999999"/>
    <x v="32"/>
  </r>
  <r>
    <n v="0.52200000000000002"/>
    <n v="110"/>
    <n v="0.75"/>
    <x v="17"/>
    <n v="0.60099999999999998"/>
    <s v="Marc Segui≠, Rauw Alejandro, Pol Granch"/>
    <n v="78"/>
    <s v="Chill Spanish Vibes"/>
    <s v="Tiroteo - Remix"/>
    <d v="2021-04-01T00:00:00"/>
    <n v="1"/>
    <n v="9"/>
    <n v="5.35"/>
    <n v="0.28199999999999997"/>
    <x v="4"/>
  </r>
  <r>
    <n v="0.78900000000000003"/>
    <n v="919"/>
    <n v="0.75700000000000001"/>
    <x v="17"/>
    <n v="0.46400000000000002"/>
    <s v="Mora, Feid"/>
    <n v="78"/>
    <s v="Chill Spanish Vibes"/>
    <s v="LA INOCENTE"/>
    <d v="2022-04-01T00:00:00"/>
    <n v="0"/>
    <n v="5"/>
    <n v="3.3666666666666667"/>
    <n v="0.307"/>
    <x v="4"/>
  </r>
  <r>
    <n v="0.78900000000000003"/>
    <n v="919"/>
    <n v="0.75700000000000001"/>
    <x v="17"/>
    <n v="0.46400000000000002"/>
    <s v="Mora, Feid"/>
    <n v="78"/>
    <s v="Reggaeton Hits"/>
    <s v="LA INOCENTE"/>
    <d v="2022-04-01T00:00:00"/>
    <n v="0"/>
    <n v="5"/>
    <n v="3.3666666666666667"/>
    <n v="0.307"/>
    <x v="32"/>
  </r>
  <r>
    <n v="0.627"/>
    <n v="155"/>
    <n v="0.68700000000000006"/>
    <x v="17"/>
    <n v="0.47"/>
    <s v="Rauw Alejandro, Romeo Santos"/>
    <n v="78"/>
    <s v="Viva Latino"/>
    <s v="Kh√©?"/>
    <d v="2024-11-15T00:00:00"/>
    <n v="1"/>
    <n v="7"/>
    <n v="3.4333333333333331"/>
    <n v="0.32600000000000001"/>
    <x v="5"/>
  </r>
  <r>
    <n v="0.85599999999999998"/>
    <n v="919"/>
    <n v="0.81499999999999995"/>
    <x v="17"/>
    <n v="0.872"/>
    <s v="Tego Calderi≥n"/>
    <n v="78"/>
    <s v="Reggaeton Hits"/>
    <s v="Pa' Que Retozen"/>
    <d v="2003-07-01T00:00:00"/>
    <n v="0"/>
    <n v="1"/>
    <n v="2.5166666666666666"/>
    <n v="0.4"/>
    <x v="32"/>
  </r>
  <r>
    <n v="0.621"/>
    <n v="139"/>
    <n v="0.78700000000000003"/>
    <x v="17"/>
    <n v="0.13"/>
    <s v="Bad Bunny"/>
    <n v="77"/>
    <s v="Reggaeton Hits"/>
    <s v="MONACO"/>
    <d v="2023-10-13T00:00:00"/>
    <n v="0"/>
    <n v="4"/>
    <n v="4.45"/>
    <n v="0.15"/>
    <x v="32"/>
  </r>
  <r>
    <n v="0.82399999999999995"/>
    <n v="124"/>
    <n v="0.747"/>
    <x v="17"/>
    <n v="0.79300000000000004"/>
    <s v="Calle 24, Chuyin"/>
    <n v="77"/>
    <s v="Viva Latino"/>
    <s v="NO PIERDO LA VIDA"/>
    <d v="2024-09-06T00:00:00"/>
    <n v="0"/>
    <n v="7"/>
    <n v="2.8"/>
    <n v="0.184"/>
    <x v="5"/>
  </r>
  <r>
    <n v="0.872"/>
    <n v="128"/>
    <n v="0.81599999999999995"/>
    <x v="17"/>
    <n v="0.94"/>
    <s v="Emilia"/>
    <n v="77"/>
    <s v="Viva Latino"/>
    <s v="noviogangsta &lt;3"/>
    <d v="2024-10-12T00:00:00"/>
    <n v="0"/>
    <n v="11"/>
    <n v="2.6166666666666667"/>
    <n v="0.25"/>
    <x v="5"/>
  </r>
  <r>
    <n v="0.85399999999999998"/>
    <n v="117"/>
    <n v="0.78600000000000003"/>
    <x v="17"/>
    <n v="0.52200000000000002"/>
    <s v="Myke Towers, Bad Bunny"/>
    <n v="77"/>
    <s v="Reggaeton Hits"/>
    <s v="ADIVINO"/>
    <d v="2024-04-25T00:00:00"/>
    <n v="0"/>
    <n v="10"/>
    <n v="4.6333333333333337"/>
    <n v="0.16900000000000001"/>
    <x v="32"/>
  </r>
  <r>
    <n v="0.69"/>
    <n v="151"/>
    <n v="0.83899999999999997"/>
    <x v="17"/>
    <n v="0.74399999999999999"/>
    <s v="Bad Bunny"/>
    <n v="76"/>
    <s v="Chill Spanish Vibes"/>
    <s v="Un Coco"/>
    <d v="2022-05-06T00:00:00"/>
    <n v="1"/>
    <n v="11"/>
    <n v="3.2666666666666666"/>
    <n v="0.20699999999999999"/>
    <x v="4"/>
  </r>
  <r>
    <n v="0.68400000000000005"/>
    <n v="114"/>
    <n v="0.79500000000000004"/>
    <x v="17"/>
    <n v="0.41899999999999998"/>
    <s v="Bad Bunny, JHAYCO"/>
    <n v="76"/>
    <s v="Reggaeton Hits"/>
    <s v="Tarot"/>
    <d v="2022-05-06T00:00:00"/>
    <n v="0"/>
    <n v="11"/>
    <n v="3.95"/>
    <n v="2.2499999999999999E-2"/>
    <x v="32"/>
  </r>
  <r>
    <n v="0.86"/>
    <n v="939"/>
    <n v="0.73699999999999999"/>
    <x v="17"/>
    <n v="0.65600000000000003"/>
    <s v="Daddy Yankee, Snow"/>
    <n v="76"/>
    <s v="Reggaeton Hits"/>
    <s v="Con Calma"/>
    <d v="2019-01-24T00:00:00"/>
    <n v="0"/>
    <n v="8"/>
    <n v="3.2166666666666668"/>
    <n v="0.11"/>
    <x v="32"/>
  </r>
  <r>
    <n v="0.67300000000000004"/>
    <n v="920"/>
    <n v="0.45300000000000001"/>
    <x v="17"/>
    <n v="0.26600000000000001"/>
    <s v="Danny Ocean"/>
    <n v="76"/>
    <s v="Chill Spanish Vibes"/>
    <s v="Fuera del mercado"/>
    <d v="2022-02-17T00:00:00"/>
    <n v="1"/>
    <n v="8"/>
    <n v="2.65"/>
    <n v="0.32"/>
    <x v="4"/>
  </r>
  <r>
    <n v="0.73699999999999999"/>
    <n v="101"/>
    <n v="0.77900000000000003"/>
    <x v="17"/>
    <n v="0.44500000000000001"/>
    <s v="Danny Ocean, Kapo"/>
    <n v="76"/>
    <s v="Viva Latino"/>
    <s v="Imag√≠nate"/>
    <d v="2024-11-07T00:00:00"/>
    <n v="1"/>
    <n v="11"/>
    <n v="2.8333333333333335"/>
    <n v="0.13400000000000001"/>
    <x v="5"/>
  </r>
  <r>
    <n v="0.76600000000000001"/>
    <n v="130"/>
    <n v="0.76200000000000001"/>
    <x v="17"/>
    <n v="0.442"/>
    <s v="Farruko"/>
    <n v="76"/>
    <s v="Reggaeton Hits"/>
    <s v="Pepas"/>
    <d v="2021-06-24T00:00:00"/>
    <n v="1"/>
    <n v="7"/>
    <n v="4.7833333333333332"/>
    <n v="7.7600000000000004E-3"/>
    <x v="32"/>
  </r>
  <r>
    <n v="0.496"/>
    <n v="100"/>
    <n v="0.69599999999999995"/>
    <x v="17"/>
    <n v="0.47599999999999998"/>
    <s v="FloyyMenor, Lewis Somes"/>
    <n v="76"/>
    <s v="Reggaeton Hits"/>
    <s v="APAGA EL CEL"/>
    <d v="2024-08-09T00:00:00"/>
    <n v="0"/>
    <n v="9"/>
    <n v="3.0666666666666669"/>
    <n v="0.27300000000000002"/>
    <x v="32"/>
  </r>
  <r>
    <n v="0.50700000000000001"/>
    <n v="999"/>
    <n v="0.755"/>
    <x v="17"/>
    <n v="0.60599999999999998"/>
    <s v="FloyyMenor, Lewis Somes"/>
    <n v="76"/>
    <s v="Reggaeton Hits"/>
    <s v="TU TA RICA"/>
    <d v="2024-08-09T00:00:00"/>
    <n v="0"/>
    <n v="3"/>
    <n v="2.0666666666666669"/>
    <n v="0.29299999999999998"/>
    <x v="32"/>
  </r>
  <r>
    <n v="0.42199999999999999"/>
    <n v="124"/>
    <n v="0.57299999999999995"/>
    <x v="17"/>
    <n v="0.69299999999999995"/>
    <s v="Libianca"/>
    <n v="76"/>
    <s v="Afro-Latin Party"/>
    <s v="People"/>
    <d v="2022-12-06T00:00:00"/>
    <n v="0"/>
    <n v="10"/>
    <n v="3.0666666666666669"/>
    <n v="0.55100000000000005"/>
    <x v="33"/>
  </r>
  <r>
    <n v="0.71899999999999997"/>
    <n v="104"/>
    <n v="0.70699999999999996"/>
    <x v="17"/>
    <n v="0.70099999999999996"/>
    <s v="Quevedo"/>
    <n v="76"/>
    <s v="Viva Latino"/>
    <s v="DURO"/>
    <d v="2024-10-31T00:00:00"/>
    <n v="0"/>
    <n v="4"/>
    <n v="2.7"/>
    <n v="0.223"/>
    <x v="5"/>
  </r>
  <r>
    <n v="0.47599999999999998"/>
    <n v="129"/>
    <n v="0.79300000000000004"/>
    <x v="17"/>
    <n v="0.57799999999999996"/>
    <s v="Alex Favela, Grupo Marca Registrada, Joaquin Medina"/>
    <n v="75"/>
    <s v="Reggaeton Hits"/>
    <s v="ELOVRGA"/>
    <d v="2023-08-18T00:00:00"/>
    <n v="0"/>
    <n v="5"/>
    <n v="3.2333333333333334"/>
    <n v="0.13200000000000001"/>
    <x v="32"/>
  </r>
  <r>
    <n v="0.498"/>
    <n v="122"/>
    <n v="0.876"/>
    <x v="17"/>
    <n v="0.42799999999999999"/>
    <s v="Bad Bunny"/>
    <n v="75"/>
    <s v="Chill Spanish Vibes"/>
    <s v="Neverita"/>
    <d v="2022-05-06T00:00:00"/>
    <n v="1"/>
    <n v="10"/>
    <n v="2.8833333333333333"/>
    <n v="7.0599999999999996E-2"/>
    <x v="4"/>
  </r>
  <r>
    <n v="0.64800000000000002"/>
    <n v="179"/>
    <n v="0.64400000000000002"/>
    <x v="17"/>
    <n v="0.44"/>
    <s v="Bad Bunny"/>
    <n v="75"/>
    <s v="Reggaeton Hits"/>
    <s v="Yonaguni"/>
    <d v="2021-06-04T00:00:00"/>
    <n v="1"/>
    <n v="1"/>
    <n v="3.4333333333333331"/>
    <n v="0.27600000000000002"/>
    <x v="32"/>
  </r>
  <r>
    <n v="0.57299999999999995"/>
    <n v="109"/>
    <n v="0.73099999999999998"/>
    <x v="17"/>
    <n v="0.14499999999999999"/>
    <s v="Bad Bunny, JHAYCO"/>
    <n v="75"/>
    <s v="Reggaeton Hits"/>
    <s v="D√ÅKITI"/>
    <d v="2020-11-27T00:00:00"/>
    <n v="0"/>
    <n v="4"/>
    <n v="3.4166666666666665"/>
    <n v="0.40100000000000002"/>
    <x v="32"/>
  </r>
  <r>
    <n v="0.59499999999999997"/>
    <n v="108"/>
    <n v="0.77700000000000002"/>
    <x v="17"/>
    <n v="0.54600000000000004"/>
    <s v="Bad Bunny, The Marias"/>
    <n v="75"/>
    <s v="Chill Spanish Vibes"/>
    <s v="Otro Atardecer"/>
    <d v="2022-05-06T00:00:00"/>
    <n v="1"/>
    <n v="2"/>
    <n v="4.0666666666666664"/>
    <n v="0.59"/>
    <x v="4"/>
  </r>
  <r>
    <n v="0.74"/>
    <n v="117"/>
    <n v="0.748"/>
    <x v="17"/>
    <n v="0.61799999999999999"/>
    <s v="Carin Leon, Gabito Ballesteros"/>
    <n v="75"/>
    <s v="Viva Latino"/>
    <s v="Ese Vato No Te Queda"/>
    <d v="2024-10-24T00:00:00"/>
    <n v="0"/>
    <n v="7"/>
    <n v="3.3"/>
    <n v="2.92E-2"/>
    <x v="5"/>
  </r>
  <r>
    <n v="0.85599999999999998"/>
    <n v="136"/>
    <n v="0.69099999999999995"/>
    <x v="17"/>
    <n v="0.71299999999999997"/>
    <s v="Fuerza Regida, Luis R Conriquez"/>
    <n v="75"/>
    <s v="Viva Latino"/>
    <s v="Cholo 7"/>
    <d v="2024-10-31T00:00:00"/>
    <n v="0"/>
    <n v="6"/>
    <n v="2.6166666666666667"/>
    <n v="0.2"/>
    <x v="5"/>
  </r>
  <r>
    <n v="0.72399999999999998"/>
    <n v="831"/>
    <n v="0.56899999999999995"/>
    <x v="17"/>
    <n v="0.56200000000000006"/>
    <s v="Grupo Frontera, Bad Bunny"/>
    <n v="75"/>
    <s v="Chill Spanish Vibes"/>
    <s v="un x100to"/>
    <d v="2023-04-17T00:00:00"/>
    <n v="0"/>
    <n v="6"/>
    <n v="3.2333333333333334"/>
    <n v="0.22800000000000001"/>
    <x v="4"/>
  </r>
  <r>
    <n v="0.61699999999999999"/>
    <n v="173"/>
    <n v="0.70299999999999996"/>
    <x v="17"/>
    <n v="0.48599999999999999"/>
    <s v="iZaak, JHAYCO, Anuel AA"/>
    <n v="75"/>
    <s v="Reggaeton Hits"/>
    <s v="BBY BOO - REMIX"/>
    <d v="2024-03-27T00:00:00"/>
    <n v="1"/>
    <n v="5"/>
    <n v="4.583333333333333"/>
    <n v="0.215"/>
    <x v="32"/>
  </r>
  <r>
    <n v="0.79100000000000004"/>
    <n v="926"/>
    <n v="0.63900000000000001"/>
    <x v="17"/>
    <n v="0.93300000000000005"/>
    <s v="J Balvin, Bad Bunny"/>
    <n v="75"/>
    <s v="Reggaeton Hits"/>
    <s v="QUE PRETENDES"/>
    <d v="2019-06-28T00:00:00"/>
    <n v="0"/>
    <n v="10"/>
    <n v="3.7"/>
    <n v="2.75E-2"/>
    <x v="32"/>
  </r>
  <r>
    <n v="0.67500000000000004"/>
    <n v="793"/>
    <n v="0.627"/>
    <x v="17"/>
    <n v="0.96099999999999997"/>
    <s v="J Balvin, Bad Bunny, Marciano Cantero"/>
    <n v="75"/>
    <s v="Reggaeton Hits"/>
    <s v="UN PESO"/>
    <d v="2019-06-28T00:00:00"/>
    <n v="0"/>
    <n v="5"/>
    <n v="4.6166666666666663"/>
    <n v="0.125"/>
    <x v="32"/>
  </r>
  <r>
    <n v="0.59399999999999997"/>
    <n v="125"/>
    <n v="0.69399999999999995"/>
    <x v="17"/>
    <n v="0.67200000000000004"/>
    <s v="Jasiel Nui±ez, Peso Pluma"/>
    <n v="75"/>
    <s v="Viva Latino"/>
    <s v="EN MI MUNDO"/>
    <d v="2024-11-07T00:00:00"/>
    <n v="0"/>
    <n v="8"/>
    <n v="5.1166666666666663"/>
    <n v="0.39600000000000002"/>
    <x v="5"/>
  </r>
  <r>
    <n v="0.88"/>
    <n v="180"/>
    <n v="0.72"/>
    <x v="17"/>
    <n v="0.46300000000000002"/>
    <s v="Peso Pluma, Anitta"/>
    <n v="75"/>
    <s v="Reggaeton Hits"/>
    <s v="BELLAKEO"/>
    <d v="2023-12-07T00:00:00"/>
    <n v="1"/>
    <n v="9"/>
    <n v="3.2833333333333332"/>
    <n v="5.62E-2"/>
    <x v="32"/>
  </r>
  <r>
    <n v="0.76500000000000001"/>
    <n v="174"/>
    <n v="0.69099999999999995"/>
    <x v="17"/>
    <n v="0.85499999999999998"/>
    <s v="Anuel AA, Bad Bunny"/>
    <n v="74"/>
    <s v="Reggaeton Hits"/>
    <s v="Hasta Que Dios Diga"/>
    <d v="2020-05-29T00:00:00"/>
    <n v="1"/>
    <n v="8"/>
    <n v="4.0999999999999996"/>
    <n v="0.46400000000000002"/>
    <x v="32"/>
  </r>
  <r>
    <n v="0.86"/>
    <n v="175"/>
    <n v="0.72499999999999998"/>
    <x v="17"/>
    <n v="0.79100000000000004"/>
    <s v="Aventura, Bad Bunny"/>
    <n v="74"/>
    <s v="Reggaeton Hits"/>
    <s v="Volv√≠"/>
    <d v="2021-08-03T00:00:00"/>
    <n v="1"/>
    <n v="1"/>
    <n v="3.8333333333333335"/>
    <n v="0.42199999999999999"/>
    <x v="32"/>
  </r>
  <r>
    <n v="0.8"/>
    <n v="143"/>
    <n v="0.65200000000000002"/>
    <x v="17"/>
    <n v="0.23400000000000001"/>
    <s v="Bad Bunny"/>
    <n v="74"/>
    <s v="Reggaeton Hits"/>
    <s v="WHERE SHE GOES"/>
    <d v="2023-05-18T00:00:00"/>
    <n v="0"/>
    <n v="9"/>
    <n v="3.85"/>
    <n v="0.14299999999999999"/>
    <x v="32"/>
  </r>
  <r>
    <n v="0.60299999999999998"/>
    <n v="129"/>
    <n v="0.9"/>
    <x v="17"/>
    <n v="0.82399999999999995"/>
    <s v="Bad Bunny"/>
    <n v="74"/>
    <s v="Reggaeton Hits"/>
    <s v="Si Veo a Tu Mam√°"/>
    <d v="2020-02-29T00:00:00"/>
    <n v="1"/>
    <n v="2"/>
    <n v="2.8333333333333335"/>
    <n v="0.40200000000000002"/>
    <x v="32"/>
  </r>
  <r>
    <n v="0.61599999999999999"/>
    <n v="103"/>
    <n v="0.79700000000000004"/>
    <x v="17"/>
    <n v="0.45100000000000001"/>
    <s v="Bad Bunny, Buscabulla"/>
    <n v="74"/>
    <s v="Chill Spanish Vibes"/>
    <s v="Andrea"/>
    <d v="2022-05-06T00:00:00"/>
    <n v="0"/>
    <n v="1"/>
    <n v="5.65"/>
    <n v="0.76200000000000001"/>
    <x v="4"/>
  </r>
  <r>
    <n v="0.61599999999999999"/>
    <n v="103"/>
    <n v="0.79700000000000004"/>
    <x v="17"/>
    <n v="0.45100000000000001"/>
    <s v="Bad Bunny, Buscabulla"/>
    <n v="74"/>
    <s v="Reggaeton Hits"/>
    <s v="Andrea"/>
    <d v="2022-05-06T00:00:00"/>
    <n v="0"/>
    <n v="1"/>
    <n v="5.65"/>
    <n v="0.76200000000000001"/>
    <x v="32"/>
  </r>
  <r>
    <n v="0.59799999999999998"/>
    <n v="838"/>
    <n v="0.55000000000000004"/>
    <x v="17"/>
    <n v="0.54300000000000004"/>
    <s v="Bad Bunny, Mora"/>
    <n v="74"/>
    <s v="Reggaeton Hits"/>
    <s v="Una Vez"/>
    <d v="2020-02-29T00:00:00"/>
    <n v="0"/>
    <n v="11"/>
    <n v="3.8666666666666667"/>
    <n v="0.13200000000000001"/>
    <x v="32"/>
  </r>
  <r>
    <n v="0.61799999999999999"/>
    <n v="819"/>
    <n v="0.85599999999999998"/>
    <x v="17"/>
    <n v="0.39100000000000001"/>
    <s v="Bad Bunny, ROSALiA"/>
    <n v="74"/>
    <s v="Reggaeton Hits"/>
    <s v="LA NOCHE DE ANOCHE"/>
    <d v="2020-11-27T00:00:00"/>
    <n v="1"/>
    <n v="7"/>
    <n v="3.3833333333333333"/>
    <n v="3.0300000000000001E-2"/>
    <x v="32"/>
  </r>
  <r>
    <n v="0.71799999999999997"/>
    <n v="105"/>
    <n v="0.84799999999999998"/>
    <x v="17"/>
    <n v="0.56399999999999995"/>
    <s v="Maria Becerra, Yandel"/>
    <n v="74"/>
    <s v="Viva Latino"/>
    <s v="SEXO ES LA MODA"/>
    <d v="2024-10-31T00:00:00"/>
    <n v="0"/>
    <n v="9"/>
    <n v="2.75"/>
    <n v="0.183"/>
    <x v="5"/>
  </r>
  <r>
    <n v="0.67300000000000004"/>
    <n v="879"/>
    <n v="0.81799999999999995"/>
    <x v="17"/>
    <n v="0.69499999999999995"/>
    <s v="Mora, JHAYCO"/>
    <n v="74"/>
    <s v="Reggaeton Hits"/>
    <n v="512"/>
    <d v="2021-02-05T00:00:00"/>
    <n v="0"/>
    <n v="4"/>
    <n v="3.2166666666666668"/>
    <n v="0.34799999999999998"/>
    <x v="32"/>
  </r>
  <r>
    <n v="0.72499999999999998"/>
    <n v="105"/>
    <n v="0.71099999999999997"/>
    <x v="17"/>
    <n v="0.53"/>
    <s v="Omah Lay"/>
    <n v="74"/>
    <s v="Afro-Latin Party"/>
    <s v="soso"/>
    <d v="2022-07-14T00:00:00"/>
    <n v="0"/>
    <n v="3"/>
    <n v="3.05"/>
    <n v="0.42399999999999999"/>
    <x v="33"/>
  </r>
  <r>
    <n v="0.89200000000000002"/>
    <n v="970"/>
    <n v="0.79100000000000004"/>
    <x v="17"/>
    <n v="0.91600000000000004"/>
    <s v="Ryan Castro, Peso Pluma, SOG"/>
    <n v="74"/>
    <s v="Reggaeton Hits"/>
    <s v="QUEMA"/>
    <d v="2023-07-13T00:00:00"/>
    <n v="1"/>
    <n v="0"/>
    <n v="2.5"/>
    <n v="5.0900000000000001E-2"/>
    <x v="32"/>
  </r>
  <r>
    <n v="0.79100000000000004"/>
    <n v="920"/>
    <n v="0.86"/>
    <x v="17"/>
    <n v="0.88700000000000001"/>
    <s v="Bad Bunny"/>
    <n v="73"/>
    <s v="Reggaeton Hits"/>
    <s v="A Tu Merced"/>
    <d v="2020-02-29T00:00:00"/>
    <n v="1"/>
    <n v="0"/>
    <n v="2.9166666666666665"/>
    <n v="0.16900000000000001"/>
    <x v="32"/>
  </r>
  <r>
    <n v="0.78600000000000003"/>
    <n v="196"/>
    <n v="0.66300000000000003"/>
    <x v="17"/>
    <n v="0.57899999999999996"/>
    <s v="Bad Bunny, Tony Dize"/>
    <n v="73"/>
    <s v="Reggaeton Hits"/>
    <s v="La Corriente"/>
    <d v="2022-05-06T00:00:00"/>
    <n v="0"/>
    <n v="11"/>
    <n v="3.3"/>
    <n v="0.22900000000000001"/>
    <x v="32"/>
  </r>
  <r>
    <n v="0.72399999999999998"/>
    <n v="946"/>
    <n v="0.84699999999999998"/>
    <x v="17"/>
    <n v="0.39600000000000002"/>
    <s v="Bad Bunny, Young Miko"/>
    <n v="73"/>
    <s v="Reggaeton Hits"/>
    <s v="FINA"/>
    <d v="2023-10-13T00:00:00"/>
    <n v="1"/>
    <n v="1"/>
    <n v="3.6"/>
    <n v="8.6900000000000005E-2"/>
    <x v="32"/>
  </r>
  <r>
    <n v="0.80600000000000005"/>
    <n v="123"/>
    <n v="0.76300000000000001"/>
    <x v="17"/>
    <n v="0.59399999999999997"/>
    <s v="Belinda, Kenia OS"/>
    <n v="73"/>
    <s v="Viva Latino"/>
    <s v="JACKPOT"/>
    <d v="2024-10-24T00:00:00"/>
    <n v="1"/>
    <n v="2"/>
    <n v="3.2166666666666668"/>
    <n v="1.1999999999999999E-3"/>
    <x v="5"/>
  </r>
  <r>
    <n v="0.70599999999999996"/>
    <n v="140"/>
    <n v="0.86299999999999999"/>
    <x v="17"/>
    <n v="0.68600000000000005"/>
    <s v="Eladio Carrion, Bad Bunny"/>
    <n v="73"/>
    <s v="Reggaeton Hits"/>
    <s v="Coco Chanel"/>
    <d v="2023-03-17T00:00:00"/>
    <n v="0"/>
    <n v="3"/>
    <n v="3.4666666666666668"/>
    <n v="0.14299999999999999"/>
    <x v="32"/>
  </r>
  <r>
    <n v="0.68100000000000005"/>
    <n v="999"/>
    <n v="0.72499999999999998"/>
    <x v="17"/>
    <n v="0.76200000000000001"/>
    <s v="FloyyMenor, Ozuna, Anitta"/>
    <n v="73"/>
    <s v="Reggaeton Hits"/>
    <s v="Gata Only (Remix)"/>
    <d v="2024-06-07T00:00:00"/>
    <n v="0"/>
    <n v="8"/>
    <n v="3.8333333333333335"/>
    <n v="0.318"/>
    <x v="32"/>
  </r>
  <r>
    <n v="0.53800000000000003"/>
    <n v="800"/>
    <n v="0.72"/>
    <x v="17"/>
    <n v="0.80500000000000005"/>
    <s v="Grupo Mojado"/>
    <n v="73"/>
    <s v="Cumbia Classics"/>
    <s v="Piensa En M√≠"/>
    <d v="1996-01-01T00:00:00"/>
    <n v="1"/>
    <n v="10"/>
    <n v="2.95"/>
    <n v="0.34799999999999998"/>
    <x v="34"/>
  </r>
  <r>
    <n v="0.44500000000000001"/>
    <n v="156"/>
    <n v="0.55000000000000004"/>
    <x v="17"/>
    <n v="0.51200000000000001"/>
    <s v="LATIN MAFIA"/>
    <n v="73"/>
    <s v="Viva Latino"/>
    <s v="Siento que merezco m√°s"/>
    <d v="2024-10-24T00:00:00"/>
    <n v="1"/>
    <n v="7"/>
    <n v="2.7666666666666666"/>
    <n v="0.26200000000000001"/>
    <x v="5"/>
  </r>
  <r>
    <n v="0.68799999999999994"/>
    <n v="153"/>
    <n v="0.65900000000000003"/>
    <x v="17"/>
    <n v="0.63200000000000001"/>
    <s v="Mora, Bad Bunny, Sech"/>
    <n v="73"/>
    <s v="Reggaeton Hits"/>
    <s v="Volando - Remix"/>
    <d v="2021-07-08T00:00:00"/>
    <n v="1"/>
    <n v="6"/>
    <n v="4.55"/>
    <n v="0.20699999999999999"/>
    <x v="32"/>
  </r>
  <r>
    <n v="0.70699999999999996"/>
    <n v="127"/>
    <n v="0.77100000000000002"/>
    <x v="17"/>
    <n v="0.317"/>
    <s v="Mora, JHAYCO"/>
    <n v="73"/>
    <s v="Reggaeton Hits"/>
    <s v="MEMORIAS"/>
    <d v="2022-04-01T00:00:00"/>
    <n v="0"/>
    <n v="2"/>
    <n v="3.8"/>
    <n v="0.38900000000000001"/>
    <x v="32"/>
  </r>
  <r>
    <n v="0.63700000000000001"/>
    <n v="920"/>
    <n v="0.81100000000000005"/>
    <x v="17"/>
    <n v="0.47099999999999997"/>
    <s v="Bad Bunny"/>
    <n v="72"/>
    <s v="Reggaeton Hits"/>
    <s v="TE MUDASTE"/>
    <d v="2020-11-27T00:00:00"/>
    <n v="0"/>
    <n v="10"/>
    <n v="2.1666666666666665"/>
    <n v="0.23400000000000001"/>
    <x v="32"/>
  </r>
  <r>
    <n v="0.82899999999999996"/>
    <n v="961"/>
    <n v="0.60699999999999998"/>
    <x v="17"/>
    <n v="0.68500000000000005"/>
    <s v="Bad Bunny, Jowell &amp; Randy, iëengo Flow"/>
    <n v="72"/>
    <s v="Reggaeton Hits"/>
    <s v="Safaera"/>
    <d v="2020-02-29T00:00:00"/>
    <n v="1"/>
    <n v="2"/>
    <n v="4.916666666666667"/>
    <n v="1.03E-2"/>
    <x v="32"/>
  </r>
  <r>
    <n v="0.624"/>
    <n v="176"/>
    <n v="0.61"/>
    <x v="17"/>
    <n v="0.24399999999999999"/>
    <s v="Bad Bunny, Tainy"/>
    <n v="72"/>
    <s v="Reggaeton Hits"/>
    <s v="Callaita"/>
    <d v="2019-05-31T00:00:00"/>
    <n v="1"/>
    <n v="2"/>
    <n v="4.166666666666667"/>
    <n v="0.6"/>
    <x v="32"/>
  </r>
  <r>
    <n v="0.76200000000000001"/>
    <n v="900"/>
    <n v="0.81599999999999995"/>
    <x v="17"/>
    <n v="0.78200000000000003"/>
    <s v="Blessd, Anuel AA"/>
    <n v="72"/>
    <s v="Viva Latino"/>
    <s v="DEPORTIVO"/>
    <d v="2024-11-14T00:00:00"/>
    <n v="1"/>
    <n v="0"/>
    <n v="3.6333333333333333"/>
    <n v="0.53400000000000003"/>
    <x v="5"/>
  </r>
  <r>
    <n v="0.71099999999999997"/>
    <n v="173"/>
    <n v="0.71799999999999997"/>
    <x v="17"/>
    <n v="0.92"/>
    <s v="J Balvin"/>
    <n v="72"/>
    <s v="Reggaeton Hits"/>
    <s v="Ay Vamos"/>
    <d v="2014-09-12T00:00:00"/>
    <n v="0"/>
    <n v="8"/>
    <n v="3.7666666666666666"/>
    <n v="0.157"/>
    <x v="32"/>
  </r>
  <r>
    <n v="0.48299999999999998"/>
    <n v="171"/>
    <n v="0.753"/>
    <x v="17"/>
    <n v="0.82599999999999996"/>
    <s v="Joyce Santana, Feid"/>
    <n v="72"/>
    <s v="Viva Latino"/>
    <s v="Ferxxoko"/>
    <d v="2024-10-31T00:00:00"/>
    <n v="0"/>
    <n v="3"/>
    <n v="2.95"/>
    <n v="1.89E-2"/>
    <x v="5"/>
  </r>
  <r>
    <n v="0.88800000000000001"/>
    <n v="130"/>
    <n v="0.61699999999999999"/>
    <x v="17"/>
    <n v="0.77100000000000002"/>
    <s v="Morat"/>
    <n v="72"/>
    <s v="Chill Spanish Vibes"/>
    <s v="C√≥mo Te Atreves"/>
    <d v="2016-06-17T00:00:00"/>
    <n v="1"/>
    <n v="4"/>
    <n v="4"/>
    <n v="7.0499999999999993E-2"/>
    <x v="4"/>
  </r>
  <r>
    <n v="0.67200000000000004"/>
    <n v="939"/>
    <n v="0.81699999999999995"/>
    <x v="17"/>
    <n v="0.77400000000000002"/>
    <s v="Myke Towers, Farruko, Arci°ngel, Sech, Zion"/>
    <n v="72"/>
    <s v="Reggaeton Hits"/>
    <s v="Si Se Da - Remix"/>
    <d v="2019-08-02T00:00:00"/>
    <n v="0"/>
    <n v="11"/>
    <n v="5.5333333333333332"/>
    <n v="0.441"/>
    <x v="32"/>
  </r>
  <r>
    <n v="0.61599999999999999"/>
    <n v="104"/>
    <n v="0.77300000000000002"/>
    <x v="17"/>
    <n v="0.25"/>
    <s v="Myke Towers, Peso Pluma"/>
    <n v="72"/>
    <s v="Viva Latino"/>
    <s v="SE TE NOTA (feat. Peso Pluma)"/>
    <d v="2024-08-22T00:00:00"/>
    <n v="1"/>
    <n v="0"/>
    <n v="3.1666666666666665"/>
    <n v="5.6500000000000002E-2"/>
    <x v="5"/>
  </r>
  <r>
    <n v="0.61599999999999999"/>
    <n v="104"/>
    <n v="0.77300000000000002"/>
    <x v="17"/>
    <n v="0.25"/>
    <s v="Myke Towers, Peso Pluma"/>
    <n v="72"/>
    <s v="Reggaeton Hits"/>
    <s v="SE TE NOTA (feat. Peso Pluma)"/>
    <d v="2024-08-22T00:00:00"/>
    <n v="1"/>
    <n v="0"/>
    <n v="3.1666666666666665"/>
    <n v="5.6500000000000002E-2"/>
    <x v="32"/>
  </r>
  <r>
    <n v="0.66200000000000003"/>
    <n v="959"/>
    <n v="0.86299999999999999"/>
    <x v="17"/>
    <n v="0.307"/>
    <s v="Natanael Cano, Uriel Gaxiola, Ganggy, Victor Mendivil"/>
    <n v="72"/>
    <s v="Viva Latino"/>
    <s v="Kamikaze (feat. Victor Mendivil)"/>
    <d v="2024-11-14T00:00:00"/>
    <n v="0"/>
    <n v="4"/>
    <n v="4.1333333333333337"/>
    <n v="8.43E-2"/>
    <x v="5"/>
  </r>
  <r>
    <n v="0.81200000000000006"/>
    <n v="162"/>
    <n v="0.78500000000000003"/>
    <x v="17"/>
    <n v="0.90300000000000002"/>
    <s v="Ozuna, Anuel AA, Chris Jedi"/>
    <n v="72"/>
    <s v="Reggaeton Hits"/>
    <s v="Pa Ti Estoy"/>
    <d v="2023-11-17T00:00:00"/>
    <n v="1"/>
    <n v="3"/>
    <n v="3.4333333333333331"/>
    <n v="0.14699999999999999"/>
    <x v="32"/>
  </r>
  <r>
    <n v="0.69399999999999995"/>
    <n v="950"/>
    <n v="0.70299999999999996"/>
    <x v="17"/>
    <n v="0.29799999999999999"/>
    <s v="Anuel AA"/>
    <n v="71"/>
    <s v="Reggaeton Hits"/>
    <s v="¬øQu√© Nos Pas√≥?"/>
    <d v="2022-05-26T00:00:00"/>
    <n v="0"/>
    <n v="3"/>
    <n v="4.083333333333333"/>
    <n v="0.436"/>
    <x v="32"/>
  </r>
  <r>
    <n v="0.41099999999999998"/>
    <n v="169"/>
    <n v="0.58399999999999996"/>
    <x v="17"/>
    <n v="0.41199999999999998"/>
    <s v="Bad Bunny"/>
    <n v="71"/>
    <s v="Chill Spanish Vibes"/>
    <s v="HACIENDO QUE ME AMAS"/>
    <d v="2020-11-27T00:00:00"/>
    <n v="0"/>
    <n v="10"/>
    <n v="3.6166666666666667"/>
    <n v="0.86899999999999999"/>
    <x v="4"/>
  </r>
  <r>
    <n v="0.90300000000000002"/>
    <n v="782"/>
    <n v="0.56399999999999995"/>
    <x v="17"/>
    <n v="0.60699999999999998"/>
    <s v="Bad Bunny"/>
    <n v="71"/>
    <s v="Reggaeton Hits"/>
    <s v="Despu√©s de la Playa"/>
    <d v="2022-05-06T00:00:00"/>
    <n v="1"/>
    <n v="5"/>
    <n v="3.8333333333333335"/>
    <n v="0.35599999999999998"/>
    <x v="32"/>
  </r>
  <r>
    <n v="0.58399999999999996"/>
    <n v="115"/>
    <n v="0.84899999999999998"/>
    <x v="17"/>
    <n v="0.72399999999999998"/>
    <s v="Bad Bunny"/>
    <n v="71"/>
    <s v="Reggaeton Hits"/>
    <s v="Agosto"/>
    <d v="2022-05-06T00:00:00"/>
    <n v="0"/>
    <n v="1"/>
    <n v="2.3166666666666669"/>
    <n v="9.2899999999999996E-2"/>
    <x v="32"/>
  </r>
  <r>
    <n v="0.54300000000000004"/>
    <n v="989"/>
    <n v="0.89800000000000002"/>
    <x v="17"/>
    <n v="0.35899999999999999"/>
    <s v="Cazzu, Lyanno, Rauw Alejandro, Dalex"/>
    <n v="71"/>
    <s v="Reggaeton Hits"/>
    <s v="Nada"/>
    <d v="2019-06-03T00:00:00"/>
    <n v="0"/>
    <n v="6"/>
    <n v="5.083333333333333"/>
    <n v="0.34300000000000003"/>
    <x v="32"/>
  </r>
  <r>
    <n v="0.71099999999999997"/>
    <n v="102"/>
    <n v="0.82199999999999995"/>
    <x v="17"/>
    <n v="0.93400000000000005"/>
    <s v="Darell"/>
    <n v="71"/>
    <s v="Reggaeton Hits"/>
    <s v="Lollipop"/>
    <d v="2023-07-28T00:00:00"/>
    <n v="1"/>
    <n v="6"/>
    <n v="3.3166666666666669"/>
    <n v="0.17899999999999999"/>
    <x v="32"/>
  </r>
  <r>
    <n v="0.58599999999999997"/>
    <n v="189"/>
    <n v="0.32600000000000001"/>
    <x v="17"/>
    <n v="0.29499999999999998"/>
    <s v="HUMBE"/>
    <n v="71"/>
    <s v="Chill Spanish Vibes"/>
    <s v="AMOR DE CINE"/>
    <d v="2021-11-11T00:00:00"/>
    <n v="1"/>
    <n v="6"/>
    <n v="4.3666666666666663"/>
    <n v="0.53100000000000003"/>
    <x v="4"/>
  </r>
  <r>
    <n v="0.51600000000000001"/>
    <n v="111"/>
    <n v="0.87"/>
    <x v="17"/>
    <n v="0.53"/>
    <s v="KAROL G"/>
    <n v="71"/>
    <s v="Chill Spanish Vibes"/>
    <s v="PROVENZA"/>
    <d v="2022-04-22T00:00:00"/>
    <n v="1"/>
    <n v="1"/>
    <n v="3.5"/>
    <n v="0.65600000000000003"/>
    <x v="4"/>
  </r>
  <r>
    <n v="0.432"/>
    <n v="811"/>
    <n v="0.69499999999999995"/>
    <x v="17"/>
    <n v="0.76500000000000001"/>
    <s v="Los Angeles Azules"/>
    <n v="71"/>
    <s v="Cumbia Classics"/>
    <s v="El List√≥n De Tu Pelo"/>
    <d v="1999-01-01T00:00:00"/>
    <n v="0"/>
    <n v="11"/>
    <n v="3.6"/>
    <n v="0.312"/>
    <x v="34"/>
  </r>
  <r>
    <n v="0.77900000000000003"/>
    <n v="128"/>
    <n v="0.93700000000000006"/>
    <x v="17"/>
    <n v="0.95"/>
    <s v="Luis R Conriquez, Joel De La P, Chimbala"/>
    <n v="71"/>
    <s v="Reggaeton Hits"/>
    <s v="Que Se Cuide"/>
    <d v="2024-05-04T00:00:00"/>
    <n v="0"/>
    <n v="4"/>
    <n v="2.5833333333333335"/>
    <n v="0.22"/>
    <x v="32"/>
  </r>
  <r>
    <n v="0.57799999999999996"/>
    <n v="167"/>
    <n v="0.72399999999999998"/>
    <x v="17"/>
    <n v="0.75700000000000001"/>
    <s v="Mora, SAIKO"/>
    <n v="71"/>
    <s v="Reggaeton Hits"/>
    <s v="REINA"/>
    <d v="2023-08-28T00:00:00"/>
    <n v="1"/>
    <n v="10"/>
    <n v="3.5166666666666666"/>
    <n v="0.63200000000000001"/>
    <x v="32"/>
  </r>
  <r>
    <n v="0.70299999999999996"/>
    <n v="940"/>
    <n v="0.879"/>
    <x v="17"/>
    <n v="0.78800000000000003"/>
    <s v="Rauw Alejandro, Farruko"/>
    <n v="71"/>
    <s v="Reggaeton Hits"/>
    <s v="Fantasias"/>
    <d v="2019-08-29T00:00:00"/>
    <n v="1"/>
    <n v="1"/>
    <n v="3.3166666666666669"/>
    <n v="0.14299999999999999"/>
    <x v="32"/>
  </r>
  <r>
    <n v="0.623"/>
    <n v="130"/>
    <n v="0.91900000000000004"/>
    <x v="17"/>
    <n v="0.77500000000000002"/>
    <s v="ROSALiA"/>
    <n v="71"/>
    <s v="Chill Spanish Vibes"/>
    <s v="DESPECHA"/>
    <d v="2022-07-28T00:00:00"/>
    <n v="1"/>
    <n v="7"/>
    <n v="2.6166666666666667"/>
    <n v="0.184"/>
    <x v="4"/>
  </r>
  <r>
    <n v="0.54900000000000004"/>
    <n v="123"/>
    <n v="0.61299999999999999"/>
    <x v="17"/>
    <n v="0.78"/>
    <s v="Tems"/>
    <n v="71"/>
    <s v="Afro-Latin Party"/>
    <s v="Replay"/>
    <d v="2021-09-14T00:00:00"/>
    <n v="1"/>
    <n v="9"/>
    <n v="3"/>
    <n v="9.7000000000000003E-2"/>
    <x v="33"/>
  </r>
  <r>
    <n v="0.58799999999999997"/>
    <n v="142"/>
    <n v="0.872"/>
    <x v="17"/>
    <n v="0.93"/>
    <s v="Bad Bunny"/>
    <n v="70"/>
    <s v="Chill Spanish Vibes"/>
    <s v="Yo No Soy Celoso"/>
    <d v="2022-05-06T00:00:00"/>
    <n v="1"/>
    <n v="0"/>
    <n v="3.8333333333333335"/>
    <n v="0.27500000000000002"/>
    <x v="4"/>
  </r>
  <r>
    <n v="0.84799999999999998"/>
    <n v="179"/>
    <n v="0.68500000000000005"/>
    <x v="17"/>
    <n v="0.76100000000000001"/>
    <s v="Bad Bunny"/>
    <n v="70"/>
    <s v="Reggaeton Hits"/>
    <s v="La Dificil"/>
    <d v="2020-02-29T00:00:00"/>
    <n v="0"/>
    <n v="8"/>
    <n v="2.7166666666666668"/>
    <n v="8.6099999999999996E-2"/>
    <x v="32"/>
  </r>
  <r>
    <n v="0.64500000000000002"/>
    <n v="119"/>
    <n v="0.80100000000000005"/>
    <x v="17"/>
    <n v="0.52800000000000002"/>
    <s v="Bad Bunny, Mora"/>
    <n v="70"/>
    <s v="Reggaeton Hits"/>
    <s v="HIBIKI"/>
    <d v="2023-10-13T00:00:00"/>
    <n v="0"/>
    <n v="6"/>
    <n v="3.4666666666666668"/>
    <n v="0.60399999999999998"/>
    <x v="32"/>
  </r>
  <r>
    <n v="0.76600000000000001"/>
    <n v="939"/>
    <n v="0.73699999999999999"/>
    <x v="17"/>
    <n v="0.66200000000000003"/>
    <s v="Bad Bunny, Yaviah"/>
    <n v="70"/>
    <s v="Reggaeton Hits"/>
    <s v="Bichiyal"/>
    <d v="2020-02-29T00:00:00"/>
    <n v="0"/>
    <n v="10"/>
    <n v="3.2666666666666666"/>
    <n v="0.31"/>
    <x v="32"/>
  </r>
  <r>
    <n v="0.83599999999999997"/>
    <n v="969"/>
    <n v="0.746"/>
    <x v="17"/>
    <n v="0.874"/>
    <s v="Becky G, Bad Bunny"/>
    <n v="70"/>
    <s v="Reggaeton Hits"/>
    <s v="Mayores"/>
    <d v="2019-10-18T00:00:00"/>
    <n v="0"/>
    <n v="5"/>
    <n v="3.3833333333333333"/>
    <n v="0.14499999999999999"/>
    <x v="32"/>
  </r>
  <r>
    <n v="0.67300000000000004"/>
    <n v="181"/>
    <n v="0.65500000000000003"/>
    <x v="17"/>
    <n v="0.34200000000000003"/>
    <s v="Dalex, Lenny Tavi°rez, Chencho Corleone, Juhn, Di≠melo Flow"/>
    <n v="70"/>
    <s v="Reggaeton Hits"/>
    <s v="Hola - Remix"/>
    <d v="2022-02-09T00:00:00"/>
    <n v="0"/>
    <n v="0"/>
    <n v="4.1500000000000004"/>
    <n v="0.47299999999999998"/>
    <x v="32"/>
  </r>
  <r>
    <n v="0.59599999999999997"/>
    <n v="165"/>
    <n v="0.81899999999999995"/>
    <x v="17"/>
    <n v="0.622"/>
    <s v="Darell, Brytiago"/>
    <n v="70"/>
    <s v="Reggaeton Hits"/>
    <s v="Velitas"/>
    <d v="2019-07-12T00:00:00"/>
    <n v="1"/>
    <n v="2"/>
    <n v="3.75"/>
    <n v="0.22500000000000001"/>
    <x v="32"/>
  </r>
  <r>
    <n v="0.70599999999999996"/>
    <n v="888"/>
    <n v="0.63500000000000001"/>
    <x v="17"/>
    <n v="0.443"/>
    <s v="KAROL G, Mariah Angeliq"/>
    <n v="70"/>
    <s v="Reggaeton Hits"/>
    <s v="EL MAKINON"/>
    <d v="2021-03-26T00:00:00"/>
    <n v="0"/>
    <n v="5"/>
    <n v="3.4833333333333334"/>
    <n v="0.25600000000000001"/>
    <x v="32"/>
  </r>
  <r>
    <n v="0.61699999999999999"/>
    <n v="168"/>
    <n v="0.71299999999999997"/>
    <x v="17"/>
    <n v="0.68200000000000005"/>
    <s v="Myke Towers, Juhn"/>
    <n v="70"/>
    <s v="Reggaeton Hits"/>
    <s v="Bandido"/>
    <d v="2020-12-10T00:00:00"/>
    <n v="1"/>
    <n v="8"/>
    <n v="3.8666666666666667"/>
    <n v="0.122"/>
    <x v="32"/>
  </r>
  <r>
    <n v="0.54300000000000004"/>
    <n v="139"/>
    <n v="0.84"/>
    <x v="17"/>
    <n v="0.74"/>
    <s v="Ovy On The Drums, Beiele"/>
    <n v="70"/>
    <s v="Chill Spanish Vibes"/>
    <s v="Inolvidable"/>
    <d v="2020-01-15T00:00:00"/>
    <n v="1"/>
    <n v="0"/>
    <n v="3.75"/>
    <n v="0.67800000000000005"/>
    <x v="4"/>
  </r>
  <r>
    <n v="0.65500000000000003"/>
    <n v="929"/>
    <n v="0.64900000000000002"/>
    <x v="17"/>
    <n v="0.79300000000000004"/>
    <s v="Oxlade"/>
    <n v="70"/>
    <s v="Afro-Latin Party"/>
    <s v="KU LO SA - A COLORS SHOW"/>
    <d v="2022-06-10T00:00:00"/>
    <n v="0"/>
    <n v="10"/>
    <n v="2.4500000000000002"/>
    <n v="0.307"/>
    <x v="33"/>
  </r>
  <r>
    <n v="0.73899999999999999"/>
    <n v="179"/>
    <n v="0.70399999999999996"/>
    <x v="17"/>
    <n v="0.42499999999999999"/>
    <s v="Rauw Alejandro"/>
    <n v="70"/>
    <s v="Reggaeton Hits"/>
    <s v="Sexo Virtual"/>
    <d v="2021-12-10T00:00:00"/>
    <n v="1"/>
    <n v="8"/>
    <n v="3.4666666666666668"/>
    <n v="0.32800000000000001"/>
    <x v="32"/>
  </r>
  <r>
    <n v="0.71"/>
    <n v="920"/>
    <n v="0.53500000000000003"/>
    <x v="17"/>
    <n v="0.52300000000000002"/>
    <s v="Rich Music LTD, Sech, Dalex, Justin Quiles, Lenny Tavi°rez, Feid"/>
    <n v="70"/>
    <s v="Reggaeton Hits"/>
    <s v="Porno"/>
    <d v="2019-10-11T00:00:00"/>
    <n v="0"/>
    <n v="1"/>
    <n v="3.5333333333333332"/>
    <n v="0.42799999999999999"/>
    <x v="32"/>
  </r>
  <r>
    <n v="0.84599999999999997"/>
    <n v="980"/>
    <n v="0.73399999999999999"/>
    <x v="17"/>
    <n v="0.60399999999999998"/>
    <s v="Rvssian, Rauw Alejandro, Chris Brown"/>
    <n v="70"/>
    <s v="Reggaeton Hits"/>
    <s v="Nost√°lgico"/>
    <d v="2021-09-08T00:00:00"/>
    <n v="0"/>
    <n v="9"/>
    <n v="3.4833333333333334"/>
    <n v="0.16600000000000001"/>
    <x v="32"/>
  </r>
  <r>
    <n v="0.63600000000000001"/>
    <n v="174"/>
    <n v="0.69499999999999995"/>
    <x v="17"/>
    <n v="0.57499999999999996"/>
    <s v="Shakira, Rauw Alejandro"/>
    <n v="70"/>
    <s v="Reggaeton Hits"/>
    <s v="Te Felicito"/>
    <d v="2022-04-21T00:00:00"/>
    <n v="1"/>
    <n v="5"/>
    <n v="2.8666666666666667"/>
    <n v="0.23400000000000001"/>
    <x v="32"/>
  </r>
  <r>
    <n v="0.70299999999999996"/>
    <n v="169"/>
    <n v="0.63900000000000001"/>
    <x v="17"/>
    <n v="0.13800000000000001"/>
    <s v="Tainy, Bad Bunny, Julieta Venegas"/>
    <n v="70"/>
    <s v="Reggaeton Hits"/>
    <s v="Lo Siento BB:/ (with Bad Bunny &amp; Julieta Venegas)"/>
    <d v="2021-10-05T00:00:00"/>
    <n v="0"/>
    <n v="4"/>
    <n v="3.45"/>
    <n v="8.8900000000000007E-2"/>
    <x v="32"/>
  </r>
  <r>
    <n v="0.69"/>
    <n v="106"/>
    <n v="0.79900000000000004"/>
    <x v="17"/>
    <n v="0.68200000000000005"/>
    <s v="Yannc, Darkiel, Eladio Carrion, Brray, Myke Towers"/>
    <n v="70"/>
    <s v="Reggaeton Hits"/>
    <s v="Sigue Bailandome"/>
    <d v="2018-10-19T00:00:00"/>
    <n v="1"/>
    <n v="7"/>
    <n v="5.8666666666666663"/>
    <n v="0.28199999999999997"/>
    <x v="32"/>
  </r>
  <r>
    <n v="0.59"/>
    <n v="161"/>
    <n v="0.86399999999999999"/>
    <x v="17"/>
    <n v="0.57899999999999996"/>
    <s v="Alemi°n"/>
    <n v="69"/>
    <s v="Latino Hip-Hop"/>
    <s v="Rucon"/>
    <d v="2018-05-16T00:00:00"/>
    <n v="1"/>
    <n v="1"/>
    <n v="2.8"/>
    <n v="1.9599999999999999E-2"/>
    <x v="35"/>
  </r>
  <r>
    <n v="0.70299999999999996"/>
    <n v="123"/>
    <n v="0.71299999999999997"/>
    <x v="17"/>
    <n v="0.57599999999999996"/>
    <s v="Arci°ngel, Bad Bunny"/>
    <n v="69"/>
    <s v="Reggaeton Hits"/>
    <s v="La Jumpa"/>
    <d v="2022-11-30T00:00:00"/>
    <n v="1"/>
    <n v="8"/>
    <n v="4.25"/>
    <n v="0.29799999999999999"/>
    <x v="32"/>
  </r>
  <r>
    <n v="0.75800000000000001"/>
    <n v="970"/>
    <n v="0.86"/>
    <x v="17"/>
    <n v="0.45300000000000001"/>
    <s v="Bad Bunny"/>
    <n v="69"/>
    <s v="Reggaeton Hits"/>
    <s v="Yo Perreo Sola"/>
    <d v="2020-02-29T00:00:00"/>
    <n v="1"/>
    <n v="11"/>
    <n v="2.8666666666666667"/>
    <n v="2.1000000000000001E-2"/>
    <x v="32"/>
  </r>
  <r>
    <n v="0.68100000000000005"/>
    <n v="140"/>
    <n v="0.80700000000000005"/>
    <x v="17"/>
    <n v="0.67600000000000005"/>
    <s v="Bad Bunny, Prince Royce, J Balvin, Mambo Kingz, DJ Luian"/>
    <n v="69"/>
    <s v="Reggaeton Hits"/>
    <s v="Sensualidad"/>
    <d v="2017-11-03T00:00:00"/>
    <n v="1"/>
    <n v="11"/>
    <n v="4.95"/>
    <n v="0.42299999999999999"/>
    <x v="32"/>
  </r>
  <r>
    <n v="0.7"/>
    <n v="939"/>
    <n v="0.84299999999999997"/>
    <x v="17"/>
    <n v="0.89900000000000002"/>
    <s v="Becky G, KAROL G"/>
    <n v="69"/>
    <s v="Reggaeton Hits"/>
    <s v="MAMIII"/>
    <d v="2022-02-10T00:00:00"/>
    <n v="0"/>
    <n v="4"/>
    <n v="3.7666666666666666"/>
    <n v="9.3399999999999997E-2"/>
    <x v="32"/>
  </r>
  <r>
    <n v="0.79400000000000004"/>
    <n v="929"/>
    <n v="0.84299999999999997"/>
    <x v="17"/>
    <n v="0.79600000000000004"/>
    <s v="Brray, JHAYCO, Ryan Castro"/>
    <n v="69"/>
    <s v="Reggaeton Hits"/>
    <s v="Coraz√≥n Roto - Remix"/>
    <d v="2023-04-07T00:00:00"/>
    <n v="0"/>
    <n v="1"/>
    <n v="4.583333333333333"/>
    <n v="0.22600000000000001"/>
    <x v="32"/>
  </r>
  <r>
    <n v="0.80900000000000005"/>
    <n v="990"/>
    <n v="0.72399999999999998"/>
    <x v="17"/>
    <n v="0.60599999999999998"/>
    <s v="Davido, FAVE"/>
    <n v="69"/>
    <s v="Afro-Latin Party"/>
    <s v="KANTE (feat. Fave)"/>
    <d v="2023-03-30T00:00:00"/>
    <n v="0"/>
    <n v="6"/>
    <n v="3.2333333333333334"/>
    <n v="0.182"/>
    <x v="33"/>
  </r>
  <r>
    <n v="0.64900000000000002"/>
    <n v="113"/>
    <n v="0.78800000000000003"/>
    <x v="17"/>
    <n v="0.22900000000000001"/>
    <s v="Davido, Musa Keys"/>
    <n v="69"/>
    <s v="Afro-Latin Party"/>
    <s v="UNAVAILABLE (feat. Musa Keys)"/>
    <d v="2023-03-30T00:00:00"/>
    <n v="1"/>
    <n v="2"/>
    <n v="2.8166666666666669"/>
    <n v="0.253"/>
    <x v="33"/>
  </r>
  <r>
    <n v="0.64700000000000002"/>
    <n v="959"/>
    <n v="0.85699999999999998"/>
    <x v="17"/>
    <n v="0.55300000000000005"/>
    <s v="DJ Luian, Mambo Kingz, Anuel AA, Nicky Jam, Darell, Brytiago"/>
    <n v="69"/>
    <s v="Reggaeton Hits"/>
    <s v="Verte Ir"/>
    <d v="2019-03-28T00:00:00"/>
    <n v="0"/>
    <n v="11"/>
    <n v="4.45"/>
    <n v="0.39100000000000001"/>
    <x v="32"/>
  </r>
  <r>
    <n v="0.746"/>
    <n v="175"/>
    <n v="0.746"/>
    <x v="17"/>
    <n v="0.73299999999999998"/>
    <s v="J Balvin, Farruko"/>
    <n v="69"/>
    <s v="Reggaeton Hits"/>
    <d v="1899-12-30T06:00:00"/>
    <d v="2013-09-29T00:00:00"/>
    <n v="0"/>
    <n v="5"/>
    <n v="4.05"/>
    <n v="0.152"/>
    <x v="32"/>
  </r>
  <r>
    <n v="0.81200000000000006"/>
    <n v="878"/>
    <n v="0.68300000000000005"/>
    <x v="17"/>
    <n v="0.72399999999999998"/>
    <s v="J Balvin, Zion &amp; Lennox"/>
    <n v="69"/>
    <s v="Reggaeton Hits"/>
    <s v="No Es Justo"/>
    <d v="2018-05-25T00:00:00"/>
    <n v="1"/>
    <n v="7"/>
    <n v="4.166666666666667"/>
    <n v="0.161"/>
    <x v="32"/>
  </r>
  <r>
    <n v="0.67100000000000004"/>
    <n v="169"/>
    <n v="0.71399999999999997"/>
    <x v="17"/>
    <n v="0.64100000000000001"/>
    <s v="KEVIN ROLDAN, Bryant Myers, Lyanno"/>
    <n v="69"/>
    <s v="Reggaeton Hits"/>
    <s v="HASTA ABAJO"/>
    <d v="2019-10-04T00:00:00"/>
    <n v="1"/>
    <n v="5"/>
    <n v="3.8166666666666669"/>
    <n v="0.29199999999999998"/>
    <x v="32"/>
  </r>
  <r>
    <n v="0.745"/>
    <n v="949"/>
    <n v="0.79300000000000004"/>
    <x v="17"/>
    <n v="0.71599999999999997"/>
    <s v="Myke Towers"/>
    <n v="69"/>
    <s v="Reggaeton Hits"/>
    <s v="ALMAS GEMELAS"/>
    <d v="2021-07-22T00:00:00"/>
    <n v="1"/>
    <n v="7"/>
    <n v="3.9166666666666665"/>
    <n v="0.182"/>
    <x v="32"/>
  </r>
  <r>
    <n v="0.76600000000000001"/>
    <n v="960"/>
    <n v="0.88"/>
    <x v="17"/>
    <n v="0.59399999999999997"/>
    <s v="Ozuna, Bad Gyal"/>
    <n v="69"/>
    <s v="Reggaeton Hits"/>
    <s v="Guay"/>
    <d v="2024-04-18T00:00:00"/>
    <n v="0"/>
    <n v="1"/>
    <n v="3.5"/>
    <n v="8.8099999999999998E-2"/>
    <x v="32"/>
  </r>
  <r>
    <n v="0.76100000000000001"/>
    <n v="168"/>
    <n v="0.71399999999999997"/>
    <x v="17"/>
    <n v="0.90600000000000003"/>
    <s v="Ozuna, J Balvin, Chencho Corleone"/>
    <n v="69"/>
    <s v="Reggaeton Hits"/>
    <s v="Una Locura"/>
    <d v="2020-09-04T00:00:00"/>
    <n v="0"/>
    <n v="5"/>
    <n v="3.8333333333333335"/>
    <n v="0.13900000000000001"/>
    <x v="32"/>
  </r>
  <r>
    <n v="0.78100000000000003"/>
    <n v="107"/>
    <n v="0.81100000000000005"/>
    <x v="17"/>
    <n v="0.82399999999999995"/>
    <s v="Rema"/>
    <n v="69"/>
    <s v="Afro-Latin Party"/>
    <s v="Calm Down"/>
    <d v="2022-02-10T00:00:00"/>
    <n v="1"/>
    <n v="11"/>
    <n v="3.65"/>
    <n v="0.376"/>
    <x v="33"/>
  </r>
  <r>
    <n v="0.68899999999999995"/>
    <n v="979"/>
    <n v="0.88200000000000001"/>
    <x v="17"/>
    <n v="0.746"/>
    <s v="ROSALiA, J Balvin, El Guincho"/>
    <n v="69"/>
    <s v="Reggaeton Hits"/>
    <s v="Con Altura"/>
    <d v="2019-03-28T00:00:00"/>
    <n v="1"/>
    <n v="6"/>
    <n v="2.6833333333333331"/>
    <n v="0.39"/>
    <x v="32"/>
  </r>
  <r>
    <n v="0.75900000000000001"/>
    <n v="919"/>
    <n v="0.78"/>
    <x v="17"/>
    <n v="0.57899999999999996"/>
    <s v="ROSALiA, Ozuna"/>
    <n v="69"/>
    <s v="Reggaeton Hits"/>
    <s v="Yo x Ti, Tu x Mi"/>
    <d v="2019-08-15T00:00:00"/>
    <n v="1"/>
    <n v="1"/>
    <n v="3.35"/>
    <n v="0.46200000000000002"/>
    <x v="32"/>
  </r>
  <r>
    <n v="0.78700000000000003"/>
    <n v="165"/>
    <n v="0.80900000000000005"/>
    <x v="17"/>
    <n v="0.9"/>
    <s v="Alemi°n, Gera MX"/>
    <n v="68"/>
    <s v="Viva Latino"/>
    <s v="Como Pacman"/>
    <d v="2024-10-31T00:00:00"/>
    <n v="1"/>
    <n v="8"/>
    <n v="2.4666666666666668"/>
    <n v="0.126"/>
    <x v="5"/>
  </r>
  <r>
    <n v="0.503"/>
    <n v="999"/>
    <n v="0.79200000000000004"/>
    <x v="17"/>
    <n v="0.38100000000000001"/>
    <s v="Ayra Starr"/>
    <n v="68"/>
    <s v="Afro-Latin Party"/>
    <s v="Rush"/>
    <d v="2022-09-16T00:00:00"/>
    <n v="1"/>
    <n v="1"/>
    <n v="3.0833333333333335"/>
    <n v="3.6900000000000002E-2"/>
    <x v="33"/>
  </r>
  <r>
    <n v="0.80100000000000005"/>
    <n v="939"/>
    <n v="0.76200000000000001"/>
    <x v="17"/>
    <n v="0.81"/>
    <s v="Bad Bunny"/>
    <n v="68"/>
    <s v="Reggaeton Hits"/>
    <s v="La Zona"/>
    <d v="2020-02-29T00:00:00"/>
    <n v="0"/>
    <n v="1"/>
    <n v="2.2666666666666666"/>
    <n v="0.2"/>
    <x v="32"/>
  </r>
  <r>
    <n v="0.89600000000000002"/>
    <n v="906"/>
    <n v="0.66200000000000003"/>
    <x v="17"/>
    <n v="0.79"/>
    <s v="Don Omar, Tego Calderi≥n"/>
    <n v="68"/>
    <s v="Latino Hip-Hop"/>
    <s v="Bandoleros"/>
    <d v="2006-06-20T00:00:00"/>
    <n v="0"/>
    <n v="5"/>
    <n v="5.083333333333333"/>
    <n v="0.318"/>
    <x v="35"/>
  </r>
  <r>
    <n v="0.48499999999999999"/>
    <n v="100"/>
    <n v="0.84299999999999997"/>
    <x v="17"/>
    <n v="0.68899999999999995"/>
    <s v="Drake, Tems"/>
    <n v="68"/>
    <s v="Afro-Latin Party"/>
    <s v="Fountains (with Tems)"/>
    <d v="2021-09-03T00:00:00"/>
    <n v="0"/>
    <n v="10"/>
    <n v="3.2"/>
    <n v="0.18099999999999999"/>
    <x v="33"/>
  </r>
  <r>
    <n v="0.78600000000000003"/>
    <n v="111"/>
    <n v="0.78100000000000003"/>
    <x v="17"/>
    <n v="0.75900000000000001"/>
    <s v="Feid, Rema"/>
    <n v="68"/>
    <s v="Chill Spanish Vibes"/>
    <s v="BUBALU"/>
    <d v="2023-09-22T00:00:00"/>
    <n v="0"/>
    <n v="6"/>
    <n v="3.8"/>
    <n v="0.115"/>
    <x v="4"/>
  </r>
  <r>
    <n v="0.66200000000000003"/>
    <n v="939"/>
    <n v="0.89200000000000002"/>
    <x v="17"/>
    <n v="0.60699999999999998"/>
    <s v="iëengo Flow, Bad Bunny"/>
    <n v="68"/>
    <s v="Chill Spanish Vibes"/>
    <s v="Gato de Noche"/>
    <d v="2022-12-22T00:00:00"/>
    <n v="1"/>
    <n v="8"/>
    <n v="3.7833333333333332"/>
    <n v="0.16900000000000001"/>
    <x v="4"/>
  </r>
  <r>
    <n v="0.66200000000000003"/>
    <n v="939"/>
    <n v="0.89200000000000002"/>
    <x v="17"/>
    <n v="0.60699999999999998"/>
    <s v="iëengo Flow, Bad Bunny"/>
    <n v="68"/>
    <s v="Reggaeton Hits"/>
    <s v="Gato de Noche"/>
    <d v="2022-12-22T00:00:00"/>
    <n v="1"/>
    <n v="8"/>
    <n v="3.7833333333333332"/>
    <n v="0.16900000000000001"/>
    <x v="32"/>
  </r>
  <r>
    <n v="0.85799999999999998"/>
    <n v="925"/>
    <n v="0.627"/>
    <x v="17"/>
    <n v="0.34200000000000003"/>
    <s v="KAROL G, Maldy"/>
    <n v="68"/>
    <s v="Reggaeton Hits"/>
    <s v="GAT√öBELA"/>
    <d v="2022-08-26T00:00:00"/>
    <n v="0"/>
    <n v="11"/>
    <n v="3.4833333333333334"/>
    <n v="0.26300000000000001"/>
    <x v="32"/>
  </r>
  <r>
    <n v="0.48299999999999998"/>
    <n v="909"/>
    <n v="0.73799999999999999"/>
    <x v="17"/>
    <n v="0.77400000000000002"/>
    <s v="Los Angeles Azules"/>
    <n v="68"/>
    <s v="Cumbia Classics"/>
    <s v="17 A√±os"/>
    <d v="1999-01-01T00:00:00"/>
    <n v="1"/>
    <n v="0"/>
    <n v="3.0166666666666666"/>
    <n v="0.46700000000000003"/>
    <x v="34"/>
  </r>
  <r>
    <n v="0.80400000000000005"/>
    <n v="110"/>
    <n v="0.82"/>
    <x v="17"/>
    <n v="0.84399999999999997"/>
    <s v="Piso 21"/>
    <n v="68"/>
    <s v="Chill Spanish Vibes"/>
    <s v="Tan Bonita"/>
    <d v="2021-03-18T00:00:00"/>
    <n v="1"/>
    <n v="9"/>
    <n v="3.5166666666666666"/>
    <n v="0.17499999999999999"/>
    <x v="4"/>
  </r>
  <r>
    <n v="0.69399999999999995"/>
    <n v="900"/>
    <n v="0.86899999999999999"/>
    <x v="17"/>
    <n v="0.51100000000000001"/>
    <s v="Rauw Alejandro, Chencho Corleone"/>
    <n v="68"/>
    <s v="Reggaeton Hits"/>
    <s v="Desesperados"/>
    <d v="2021-12-11T00:00:00"/>
    <n v="0"/>
    <n v="1"/>
    <n v="3.7333333333333334"/>
    <n v="0.35599999999999998"/>
    <x v="32"/>
  </r>
  <r>
    <n v="0.76900000000000002"/>
    <n v="167"/>
    <n v="0.77100000000000002"/>
    <x v="17"/>
    <n v="0.93100000000000005"/>
    <s v="Rauw Alejandro, Chencho Corleone, KEVVO, Bryant Myers, Lyanno, Dalex"/>
    <n v="68"/>
    <s v="Reggaeton Hits"/>
    <s v="El Efecto - Remix"/>
    <d v="2019-12-13T00:00:00"/>
    <n v="0"/>
    <n v="0"/>
    <n v="4.8166666666666664"/>
    <n v="0.18"/>
    <x v="32"/>
  </r>
  <r>
    <n v="0.501"/>
    <n v="103"/>
    <n v="0.63700000000000001"/>
    <x v="17"/>
    <n v="0.43099999999999999"/>
    <s v="Rotimi, Wale"/>
    <n v="68"/>
    <s v="Afro-Latin Party"/>
    <s v="In My Bed"/>
    <d v="2019-12-13T00:00:00"/>
    <n v="0"/>
    <n v="0"/>
    <n v="3.0833333333333335"/>
    <n v="0.22900000000000001"/>
    <x v="33"/>
  </r>
  <r>
    <n v="0.85599999999999998"/>
    <n v="123"/>
    <n v="0.748"/>
    <x v="17"/>
    <n v="0.92700000000000005"/>
    <s v="Sebastian Yatra"/>
    <n v="68"/>
    <s v="Chill Spanish Vibes"/>
    <s v="Tacones Rojos"/>
    <d v="2021-10-22T00:00:00"/>
    <n v="0"/>
    <n v="11"/>
    <n v="3.15"/>
    <n v="8.2400000000000001E-2"/>
    <x v="4"/>
  </r>
  <r>
    <n v="0.23499999999999999"/>
    <n v="118"/>
    <n v="0.498"/>
    <x v="18"/>
    <n v="8.9499999999999996E-2"/>
    <s v="Kina, Sni∏w"/>
    <n v="73"/>
    <s v="Lofi Hip Hop"/>
    <s v="Get You The Moon (feat. Sn√∏w)"/>
    <d v="2018-10-08T00:00:00"/>
    <n v="0"/>
    <n v="1"/>
    <n v="2.9833333333333334"/>
    <n v="0.72"/>
    <x v="35"/>
  </r>
  <r>
    <n v="0.128"/>
    <n v="109"/>
    <n v="0.52200000000000002"/>
    <x v="18"/>
    <n v="0.124"/>
    <s v="Kina, Adriana Proenza"/>
    <n v="70"/>
    <s v="Lofi Hip Hop"/>
    <s v="Can We Kiss Forever?"/>
    <d v="2018-08-31T00:00:00"/>
    <n v="1"/>
    <n v="4"/>
    <n v="3.1166666666666667"/>
    <n v="0.89400000000000002"/>
    <x v="35"/>
  </r>
  <r>
    <n v="0.93400000000000005"/>
    <n v="127"/>
    <n v="0.41699999999999998"/>
    <x v="19"/>
    <n v="0.28699999999999998"/>
    <s v="System Of A Down"/>
    <n v="83"/>
    <s v="Metal Essentials"/>
    <s v="Chop Suey!"/>
    <d v="2001-09-04T00:00:00"/>
    <n v="0"/>
    <n v="7"/>
    <n v="3.5"/>
    <n v="2.7799999999999998E-4"/>
    <x v="6"/>
  </r>
  <r>
    <n v="0.93400000000000005"/>
    <n v="127"/>
    <n v="0.41699999999999998"/>
    <x v="19"/>
    <n v="0.28699999999999998"/>
    <s v="System Of A Down"/>
    <n v="83"/>
    <s v="Death Metal Essentials"/>
    <s v="Chop Suey!"/>
    <d v="2001-09-04T00:00:00"/>
    <n v="0"/>
    <n v="7"/>
    <n v="3.5"/>
    <n v="2.7799999999999998E-4"/>
    <x v="36"/>
  </r>
  <r>
    <n v="0.98199999999999998"/>
    <n v="143"/>
    <n v="0.35399999999999998"/>
    <x v="19"/>
    <n v="0.19400000000000001"/>
    <s v="Slipknot"/>
    <n v="80"/>
    <s v="Metal Essentials"/>
    <s v="Duality"/>
    <d v="1905-06-26T00:00:00"/>
    <n v="0"/>
    <n v="4"/>
    <n v="4.2"/>
    <n v="2.3699999999999999E-4"/>
    <x v="6"/>
  </r>
  <r>
    <n v="0.98199999999999998"/>
    <n v="143"/>
    <n v="0.35399999999999998"/>
    <x v="19"/>
    <n v="0.19400000000000001"/>
    <s v="Slipknot"/>
    <n v="80"/>
    <s v="Death Metal Essentials"/>
    <s v="Duality"/>
    <d v="1905-06-26T00:00:00"/>
    <n v="0"/>
    <n v="4"/>
    <n v="4.2"/>
    <n v="2.3699999999999999E-4"/>
    <x v="36"/>
  </r>
  <r>
    <n v="0.82799999999999996"/>
    <n v="123"/>
    <n v="0.57699999999999996"/>
    <x v="19"/>
    <n v="0.60399999999999998"/>
    <s v="Metallica"/>
    <n v="79"/>
    <s v="Metal Essentials"/>
    <s v="Enter Sandman"/>
    <d v="1991-08-12T00:00:00"/>
    <n v="0"/>
    <n v="6"/>
    <n v="5.5166666666666666"/>
    <n v="2.1299999999999999E-3"/>
    <x v="6"/>
  </r>
  <r>
    <n v="0.82799999999999996"/>
    <n v="123"/>
    <n v="0.57699999999999996"/>
    <x v="19"/>
    <n v="0.60399999999999998"/>
    <s v="Metallica"/>
    <n v="79"/>
    <s v="Death Metal Essentials"/>
    <s v="Enter Sandman"/>
    <d v="1991-08-12T00:00:00"/>
    <n v="0"/>
    <n v="6"/>
    <n v="5.5166666666666666"/>
    <n v="2.1299999999999999E-3"/>
    <x v="36"/>
  </r>
  <r>
    <n v="0.78100000000000003"/>
    <n v="718"/>
    <n v="0.443"/>
    <x v="19"/>
    <n v="0.372"/>
    <s v="Deftones"/>
    <n v="77"/>
    <s v="Metal Essentials"/>
    <s v="My Own Summer (Shove It)"/>
    <d v="1997-10-27T00:00:00"/>
    <n v="1"/>
    <n v="1"/>
    <n v="3.5666666666666669"/>
    <n v="1.33E-5"/>
    <x v="6"/>
  </r>
  <r>
    <n v="0.78100000000000003"/>
    <n v="718"/>
    <n v="0.443"/>
    <x v="19"/>
    <n v="0.372"/>
    <s v="Deftones"/>
    <n v="77"/>
    <s v="Death Metal Essentials"/>
    <s v="My Own Summer (Shove It)"/>
    <d v="1997-10-27T00:00:00"/>
    <n v="1"/>
    <n v="1"/>
    <n v="3.5666666666666669"/>
    <n v="1.33E-5"/>
    <x v="36"/>
  </r>
  <r>
    <n v="0.89800000000000002"/>
    <n v="103"/>
    <n v="0.35299999999999998"/>
    <x v="19"/>
    <n v="0.52500000000000002"/>
    <s v="Korn"/>
    <n v="77"/>
    <s v="Metal Essentials"/>
    <s v="Freak On a Leash"/>
    <d v="1998-08-18T00:00:00"/>
    <n v="1"/>
    <n v="2"/>
    <n v="4.25"/>
    <n v="2.23E-5"/>
    <x v="6"/>
  </r>
  <r>
    <n v="0.89800000000000002"/>
    <n v="103"/>
    <n v="0.35299999999999998"/>
    <x v="19"/>
    <n v="0.52500000000000002"/>
    <s v="Korn"/>
    <n v="77"/>
    <s v="Death Metal Essentials"/>
    <s v="Freak On a Leash"/>
    <d v="1998-08-18T00:00:00"/>
    <n v="1"/>
    <n v="2"/>
    <n v="4.25"/>
    <n v="2.23E-5"/>
    <x v="36"/>
  </r>
  <r>
    <n v="0.96299999999999997"/>
    <n v="125"/>
    <n v="0.59"/>
    <x v="19"/>
    <n v="0.58599999999999997"/>
    <s v="Rob Zombie"/>
    <n v="77"/>
    <s v="Metal Essentials"/>
    <s v="Dragula"/>
    <d v="1998-01-01T00:00:00"/>
    <n v="0"/>
    <n v="0"/>
    <n v="3.7"/>
    <n v="8.7499999999999999E-5"/>
    <x v="6"/>
  </r>
  <r>
    <n v="0.96299999999999997"/>
    <n v="125"/>
    <n v="0.59"/>
    <x v="19"/>
    <n v="0.58599999999999997"/>
    <s v="Rob Zombie"/>
    <n v="77"/>
    <s v="Death Metal Essentials"/>
    <s v="Dragula"/>
    <d v="1998-01-01T00:00:00"/>
    <n v="0"/>
    <n v="0"/>
    <n v="3.7"/>
    <n v="8.7499999999999999E-5"/>
    <x v="36"/>
  </r>
  <r>
    <n v="0.91600000000000004"/>
    <n v="118"/>
    <n v="0.57999999999999996"/>
    <x v="19"/>
    <n v="0.68300000000000005"/>
    <s v="Avenged Sevenfold"/>
    <n v="75"/>
    <s v="Metal Essentials"/>
    <s v="Hail to the King"/>
    <d v="2013-08-23T00:00:00"/>
    <n v="0"/>
    <n v="3"/>
    <n v="5.083333333333333"/>
    <n v="2.9700000000000001E-4"/>
    <x v="6"/>
  </r>
  <r>
    <n v="0.91600000000000004"/>
    <n v="118"/>
    <n v="0.57999999999999996"/>
    <x v="19"/>
    <n v="0.68300000000000005"/>
    <s v="Avenged Sevenfold"/>
    <n v="75"/>
    <s v="Death Metal Essentials"/>
    <s v="Hail to the King"/>
    <d v="2013-08-23T00:00:00"/>
    <n v="0"/>
    <n v="3"/>
    <n v="5.083333333333333"/>
    <n v="2.9700000000000001E-4"/>
    <x v="36"/>
  </r>
  <r>
    <n v="0.83599999999999997"/>
    <n v="105"/>
    <n v="0.54300000000000004"/>
    <x v="19"/>
    <n v="0.56000000000000005"/>
    <s v="Metallica"/>
    <n v="75"/>
    <s v="Metal Essentials"/>
    <s v="Master Of Puppets"/>
    <d v="1986-03-03T00:00:00"/>
    <n v="0"/>
    <n v="4"/>
    <n v="8.5833333333333339"/>
    <n v="6.4700000000000001E-4"/>
    <x v="6"/>
  </r>
  <r>
    <n v="0.83599999999999997"/>
    <n v="105"/>
    <n v="0.54300000000000004"/>
    <x v="19"/>
    <n v="0.56000000000000005"/>
    <s v="Metallica"/>
    <n v="75"/>
    <s v="Death Metal Essentials"/>
    <s v="Master Of Puppets"/>
    <d v="1986-03-03T00:00:00"/>
    <n v="0"/>
    <n v="4"/>
    <n v="8.5833333333333339"/>
    <n v="6.4700000000000001E-4"/>
    <x v="36"/>
  </r>
  <r>
    <n v="0.70399999999999996"/>
    <n v="118"/>
    <n v="0.43"/>
    <x v="19"/>
    <n v="0.70299999999999996"/>
    <s v="Pantera"/>
    <n v="73"/>
    <s v="Metal Essentials"/>
    <s v="Walk"/>
    <d v="1992-02-21T00:00:00"/>
    <n v="0"/>
    <n v="1"/>
    <n v="5.25"/>
    <n v="1.55E-4"/>
    <x v="6"/>
  </r>
  <r>
    <n v="0.70399999999999996"/>
    <n v="118"/>
    <n v="0.43"/>
    <x v="19"/>
    <n v="0.70299999999999996"/>
    <s v="Pantera"/>
    <n v="73"/>
    <s v="Death Metal Essentials"/>
    <s v="Walk"/>
    <d v="1992-02-21T00:00:00"/>
    <n v="0"/>
    <n v="1"/>
    <n v="5.25"/>
    <n v="1.55E-4"/>
    <x v="36"/>
  </r>
  <r>
    <n v="0.69499999999999995"/>
    <n v="102"/>
    <n v="0.437"/>
    <x v="19"/>
    <n v="0.41299999999999998"/>
    <s v="Metallica"/>
    <n v="72"/>
    <s v="Metal Essentials"/>
    <s v="One"/>
    <d v="1988-08-25T00:00:00"/>
    <n v="1"/>
    <n v="7"/>
    <n v="7.45"/>
    <n v="1.1100000000000001E-3"/>
    <x v="6"/>
  </r>
  <r>
    <n v="0.69499999999999995"/>
    <n v="102"/>
    <n v="0.437"/>
    <x v="19"/>
    <n v="0.41299999999999998"/>
    <s v="Metallica"/>
    <n v="72"/>
    <s v="Death Metal Essentials"/>
    <s v="One"/>
    <d v="1988-08-25T00:00:00"/>
    <n v="1"/>
    <n v="7"/>
    <n v="7.45"/>
    <n v="1.1100000000000001E-3"/>
    <x v="36"/>
  </r>
  <r>
    <n v="0.90800000000000003"/>
    <n v="159"/>
    <n v="0.28499999999999998"/>
    <x v="19"/>
    <n v="0.66900000000000004"/>
    <s v="Iron Maiden"/>
    <n v="71"/>
    <s v="Metal Essentials"/>
    <s v="The Trooper - 2015 Remaster"/>
    <d v="1905-06-05T00:00:00"/>
    <n v="0"/>
    <n v="4"/>
    <n v="4.2"/>
    <n v="3.1800000000000002E-2"/>
    <x v="6"/>
  </r>
  <r>
    <n v="0.90800000000000003"/>
    <n v="159"/>
    <n v="0.28499999999999998"/>
    <x v="19"/>
    <n v="0.66900000000000004"/>
    <s v="Iron Maiden"/>
    <n v="71"/>
    <s v="Death Metal Essentials"/>
    <s v="The Trooper - 2015 Remaster"/>
    <d v="1905-06-05T00:00:00"/>
    <n v="0"/>
    <n v="4"/>
    <n v="4.2"/>
    <n v="3.1800000000000002E-2"/>
    <x v="36"/>
  </r>
  <r>
    <n v="0.90800000000000003"/>
    <n v="114"/>
    <n v="0.41499999999999998"/>
    <x v="19"/>
    <n v="0.437"/>
    <s v="Pantera"/>
    <n v="71"/>
    <s v="Metal Essentials"/>
    <s v="Cowboys from Hell"/>
    <d v="1990-07-20T00:00:00"/>
    <n v="1"/>
    <n v="2"/>
    <n v="4.05"/>
    <n v="4.3699999999999998E-3"/>
    <x v="6"/>
  </r>
  <r>
    <n v="0.90800000000000003"/>
    <n v="114"/>
    <n v="0.41499999999999998"/>
    <x v="19"/>
    <n v="0.437"/>
    <s v="Pantera"/>
    <n v="71"/>
    <s v="Heavy Metal Classics"/>
    <s v="Cowboys from Hell"/>
    <d v="1990-07-20T00:00:00"/>
    <n v="1"/>
    <n v="2"/>
    <n v="4.05"/>
    <n v="4.3699999999999998E-3"/>
    <x v="37"/>
  </r>
  <r>
    <n v="0.90800000000000003"/>
    <n v="114"/>
    <n v="0.41499999999999998"/>
    <x v="19"/>
    <n v="0.437"/>
    <s v="Pantera"/>
    <n v="71"/>
    <s v="Death Metal Essentials"/>
    <s v="Cowboys from Hell"/>
    <d v="1990-07-20T00:00:00"/>
    <n v="1"/>
    <n v="2"/>
    <n v="4.05"/>
    <n v="4.3699999999999998E-3"/>
    <x v="36"/>
  </r>
  <r>
    <n v="0.94899999999999995"/>
    <n v="129"/>
    <n v="0.55400000000000005"/>
    <x v="19"/>
    <n v="0.23300000000000001"/>
    <s v="Avenged Sevenfold"/>
    <n v="70"/>
    <s v="Metal Essentials"/>
    <s v="Nightmare"/>
    <d v="2010-07-23T00:00:00"/>
    <n v="1"/>
    <n v="2"/>
    <n v="6.2333333333333334"/>
    <n v="3.1799999999999998E-4"/>
    <x v="6"/>
  </r>
  <r>
    <n v="0.94899999999999995"/>
    <n v="129"/>
    <n v="0.55400000000000005"/>
    <x v="19"/>
    <n v="0.23300000000000001"/>
    <s v="Avenged Sevenfold"/>
    <n v="70"/>
    <s v="Death Metal Essentials"/>
    <s v="Nightmare"/>
    <d v="2010-07-23T00:00:00"/>
    <n v="1"/>
    <n v="2"/>
    <n v="6.2333333333333334"/>
    <n v="3.1799999999999998E-4"/>
    <x v="36"/>
  </r>
  <r>
    <n v="0.76300000000000001"/>
    <n v="148"/>
    <n v="0.36499999999999999"/>
    <x v="19"/>
    <n v="0.34200000000000003"/>
    <s v="Danzig"/>
    <n v="69"/>
    <s v="Metal Essentials"/>
    <s v="Mother"/>
    <d v="1988-01-01T00:00:00"/>
    <n v="0"/>
    <n v="11"/>
    <n v="3.4"/>
    <n v="7.26E-3"/>
    <x v="6"/>
  </r>
  <r>
    <n v="0.76300000000000001"/>
    <n v="148"/>
    <n v="0.36499999999999999"/>
    <x v="19"/>
    <n v="0.34200000000000003"/>
    <s v="Danzig"/>
    <n v="69"/>
    <s v="Death Metal Essentials"/>
    <s v="Mother"/>
    <d v="1988-01-01T00:00:00"/>
    <n v="0"/>
    <n v="11"/>
    <n v="3.4"/>
    <n v="7.26E-3"/>
    <x v="36"/>
  </r>
  <r>
    <n v="0.86599999999999999"/>
    <n v="109"/>
    <n v="0.308"/>
    <x v="19"/>
    <n v="0.22700000000000001"/>
    <s v="Iron Maiden"/>
    <n v="69"/>
    <s v="Heavy Metal Classics"/>
    <s v="Fear of the Dark - 2015 Remaster"/>
    <d v="1905-06-14T00:00:00"/>
    <n v="0"/>
    <n v="2"/>
    <n v="7.3"/>
    <n v="7.3899999999999997E-4"/>
    <x v="37"/>
  </r>
  <r>
    <n v="0.89100000000000001"/>
    <n v="920"/>
    <n v="0.28299999999999997"/>
    <x v="19"/>
    <n v="0.22600000000000001"/>
    <s v="Korn"/>
    <n v="68"/>
    <s v="Metal Essentials"/>
    <s v="Blind"/>
    <d v="1994-10-11T00:00:00"/>
    <n v="1"/>
    <n v="2"/>
    <n v="4.3"/>
    <n v="6.7799999999999996E-3"/>
    <x v="6"/>
  </r>
  <r>
    <n v="0.89100000000000001"/>
    <n v="920"/>
    <n v="0.28299999999999997"/>
    <x v="19"/>
    <n v="0.22600000000000001"/>
    <s v="Korn"/>
    <n v="68"/>
    <s v="Death Metal Essentials"/>
    <s v="Blind"/>
    <d v="1994-10-11T00:00:00"/>
    <n v="1"/>
    <n v="2"/>
    <n v="4.3"/>
    <n v="6.7799999999999996E-3"/>
    <x v="36"/>
  </r>
  <r>
    <n v="0.96399999999999997"/>
    <n v="140"/>
    <n v="0.44500000000000001"/>
    <x v="19"/>
    <n v="0.44800000000000001"/>
    <s v="Metallica"/>
    <n v="68"/>
    <s v="Heavy Metal Classics"/>
    <s v="Seek &amp; Destroy - Remastered"/>
    <d v="1983-07-24T00:00:00"/>
    <n v="1"/>
    <n v="9"/>
    <n v="6.9"/>
    <n v="3.6999999999999998E-2"/>
    <x v="37"/>
  </r>
  <r>
    <n v="0.71399999999999997"/>
    <n v="107"/>
    <n v="0.56699999999999995"/>
    <x v="19"/>
    <n v="0.191"/>
    <s v="TOOL"/>
    <n v="68"/>
    <s v="Metal Essentials"/>
    <s v="Schism"/>
    <d v="2001-05-15T00:00:00"/>
    <n v="0"/>
    <n v="9"/>
    <n v="6.7166666666666668"/>
    <n v="1.1999999999999999E-3"/>
    <x v="6"/>
  </r>
  <r>
    <n v="0.71399999999999997"/>
    <n v="107"/>
    <n v="0.56699999999999995"/>
    <x v="19"/>
    <n v="0.191"/>
    <s v="TOOL"/>
    <n v="68"/>
    <s v="Death Metal Essentials"/>
    <s v="Schism"/>
    <d v="2001-05-15T00:00:00"/>
    <n v="0"/>
    <n v="9"/>
    <n v="6.7166666666666668"/>
    <n v="1.1999999999999999E-3"/>
    <x v="36"/>
  </r>
  <r>
    <n v="0.59199999999999997"/>
    <n v="157"/>
    <n v="0.52100000000000002"/>
    <x v="20"/>
    <n v="0.53500000000000003"/>
    <s v="Lady Gaga, Bruno Mars"/>
    <n v="100"/>
    <s v="Today's Top Hits"/>
    <s v="Die With A Smile"/>
    <d v="2024-08-16T00:00:00"/>
    <n v="0"/>
    <n v="6"/>
    <n v="4.1833333333333336"/>
    <n v="0.308"/>
    <x v="38"/>
  </r>
  <r>
    <n v="0.59199999999999997"/>
    <n v="157"/>
    <n v="0.52100000000000002"/>
    <x v="20"/>
    <n v="0.53500000000000003"/>
    <s v="Lady Gaga, Bruno Mars"/>
    <n v="100"/>
    <s v="Global Top 50"/>
    <s v="Die With A Smile"/>
    <d v="2024-08-16T00:00:00"/>
    <n v="0"/>
    <n v="6"/>
    <n v="4.1833333333333336"/>
    <n v="0.308"/>
    <x v="39"/>
  </r>
  <r>
    <n v="0.78300000000000003"/>
    <n v="149"/>
    <n v="0.77700000000000002"/>
    <x v="20"/>
    <n v="0.93899999999999995"/>
    <s v="Rosalia, Bruno Mars"/>
    <n v="98"/>
    <s v="Today's Top Hits"/>
    <s v="APT."/>
    <d v="2024-10-18T00:00:00"/>
    <n v="0"/>
    <n v="0"/>
    <n v="2.8166666666666669"/>
    <n v="2.8299999999999999E-2"/>
    <x v="38"/>
  </r>
  <r>
    <n v="0.78300000000000003"/>
    <n v="149"/>
    <n v="0.77700000000000002"/>
    <x v="20"/>
    <n v="0.93899999999999995"/>
    <s v="ROSiâ, Bruno Mars"/>
    <n v="98"/>
    <s v="Global Top 50"/>
    <s v="APT."/>
    <d v="2024-10-18T00:00:00"/>
    <n v="0"/>
    <n v="0"/>
    <n v="2.8166666666666669"/>
    <n v="2.8299999999999999E-2"/>
    <x v="39"/>
  </r>
  <r>
    <n v="0.50700000000000001"/>
    <n v="104"/>
    <n v="0.747"/>
    <x v="20"/>
    <n v="0.438"/>
    <s v="Billie Eilish"/>
    <n v="97"/>
    <s v="Today's Top Hits"/>
    <s v="BIRDS OF A FEATHER"/>
    <d v="2024-05-17T00:00:00"/>
    <n v="1"/>
    <n v="2"/>
    <n v="3.5"/>
    <n v="0.2"/>
    <x v="38"/>
  </r>
  <r>
    <n v="0.50700000000000001"/>
    <n v="104"/>
    <n v="0.747"/>
    <x v="20"/>
    <n v="0.438"/>
    <s v="Billie Eilish"/>
    <n v="97"/>
    <s v="Global Top 50"/>
    <s v="BIRDS OF A FEATHER"/>
    <d v="2024-05-17T00:00:00"/>
    <n v="1"/>
    <n v="2"/>
    <n v="3.5"/>
    <n v="0.2"/>
    <x v="39"/>
  </r>
  <r>
    <n v="0.58199999999999996"/>
    <n v="116"/>
    <n v="0.7"/>
    <x v="20"/>
    <n v="0.78500000000000003"/>
    <s v="Chappell Roan"/>
    <n v="94"/>
    <s v="Today's Top Hits"/>
    <s v="Good Luck, Babe!"/>
    <d v="2024-04-05T00:00:00"/>
    <n v="0"/>
    <n v="11"/>
    <n v="3.6333333333333333"/>
    <n v="5.0200000000000002E-2"/>
    <x v="38"/>
  </r>
  <r>
    <n v="0.58199999999999996"/>
    <n v="116"/>
    <n v="0.7"/>
    <x v="20"/>
    <n v="0.78500000000000003"/>
    <s v="Chappell Roan"/>
    <n v="94"/>
    <s v="Global Top 50"/>
    <s v="Good Luck, Babe!"/>
    <d v="2024-04-05T00:00:00"/>
    <n v="0"/>
    <n v="11"/>
    <n v="3.6333333333333333"/>
    <n v="5.0200000000000002E-2"/>
    <x v="39"/>
  </r>
  <r>
    <n v="0.247"/>
    <n v="148"/>
    <n v="0.46700000000000003"/>
    <x v="20"/>
    <n v="0.126"/>
    <s v="Billie Eilish"/>
    <n v="93"/>
    <s v="Today's Top Hits"/>
    <s v="WILDFLOWER"/>
    <d v="2024-05-17T00:00:00"/>
    <n v="0"/>
    <n v="6"/>
    <n v="4.3499999999999996"/>
    <n v="0.61199999999999999"/>
    <x v="38"/>
  </r>
  <r>
    <n v="0.247"/>
    <n v="148"/>
    <n v="0.46700000000000003"/>
    <x v="20"/>
    <n v="0.126"/>
    <s v="Billie Eilish"/>
    <n v="93"/>
    <s v="Global Top 50"/>
    <s v="WILDFLOWER"/>
    <d v="2024-05-17T00:00:00"/>
    <n v="0"/>
    <n v="6"/>
    <n v="4.3499999999999996"/>
    <n v="0.61199999999999999"/>
    <x v="39"/>
  </r>
  <r>
    <n v="0.41299999999999998"/>
    <n v="949"/>
    <n v="0.49399999999999999"/>
    <x v="20"/>
    <n v="0.27300000000000002"/>
    <s v="Gigi Perez"/>
    <n v="93"/>
    <s v="Global Top 50"/>
    <s v="Sailor Song"/>
    <d v="2024-07-26T00:00:00"/>
    <n v="1"/>
    <n v="11"/>
    <n v="3.5166666666666666"/>
    <n v="0.68200000000000005"/>
    <x v="39"/>
  </r>
  <r>
    <n v="0.80800000000000005"/>
    <n v="108"/>
    <n v="0.55400000000000005"/>
    <x v="20"/>
    <n v="0.372"/>
    <s v="Gracie Abrams"/>
    <n v="93"/>
    <s v="Today's Top Hits"/>
    <s v="That‚Äôs So True"/>
    <d v="2024-10-18T00:00:00"/>
    <n v="1"/>
    <n v="1"/>
    <n v="2.7666666666666666"/>
    <n v="0.214"/>
    <x v="38"/>
  </r>
  <r>
    <n v="0.80800000000000005"/>
    <n v="108"/>
    <n v="0.55400000000000005"/>
    <x v="20"/>
    <n v="0.372"/>
    <s v="Gracie Abrams"/>
    <n v="93"/>
    <s v="Global Top 50"/>
    <s v="That‚Äôs So True"/>
    <d v="2024-10-18T00:00:00"/>
    <n v="1"/>
    <n v="1"/>
    <n v="2.7666666666666666"/>
    <n v="0.214"/>
    <x v="39"/>
  </r>
  <r>
    <n v="0.66800000000000004"/>
    <n v="128"/>
    <n v="0.92400000000000004"/>
    <x v="20"/>
    <n v="0.78700000000000003"/>
    <s v="KAROL G"/>
    <n v="93"/>
    <s v="Today's Top Hits"/>
    <s v="Si Antes Te Hubiera Conocido"/>
    <d v="2024-06-21T00:00:00"/>
    <n v="1"/>
    <n v="11"/>
    <n v="3.25"/>
    <n v="0.44600000000000001"/>
    <x v="38"/>
  </r>
  <r>
    <n v="0.66800000000000004"/>
    <n v="128"/>
    <n v="0.92400000000000004"/>
    <x v="20"/>
    <n v="0.78700000000000003"/>
    <s v="KAROL G"/>
    <n v="93"/>
    <s v="Global Top 50"/>
    <s v="Si Antes Te Hubiera Conocido"/>
    <d v="2024-06-21T00:00:00"/>
    <n v="1"/>
    <n v="11"/>
    <n v="3.25"/>
    <n v="0.44600000000000001"/>
    <x v="39"/>
  </r>
  <r>
    <n v="0.65100000000000002"/>
    <n v="112"/>
    <n v="0.69399999999999995"/>
    <x v="20"/>
    <n v="0.47099999999999997"/>
    <s v="Oscar Maydon, Fuerza Regida"/>
    <n v="93"/>
    <s v="Today's Top Hits"/>
    <s v="Tu Boda"/>
    <d v="2024-09-26T00:00:00"/>
    <n v="1"/>
    <n v="6"/>
    <n v="3.75"/>
    <n v="0.496"/>
    <x v="38"/>
  </r>
  <r>
    <n v="0.65100000000000002"/>
    <n v="112"/>
    <n v="0.69399999999999995"/>
    <x v="20"/>
    <n v="0.47099999999999997"/>
    <s v="Oscar Maydon, Fuerza Regida"/>
    <n v="93"/>
    <s v="Global Top 50"/>
    <s v="Tu Boda"/>
    <d v="2024-09-26T00:00:00"/>
    <n v="1"/>
    <n v="6"/>
    <n v="3.75"/>
    <n v="0.496"/>
    <x v="39"/>
  </r>
  <r>
    <n v="0.90700000000000003"/>
    <n v="112"/>
    <n v="0.67400000000000004"/>
    <x v="20"/>
    <n v="0.72099999999999997"/>
    <s v="Sabrina Carpenter"/>
    <n v="93"/>
    <s v="Global Top 50"/>
    <s v="Taste"/>
    <d v="2024-08-23T00:00:00"/>
    <n v="1"/>
    <n v="3"/>
    <n v="2.6166666666666667"/>
    <n v="0.10100000000000001"/>
    <x v="39"/>
  </r>
  <r>
    <n v="0.75600000000000001"/>
    <n v="116"/>
    <n v="0.66"/>
    <x v="20"/>
    <n v="0.83799999999999997"/>
    <s v="Jimin"/>
    <n v="92"/>
    <s v="Today's Top Hits"/>
    <s v="Who"/>
    <d v="2024-07-19T00:00:00"/>
    <n v="0"/>
    <n v="0"/>
    <n v="2.8333333333333335"/>
    <n v="2.8900000000000002E-3"/>
    <x v="38"/>
  </r>
  <r>
    <n v="0.75600000000000001"/>
    <n v="116"/>
    <n v="0.66"/>
    <x v="20"/>
    <n v="0.83799999999999997"/>
    <s v="Jimin"/>
    <n v="92"/>
    <s v="Global Top 50"/>
    <s v="Who"/>
    <d v="2024-07-19T00:00:00"/>
    <n v="0"/>
    <n v="0"/>
    <n v="2.8333333333333335"/>
    <n v="2.8900000000000002E-3"/>
    <x v="39"/>
  </r>
  <r>
    <n v="0.72199999999999998"/>
    <n v="119"/>
    <n v="0.76900000000000002"/>
    <x v="20"/>
    <n v="0.56999999999999995"/>
    <s v="The Weeknd, Playboi Carti"/>
    <n v="92"/>
    <s v="Today's Top Hits"/>
    <s v="Timeless (with Playboi Carti)"/>
    <d v="2024-09-27T00:00:00"/>
    <n v="0"/>
    <n v="11"/>
    <n v="4.2666666666666666"/>
    <n v="5.8400000000000001E-2"/>
    <x v="38"/>
  </r>
  <r>
    <n v="0.72199999999999998"/>
    <n v="119"/>
    <n v="0.76900000000000002"/>
    <x v="20"/>
    <n v="0.56999999999999995"/>
    <s v="The Weeknd, Playboi Carti"/>
    <n v="92"/>
    <s v="Global Top 50"/>
    <s v="Timeless (with Playboi Carti)"/>
    <d v="2024-09-27T00:00:00"/>
    <n v="0"/>
    <n v="11"/>
    <n v="4.2666666666666666"/>
    <n v="5.8400000000000001E-2"/>
    <x v="39"/>
  </r>
  <r>
    <n v="0.41699999999999998"/>
    <n v="675"/>
    <n v="0.46400000000000002"/>
    <x v="20"/>
    <n v="0.47899999999999998"/>
    <s v="Arctic Monkeys"/>
    <n v="90"/>
    <s v="Global Top 50"/>
    <s v="I Wanna Be Yours"/>
    <d v="2013-09-09T00:00:00"/>
    <n v="0"/>
    <n v="0"/>
    <n v="3.05"/>
    <n v="0.13600000000000001"/>
    <x v="39"/>
  </r>
  <r>
    <n v="0.40600000000000003"/>
    <n v="115"/>
    <n v="0.53"/>
    <x v="20"/>
    <n v="0.33800000000000002"/>
    <s v="Gracie Abrams"/>
    <n v="90"/>
    <s v="Today's Top Hits"/>
    <s v="I Love You, I'm Sorry"/>
    <d v="2024-06-21T00:00:00"/>
    <n v="1"/>
    <n v="10"/>
    <n v="2.6166666666666667"/>
    <n v="0.65600000000000003"/>
    <x v="38"/>
  </r>
  <r>
    <n v="0.40600000000000003"/>
    <n v="115"/>
    <n v="0.53"/>
    <x v="20"/>
    <n v="0.33800000000000002"/>
    <s v="Gracie Abrams"/>
    <n v="90"/>
    <s v="Global Top 50"/>
    <s v="I Love You, I'm Sorry"/>
    <d v="2024-06-21T00:00:00"/>
    <n v="1"/>
    <n v="10"/>
    <n v="2.6166666666666667"/>
    <n v="0.65600000000000003"/>
    <x v="39"/>
  </r>
  <r>
    <n v="0.76"/>
    <n v="103"/>
    <n v="0.70099999999999996"/>
    <x v="20"/>
    <n v="0.69"/>
    <s v="Sabrina Carpenter"/>
    <n v="90"/>
    <s v="Today's Top Hits"/>
    <s v="Espresso"/>
    <d v="2024-04-12T00:00:00"/>
    <n v="1"/>
    <n v="0"/>
    <n v="2.9166666666666665"/>
    <n v="0.107"/>
    <x v="38"/>
  </r>
  <r>
    <n v="0.72699999999999998"/>
    <n v="949"/>
    <n v="0.73899999999999999"/>
    <x v="20"/>
    <n v="0.67600000000000005"/>
    <s v="Sabrina Carpenter"/>
    <n v="90"/>
    <s v="Global Top 50"/>
    <s v="Bed Chem"/>
    <d v="2024-08-23T00:00:00"/>
    <n v="0"/>
    <n v="11"/>
    <n v="2.85"/>
    <n v="6.7799999999999999E-2"/>
    <x v="39"/>
  </r>
  <r>
    <n v="0.80700000000000005"/>
    <n v="124"/>
    <n v="0.61199999999999999"/>
    <x v="20"/>
    <n v="0.39800000000000002"/>
    <s v="The Neighbourhood"/>
    <n v="90"/>
    <s v="Global Top 50"/>
    <s v="Sweater Weather"/>
    <d v="2013-04-22T00:00:00"/>
    <n v="1"/>
    <n v="10"/>
    <n v="4"/>
    <n v="4.9500000000000002E-2"/>
    <x v="39"/>
  </r>
  <r>
    <n v="0.55900000000000005"/>
    <n v="785"/>
    <n v="0.55800000000000005"/>
    <x v="20"/>
    <n v="0.62"/>
    <s v="Tyler, The Creator, Kali Uchis"/>
    <n v="90"/>
    <s v="Global Top 50"/>
    <s v="See You Again (feat. Kali Uchis)"/>
    <d v="2017-07-21T00:00:00"/>
    <n v="1"/>
    <n v="6"/>
    <n v="3"/>
    <n v="0.371"/>
    <x v="39"/>
  </r>
  <r>
    <n v="0.47099999999999997"/>
    <n v="105"/>
    <n v="0.47199999999999998"/>
    <x v="20"/>
    <n v="0.219"/>
    <s v="Benson Boone"/>
    <n v="89"/>
    <s v="Global Top 50"/>
    <s v="Beautiful Things"/>
    <d v="2024-04-05T00:00:00"/>
    <n v="1"/>
    <n v="10"/>
    <n v="3"/>
    <n v="0.151"/>
    <x v="39"/>
  </r>
  <r>
    <n v="0.69799999999999995"/>
    <n v="143"/>
    <n v="0.72599999999999998"/>
    <x v="20"/>
    <n v="0.86699999999999999"/>
    <s v="Bruno Mars"/>
    <n v="89"/>
    <s v="Global Top 50"/>
    <s v="Locked out of Heaven"/>
    <d v="2012-12-07T00:00:00"/>
    <n v="1"/>
    <n v="5"/>
    <n v="3.8833333333333333"/>
    <n v="4.9000000000000002E-2"/>
    <x v="39"/>
  </r>
  <r>
    <n v="0.69799999999999995"/>
    <n v="143"/>
    <n v="0.72599999999999998"/>
    <x v="20"/>
    <n v="0.86699999999999999"/>
    <s v="Bruno Mars"/>
    <n v="89"/>
    <s v="Throwback Party"/>
    <s v="Locked out of Heaven"/>
    <d v="2012-12-07T00:00:00"/>
    <n v="1"/>
    <n v="5"/>
    <n v="3.8833333333333333"/>
    <n v="4.9000000000000002E-2"/>
    <x v="40"/>
  </r>
  <r>
    <n v="0.66100000000000003"/>
    <n v="173"/>
    <n v="0.42899999999999999"/>
    <x v="20"/>
    <n v="0.28499999999999998"/>
    <s v="Coldplay"/>
    <n v="89"/>
    <s v="Global Top 50"/>
    <s v="Yellow"/>
    <d v="2000-07-10T00:00:00"/>
    <n v="1"/>
    <n v="11"/>
    <n v="4.4333333333333336"/>
    <n v="2.3900000000000002E-3"/>
    <x v="39"/>
  </r>
  <r>
    <n v="0.66100000000000003"/>
    <n v="173"/>
    <n v="0.42899999999999999"/>
    <x v="20"/>
    <n v="0.28499999999999998"/>
    <s v="Coldplay"/>
    <n v="89"/>
    <s v="Soft Pop Hits"/>
    <s v="Yellow"/>
    <d v="2000-07-10T00:00:00"/>
    <n v="1"/>
    <n v="11"/>
    <n v="4.4333333333333336"/>
    <n v="2.3900000000000002E-3"/>
    <x v="41"/>
  </r>
  <r>
    <n v="0.45400000000000001"/>
    <n v="159"/>
    <n v="0.68899999999999995"/>
    <x v="20"/>
    <n v="0.91200000000000003"/>
    <s v="Djo"/>
    <n v="89"/>
    <s v="Today's Top Hits"/>
    <s v="End of Beginning"/>
    <d v="2022-09-16T00:00:00"/>
    <n v="1"/>
    <n v="2"/>
    <n v="2.65"/>
    <n v="3.5099999999999999E-2"/>
    <x v="38"/>
  </r>
  <r>
    <n v="0.45400000000000001"/>
    <n v="159"/>
    <n v="0.68899999999999995"/>
    <x v="20"/>
    <n v="0.91200000000000003"/>
    <s v="Djo"/>
    <n v="89"/>
    <s v="Soft Pop Hits"/>
    <s v="End of Beginning"/>
    <d v="2022-09-16T00:00:00"/>
    <n v="1"/>
    <n v="2"/>
    <n v="2.65"/>
    <n v="3.5099999999999999E-2"/>
    <x v="41"/>
  </r>
  <r>
    <n v="0.72499999999999998"/>
    <n v="116"/>
    <n v="0.89400000000000002"/>
    <x v="20"/>
    <n v="0.83799999999999997"/>
    <s v="JENNIE"/>
    <n v="89"/>
    <s v="Today's Top Hits"/>
    <s v="Mantra"/>
    <d v="2024-10-10T00:00:00"/>
    <n v="0"/>
    <n v="10"/>
    <n v="2.2666666666666666"/>
    <n v="4.3400000000000001E-3"/>
    <x v="38"/>
  </r>
  <r>
    <n v="0.872"/>
    <n v="184"/>
    <n v="0.46600000000000003"/>
    <x v="20"/>
    <n v="0.80600000000000005"/>
    <s v="Linkin Park"/>
    <n v="89"/>
    <s v="Today's Top Hits"/>
    <s v="The Emptiness Machine"/>
    <d v="2024-09-05T00:00:00"/>
    <n v="1"/>
    <n v="7"/>
    <n v="3.1666666666666665"/>
    <n v="1.5599999999999999E-2"/>
    <x v="38"/>
  </r>
  <r>
    <n v="0.68100000000000005"/>
    <n v="155"/>
    <n v="0.56000000000000005"/>
    <x v="20"/>
    <n v="0.38800000000000001"/>
    <s v="Omar Courtz, De La Rose"/>
    <n v="89"/>
    <s v="Today's Top Hits"/>
    <s v="Q U E V A S H A C E R H O Y ?"/>
    <d v="2024-09-20T00:00:00"/>
    <n v="0"/>
    <n v="6"/>
    <n v="3.7166666666666668"/>
    <n v="0.10299999999999999"/>
    <x v="38"/>
  </r>
  <r>
    <n v="0.52"/>
    <n v="120"/>
    <n v="0.67200000000000004"/>
    <x v="20"/>
    <n v="0.37"/>
    <s v="One Direction"/>
    <n v="89"/>
    <s v="Global Top 50"/>
    <s v="Night Changes"/>
    <d v="2014-11-17T00:00:00"/>
    <n v="1"/>
    <n v="8"/>
    <n v="3.7666666666666666"/>
    <n v="0.85899999999999999"/>
    <x v="39"/>
  </r>
  <r>
    <n v="0.52"/>
    <n v="120"/>
    <n v="0.67200000000000004"/>
    <x v="20"/>
    <n v="0.37"/>
    <s v="One Direction"/>
    <n v="89"/>
    <s v="Soft Pop Hits"/>
    <s v="Night Changes"/>
    <d v="2014-11-17T00:00:00"/>
    <n v="1"/>
    <n v="8"/>
    <n v="3.7666666666666666"/>
    <n v="0.85899999999999999"/>
    <x v="41"/>
  </r>
  <r>
    <n v="0.60399999999999998"/>
    <n v="159"/>
    <n v="0.56100000000000005"/>
    <x v="20"/>
    <n v="0.24199999999999999"/>
    <s v="Teddy Swims"/>
    <n v="89"/>
    <s v="Today's Top Hits"/>
    <s v="Lose Control"/>
    <d v="2023-09-15T00:00:00"/>
    <n v="1"/>
    <n v="9"/>
    <n v="3.5"/>
    <n v="0.19900000000000001"/>
    <x v="38"/>
  </r>
  <r>
    <n v="0.60399999999999998"/>
    <n v="159"/>
    <n v="0.56100000000000005"/>
    <x v="20"/>
    <n v="0.24199999999999999"/>
    <s v="Teddy Swims"/>
    <n v="89"/>
    <s v="Global Top 50"/>
    <s v="Lose Control"/>
    <d v="2023-09-15T00:00:00"/>
    <n v="1"/>
    <n v="9"/>
    <n v="3.5"/>
    <n v="0.19900000000000001"/>
    <x v="39"/>
  </r>
  <r>
    <n v="0.64"/>
    <n v="848"/>
    <n v="0.26400000000000001"/>
    <x v="20"/>
    <n v="0.19"/>
    <s v="The Weeknd, JENNIE, Lily-Rose Depp"/>
    <n v="89"/>
    <s v="Global Top 50"/>
    <s v="One Of The Girls (with JENNIE, Lily Rose Depp)"/>
    <d v="2023-06-23T00:00:00"/>
    <n v="1"/>
    <n v="8"/>
    <n v="4.0666666666666664"/>
    <n v="3.9300000000000002E-2"/>
    <x v="39"/>
  </r>
  <r>
    <n v="0.68899999999999995"/>
    <n v="120"/>
    <n v="0.72399999999999998"/>
    <x v="20"/>
    <n v="0.93600000000000005"/>
    <s v="Tito Double P"/>
    <n v="89"/>
    <s v="Global Top 50"/>
    <s v="EL LOKERON"/>
    <d v="2024-08-22T00:00:00"/>
    <n v="0"/>
    <n v="7"/>
    <n v="2.4333333333333331"/>
    <n v="0.57299999999999995"/>
    <x v="39"/>
  </r>
  <r>
    <n v="0.56100000000000005"/>
    <n v="150"/>
    <n v="0.66900000000000004"/>
    <x v="20"/>
    <n v="0.84099999999999997"/>
    <s v="Addison Rae"/>
    <n v="88"/>
    <s v="Today's Top Hits"/>
    <s v="Diet Pepsi"/>
    <d v="2024-08-09T00:00:00"/>
    <n v="1"/>
    <n v="10"/>
    <n v="2.8166666666666669"/>
    <n v="0.495"/>
    <x v="38"/>
  </r>
  <r>
    <n v="0.56000000000000005"/>
    <n v="134"/>
    <n v="0.85299999999999998"/>
    <x v="20"/>
    <n v="0.86"/>
    <s v="Bruno Mars"/>
    <n v="88"/>
    <s v="Global Top 50"/>
    <s v="That's What I Like"/>
    <d v="2016-11-17T00:00:00"/>
    <n v="1"/>
    <n v="1"/>
    <n v="3.4333333333333331"/>
    <n v="1.2999999999999999E-2"/>
    <x v="39"/>
  </r>
  <r>
    <n v="0.75700000000000001"/>
    <n v="139"/>
    <n v="0.74199999999999999"/>
    <x v="20"/>
    <n v="0.95699999999999996"/>
    <s v="Chappell Roan"/>
    <n v="88"/>
    <s v="Today's Top Hits"/>
    <s v="HOT TO GO!"/>
    <d v="2023-09-22T00:00:00"/>
    <n v="1"/>
    <n v="6"/>
    <n v="3.0666666666666669"/>
    <n v="1.8700000000000001E-2"/>
    <x v="38"/>
  </r>
  <r>
    <n v="0.47199999999999998"/>
    <n v="101"/>
    <n v="0.89800000000000002"/>
    <x v="20"/>
    <n v="0.214"/>
    <s v="Kendrick Lamar"/>
    <n v="88"/>
    <s v="Today's Top Hits"/>
    <s v="Not Like Us"/>
    <d v="2024-05-04T00:00:00"/>
    <n v="1"/>
    <n v="1"/>
    <n v="4.5666666666666664"/>
    <n v="1.0699999999999999E-2"/>
    <x v="38"/>
  </r>
  <r>
    <n v="0.86399999999999999"/>
    <n v="105"/>
    <n v="0.55600000000000005"/>
    <x v="20"/>
    <n v="0.4"/>
    <s v="Linkin Park"/>
    <n v="88"/>
    <s v="Global Top 50"/>
    <s v="In the End"/>
    <d v="1905-06-22T00:00:00"/>
    <n v="0"/>
    <n v="3"/>
    <n v="3.6"/>
    <n v="9.58E-3"/>
    <x v="39"/>
  </r>
  <r>
    <n v="0.36899999999999999"/>
    <n v="174"/>
    <n v="0.44800000000000001"/>
    <x v="20"/>
    <n v="9.98E-2"/>
    <s v="Lord Huron"/>
    <n v="88"/>
    <s v="Global Top 50"/>
    <s v="The Night We Met"/>
    <d v="2015-04-06T00:00:00"/>
    <n v="1"/>
    <n v="9"/>
    <n v="3.4666666666666668"/>
    <n v="0.96799999999999997"/>
    <x v="39"/>
  </r>
  <r>
    <n v="0.60099999999999998"/>
    <n v="123"/>
    <n v="0.63500000000000001"/>
    <x v="20"/>
    <n v="0.33200000000000002"/>
    <s v="Myles Smith"/>
    <n v="88"/>
    <s v="Today's Top Hits"/>
    <s v="Stargazing"/>
    <d v="2024-05-10T00:00:00"/>
    <n v="0"/>
    <n v="1"/>
    <n v="2.8666666666666667"/>
    <n v="0.246"/>
    <x v="38"/>
  </r>
  <r>
    <n v="0.58599999999999997"/>
    <n v="107"/>
    <n v="0.66900000000000004"/>
    <x v="20"/>
    <n v="0.57899999999999996"/>
    <s v="Sabrina Carpenter"/>
    <n v="88"/>
    <s v="Today's Top Hits"/>
    <s v="Please Please Please"/>
    <d v="2024-06-06T00:00:00"/>
    <n v="1"/>
    <n v="9"/>
    <n v="3.1"/>
    <n v="0.27400000000000002"/>
    <x v="38"/>
  </r>
  <r>
    <n v="0.77600000000000002"/>
    <n v="103"/>
    <n v="0.69899999999999995"/>
    <x v="20"/>
    <n v="0.70799999999999996"/>
    <s v="Sabrina Carpenter"/>
    <n v="88"/>
    <s v="Global Top 50"/>
    <s v="Espresso"/>
    <d v="2024-08-23T00:00:00"/>
    <n v="1"/>
    <n v="0"/>
    <n v="2.9166666666666665"/>
    <n v="0.13100000000000001"/>
    <x v="39"/>
  </r>
  <r>
    <n v="0.75700000000000001"/>
    <n v="142"/>
    <n v="0.48199999999999998"/>
    <x v="20"/>
    <n v="0.12"/>
    <s v="The Kid LAROI"/>
    <n v="88"/>
    <s v="Global Top 50"/>
    <s v="NIGHTS LIKE THIS"/>
    <d v="2023-11-10T00:00:00"/>
    <n v="1"/>
    <n v="6"/>
    <n v="14.483333333333333"/>
    <n v="1.37E-2"/>
    <x v="39"/>
  </r>
  <r>
    <n v="0.51300000000000001"/>
    <n v="109"/>
    <n v="0.745"/>
    <x v="20"/>
    <n v="0.92900000000000005"/>
    <s v="Tito Double P, Peso Pluma"/>
    <n v="88"/>
    <s v="Global Top 50"/>
    <s v="DOS D√çAS"/>
    <d v="2024-08-22T00:00:00"/>
    <n v="1"/>
    <n v="1"/>
    <n v="2.5666666666666669"/>
    <n v="0.78300000000000003"/>
    <x v="39"/>
  </r>
  <r>
    <n v="0.81200000000000006"/>
    <n v="800"/>
    <n v="0.505"/>
    <x v="20"/>
    <n v="0.66400000000000003"/>
    <s v="Tyler, The Creator, GloRilla, Sexyy Red, Lil Wayne"/>
    <n v="88"/>
    <s v="Today's Top Hits"/>
    <s v="Sticky (feat. GloRilla, Sexyy Red &amp; Lil Wayne)"/>
    <d v="2024-10-28T00:00:00"/>
    <n v="1"/>
    <n v="1"/>
    <n v="4.25"/>
    <n v="0.28499999999999998"/>
    <x v="38"/>
  </r>
  <r>
    <n v="0.81200000000000006"/>
    <n v="800"/>
    <n v="0.505"/>
    <x v="20"/>
    <n v="0.66400000000000003"/>
    <s v="Tyler, The Creator, GloRilla, Sexyy Red, Lil Wayne"/>
    <n v="88"/>
    <s v="Global Top 50"/>
    <s v="Sticky (feat. GloRilla, Sexyy Red &amp; Lil Wayne)"/>
    <d v="2024-10-28T00:00:00"/>
    <n v="1"/>
    <n v="1"/>
    <n v="4.25"/>
    <n v="0.28499999999999998"/>
    <x v="39"/>
  </r>
  <r>
    <n v="0.28000000000000003"/>
    <n v="727"/>
    <n v="0.61199999999999999"/>
    <x v="20"/>
    <n v="0.38700000000000001"/>
    <s v="Bruno Mars"/>
    <n v="87"/>
    <s v="Soft Pop Hits"/>
    <s v="When I Was Your Man"/>
    <d v="2012-12-07T00:00:00"/>
    <n v="1"/>
    <n v="0"/>
    <n v="3.55"/>
    <n v="0.93200000000000005"/>
    <x v="41"/>
  </r>
  <r>
    <n v="0.627"/>
    <n v="150"/>
    <n v="0.33600000000000002"/>
    <x v="20"/>
    <n v="0.35"/>
    <s v="Mariah Carey"/>
    <n v="87"/>
    <s v="Global Top 50"/>
    <s v="All I Want for Christmas Is You"/>
    <d v="1994-10-28T00:00:00"/>
    <n v="1"/>
    <n v="7"/>
    <n v="4.0166666666666666"/>
    <n v="0.16400000000000001"/>
    <x v="39"/>
  </r>
  <r>
    <n v="0.64500000000000002"/>
    <n v="114"/>
    <n v="0.88200000000000001"/>
    <x v="20"/>
    <n v="0.78800000000000003"/>
    <s v="Ndotz"/>
    <n v="87"/>
    <s v="Today's Top Hits"/>
    <s v="Embrace It"/>
    <d v="2024-08-23T00:00:00"/>
    <n v="1"/>
    <n v="1"/>
    <n v="1.7333333333333334"/>
    <n v="0.47499999999999998"/>
    <x v="38"/>
  </r>
  <r>
    <n v="0.5"/>
    <n v="117"/>
    <n v="0.66400000000000003"/>
    <x v="20"/>
    <n v="0.80100000000000005"/>
    <s v="Noah Kahan"/>
    <n v="87"/>
    <s v="Soft Pop Hits"/>
    <s v="Stick Season"/>
    <d v="2022-10-14T00:00:00"/>
    <n v="1"/>
    <n v="9"/>
    <n v="3.0333333333333332"/>
    <n v="0.79900000000000004"/>
    <x v="41"/>
  </r>
  <r>
    <n v="0.58599999999999997"/>
    <n v="107"/>
    <n v="0.67500000000000004"/>
    <x v="20"/>
    <n v="0.621"/>
    <s v="Sabrina Carpenter"/>
    <n v="87"/>
    <s v="Global Top 50"/>
    <s v="Please Please Please"/>
    <d v="2024-08-23T00:00:00"/>
    <n v="1"/>
    <n v="9"/>
    <n v="3.1"/>
    <n v="0.25700000000000001"/>
    <x v="39"/>
  </r>
  <r>
    <n v="0.72499999999999998"/>
    <n v="130"/>
    <n v="0.63300000000000001"/>
    <x v="20"/>
    <n v="0.64"/>
    <s v="Sabrina Carpenter"/>
    <n v="87"/>
    <s v="Global Top 50"/>
    <s v="Juno"/>
    <d v="2024-08-23T00:00:00"/>
    <n v="1"/>
    <n v="5"/>
    <n v="3.7166666666666668"/>
    <n v="4.6100000000000002E-2"/>
    <x v="39"/>
  </r>
  <r>
    <n v="0.71499999999999997"/>
    <n v="155"/>
    <n v="0.315"/>
    <x v="20"/>
    <n v="0.497"/>
    <s v="The Goo Goo Dolls"/>
    <n v="87"/>
    <s v="Global Top 50"/>
    <s v="Iris"/>
    <d v="1905-06-20T00:00:00"/>
    <n v="0"/>
    <n v="11"/>
    <n v="4.8166666666666664"/>
    <n v="1.25E-3"/>
    <x v="39"/>
  </r>
  <r>
    <n v="0.71499999999999997"/>
    <n v="155"/>
    <n v="0.315"/>
    <x v="20"/>
    <n v="0.497"/>
    <s v="The Goo Goo Dolls"/>
    <n v="87"/>
    <s v="Soft Pop Hits"/>
    <s v="Iris"/>
    <d v="1905-06-20T00:00:00"/>
    <n v="0"/>
    <n v="11"/>
    <n v="4.8166666666666664"/>
    <n v="1.25E-3"/>
    <x v="41"/>
  </r>
  <r>
    <n v="0.58699999999999997"/>
    <n v="186"/>
    <n v="0.67900000000000005"/>
    <x v="20"/>
    <n v="0.48599999999999999"/>
    <s v="The Weeknd, Daft Punk"/>
    <n v="87"/>
    <s v="Throwback Party"/>
    <s v="Starboy"/>
    <d v="2016-11-25T00:00:00"/>
    <n v="1"/>
    <n v="7"/>
    <n v="3.8333333333333335"/>
    <n v="0.14099999999999999"/>
    <x v="40"/>
  </r>
  <r>
    <n v="0.55500000000000005"/>
    <n v="960"/>
    <n v="0.39200000000000002"/>
    <x v="20"/>
    <n v="0.191"/>
    <s v="Tyler, The Creator, Lola Young"/>
    <n v="87"/>
    <s v="Global Top 50"/>
    <s v="Like Him (feat. Lola Young)"/>
    <d v="2024-10-28T00:00:00"/>
    <n v="0"/>
    <n v="4"/>
    <n v="4.6333333333333337"/>
    <n v="0.28699999999999998"/>
    <x v="39"/>
  </r>
  <r>
    <n v="0.78200000000000003"/>
    <n v="119"/>
    <n v="0.72699999999999998"/>
    <x v="20"/>
    <n v="0.65500000000000003"/>
    <s v="Adam Port, Stryv, Keinemusik, Orso, Malachiii"/>
    <n v="86"/>
    <s v="Today's Top Hits"/>
    <s v="Move"/>
    <d v="2024-06-07T00:00:00"/>
    <n v="0"/>
    <n v="8"/>
    <n v="2.95"/>
    <n v="5.6300000000000003E-2"/>
    <x v="38"/>
  </r>
  <r>
    <n v="0.64600000000000002"/>
    <n v="115"/>
    <n v="0.64500000000000002"/>
    <x v="20"/>
    <n v="0.29499999999999998"/>
    <s v="Ariana Grande"/>
    <n v="86"/>
    <s v="Global Top 50"/>
    <s v="we can't be friends (wait for your love)"/>
    <d v="2024-03-08T00:00:00"/>
    <n v="1"/>
    <n v="5"/>
    <n v="3.8"/>
    <n v="6.1499999999999999E-2"/>
    <x v="39"/>
  </r>
  <r>
    <n v="0.29599999999999999"/>
    <n v="115"/>
    <n v="0.35099999999999998"/>
    <x v="20"/>
    <n v="0.12"/>
    <s v="Billie Eilish, Khalid"/>
    <n v="86"/>
    <s v="Soft Pop Hits"/>
    <s v="lovely (with Khalid)"/>
    <d v="2018-04-19T00:00:00"/>
    <n v="0"/>
    <n v="4"/>
    <n v="3.3333333333333335"/>
    <n v="0.93400000000000005"/>
    <x v="41"/>
  </r>
  <r>
    <n v="0.65200000000000002"/>
    <n v="959"/>
    <n v="0.82499999999999996"/>
    <x v="20"/>
    <n v="0.93100000000000005"/>
    <s v="Ed Sheeran"/>
    <n v="86"/>
    <s v="Soft Pop Hits"/>
    <s v="Shape of You"/>
    <d v="2017-03-03T00:00:00"/>
    <n v="0"/>
    <n v="1"/>
    <n v="3.8833333333333333"/>
    <n v="0.58099999999999996"/>
    <x v="41"/>
  </r>
  <r>
    <n v="0.44800000000000001"/>
    <n v="950"/>
    <n v="0.59899999999999998"/>
    <x v="20"/>
    <n v="0.16800000000000001"/>
    <s v="Ed Sheeran"/>
    <n v="86"/>
    <s v="Soft Pop Hits"/>
    <s v="Perfect"/>
    <d v="2017-03-03T00:00:00"/>
    <n v="1"/>
    <n v="8"/>
    <n v="4.3833333333333337"/>
    <n v="0.16300000000000001"/>
    <x v="41"/>
  </r>
  <r>
    <n v="0.65200000000000002"/>
    <n v="959"/>
    <n v="0.82499999999999996"/>
    <x v="20"/>
    <n v="0.93100000000000005"/>
    <s v="Ed Sheeran"/>
    <n v="86"/>
    <s v="Throwback Party"/>
    <s v="Shape of You"/>
    <d v="2017-03-03T00:00:00"/>
    <n v="0"/>
    <n v="1"/>
    <n v="3.8833333333333333"/>
    <n v="0.58099999999999996"/>
    <x v="40"/>
  </r>
  <r>
    <n v="0.66900000000000004"/>
    <n v="112"/>
    <n v="0.90800000000000003"/>
    <x v="20"/>
    <n v="0.66200000000000003"/>
    <s v="Eminem"/>
    <n v="86"/>
    <s v="Throwback Party"/>
    <s v="Without Me"/>
    <d v="2002-05-26T00:00:00"/>
    <n v="1"/>
    <n v="7"/>
    <n v="4.833333333333333"/>
    <n v="2.8600000000000001E-3"/>
    <x v="40"/>
  </r>
  <r>
    <n v="0.91700000000000004"/>
    <n v="100"/>
    <n v="0.56200000000000006"/>
    <x v="20"/>
    <n v="0.501"/>
    <s v="Lady Gaga"/>
    <n v="86"/>
    <s v="Today's Top Hits"/>
    <s v="Disease"/>
    <d v="2024-10-25T00:00:00"/>
    <n v="0"/>
    <n v="11"/>
    <n v="3.8166666666666669"/>
    <n v="5.1299999999999998E-2"/>
    <x v="38"/>
  </r>
  <r>
    <n v="0.84299999999999997"/>
    <n v="122"/>
    <n v="0.61899999999999999"/>
    <x v="20"/>
    <n v="0.746"/>
    <s v="Morgan Wallen"/>
    <n v="86"/>
    <s v="Today's Top Hits"/>
    <s v="Love Somebody"/>
    <d v="2024-10-18T00:00:00"/>
    <n v="0"/>
    <n v="5"/>
    <n v="3.4"/>
    <n v="9.4800000000000006E-3"/>
    <x v="38"/>
  </r>
  <r>
    <n v="0.66300000000000003"/>
    <n v="121"/>
    <n v="0.6"/>
    <x v="20"/>
    <n v="0.28599999999999998"/>
    <s v="One Direction"/>
    <n v="86"/>
    <s v="Soft Pop Hits"/>
    <s v="Story of My Life"/>
    <d v="2013-11-25T00:00:00"/>
    <n v="1"/>
    <n v="3"/>
    <n v="4.083333333333333"/>
    <n v="0.22500000000000001"/>
    <x v="41"/>
  </r>
  <r>
    <n v="0.69699999999999995"/>
    <n v="138"/>
    <n v="0.74"/>
    <x v="20"/>
    <n v="0.73199999999999998"/>
    <s v="Sabrina Carpenter"/>
    <n v="86"/>
    <s v="Soft Pop Hits"/>
    <s v="Nonsense"/>
    <d v="2022-07-15T00:00:00"/>
    <n v="1"/>
    <n v="8"/>
    <n v="2.7166666666666668"/>
    <n v="2.6800000000000001E-2"/>
    <x v="41"/>
  </r>
  <r>
    <n v="0.70899999999999996"/>
    <n v="810"/>
    <n v="0.72199999999999998"/>
    <x v="20"/>
    <n v="0.60399999999999998"/>
    <s v="Shaboozey"/>
    <n v="86"/>
    <s v="Today's Top Hits"/>
    <s v="A Bar Song (Tipsy)"/>
    <d v="2024-04-12T00:00:00"/>
    <n v="1"/>
    <n v="9"/>
    <n v="2.85"/>
    <n v="6.3299999999999995E-2"/>
    <x v="38"/>
  </r>
  <r>
    <n v="0.63500000000000001"/>
    <n v="103"/>
    <n v="0.61699999999999999"/>
    <x v="20"/>
    <n v="0.44600000000000001"/>
    <s v="The Chainsmokers, Coldplay"/>
    <n v="86"/>
    <s v="Soft Pop Hits"/>
    <s v="Something Just Like This"/>
    <d v="2017-04-07T00:00:00"/>
    <n v="0"/>
    <n v="11"/>
    <n v="4.1166666666666663"/>
    <n v="4.9799999999999997E-2"/>
    <x v="41"/>
  </r>
  <r>
    <n v="0.53700000000000003"/>
    <n v="122"/>
    <n v="0.44500000000000001"/>
    <x v="20"/>
    <n v="0.13100000000000001"/>
    <s v="Tom Odell"/>
    <n v="86"/>
    <s v="Soft Pop Hits"/>
    <s v="Another Love"/>
    <d v="2013-06-24T00:00:00"/>
    <n v="0"/>
    <n v="4"/>
    <n v="4.0666666666666664"/>
    <n v="0.69499999999999995"/>
    <x v="41"/>
  </r>
  <r>
    <n v="0.47099999999999997"/>
    <n v="105"/>
    <n v="0.47199999999999998"/>
    <x v="20"/>
    <n v="0.219"/>
    <s v="Benson Boone"/>
    <n v="85"/>
    <s v="Today's Top Hits"/>
    <s v="Beautiful Things"/>
    <d v="2024-01-18T00:00:00"/>
    <n v="1"/>
    <n v="10"/>
    <n v="3"/>
    <n v="0.151"/>
    <x v="38"/>
  </r>
  <r>
    <n v="0.84099999999999997"/>
    <n v="109"/>
    <n v="0.63500000000000001"/>
    <x v="20"/>
    <n v="0.42399999999999999"/>
    <s v="Bruno Mars"/>
    <n v="85"/>
    <s v="Global Top 50"/>
    <s v="Just the Way You Are"/>
    <d v="2010-05-11T00:00:00"/>
    <n v="1"/>
    <n v="5"/>
    <n v="3.6666666666666665"/>
    <n v="1.34E-2"/>
    <x v="39"/>
  </r>
  <r>
    <n v="0.84099999999999997"/>
    <n v="109"/>
    <n v="0.63500000000000001"/>
    <x v="20"/>
    <n v="0.42399999999999999"/>
    <s v="Bruno Mars"/>
    <n v="85"/>
    <s v="Soft Pop Hits"/>
    <s v="Just the Way You Are"/>
    <d v="2010-05-11T00:00:00"/>
    <n v="1"/>
    <n v="5"/>
    <n v="3.6666666666666665"/>
    <n v="1.34E-2"/>
    <x v="41"/>
  </r>
  <r>
    <n v="0.66700000000000004"/>
    <n v="130"/>
    <n v="0.77600000000000002"/>
    <x v="20"/>
    <n v="0.61799999999999999"/>
    <s v="Charli xcx, Billie Eilish"/>
    <n v="85"/>
    <s v="Today's Top Hits"/>
    <s v="Guess featuring billie eilish"/>
    <d v="2024-08-01T00:00:00"/>
    <n v="1"/>
    <n v="7"/>
    <n v="2.4166666666666665"/>
    <n v="1.46E-2"/>
    <x v="38"/>
  </r>
  <r>
    <n v="0.628"/>
    <n v="119"/>
    <n v="0.75700000000000001"/>
    <x v="20"/>
    <n v="0.32100000000000001"/>
    <s v="Don Toliver"/>
    <n v="85"/>
    <s v="Today's Top Hits"/>
    <s v="NEW DROP"/>
    <d v="2024-06-14T00:00:00"/>
    <n v="0"/>
    <n v="4"/>
    <n v="3.6166666666666667"/>
    <n v="0.189"/>
    <x v="38"/>
  </r>
  <r>
    <n v="0.55700000000000005"/>
    <n v="850"/>
    <n v="0.35799999999999998"/>
    <x v="20"/>
    <n v="0.49399999999999999"/>
    <s v="James Arthur"/>
    <n v="85"/>
    <s v="Soft Pop Hits"/>
    <s v="Say You Won't Let Go"/>
    <d v="2016-10-28T00:00:00"/>
    <n v="1"/>
    <n v="10"/>
    <n v="3.5166666666666666"/>
    <n v="0.69499999999999995"/>
    <x v="41"/>
  </r>
  <r>
    <n v="0.71099999999999997"/>
    <n v="146"/>
    <n v="0.48699999999999999"/>
    <x v="20"/>
    <n v="0.317"/>
    <s v="Jin"/>
    <n v="85"/>
    <s v="Today's Top Hits"/>
    <s v="Running Wild"/>
    <d v="2024-11-15T00:00:00"/>
    <n v="1"/>
    <n v="8"/>
    <n v="2.5166666666666666"/>
    <n v="1.75E-4"/>
    <x v="38"/>
  </r>
  <r>
    <n v="0.90400000000000003"/>
    <n v="167"/>
    <n v="0.73899999999999999"/>
    <x v="20"/>
    <n v="0.78800000000000003"/>
    <s v="KATSEYE"/>
    <n v="85"/>
    <s v="Today's Top Hits"/>
    <s v="Touch"/>
    <d v="2024-07-26T00:00:00"/>
    <n v="0"/>
    <n v="5"/>
    <n v="2.15"/>
    <n v="0.54900000000000004"/>
    <x v="38"/>
  </r>
  <r>
    <n v="0.60699999999999998"/>
    <n v="810"/>
    <n v="0.68400000000000005"/>
    <x v="20"/>
    <n v="0.498"/>
    <s v="Miguel"/>
    <n v="85"/>
    <s v="Soft Pop Hits"/>
    <s v="Sure Thing"/>
    <d v="2010-11-26T00:00:00"/>
    <n v="0"/>
    <n v="11"/>
    <n v="3.25"/>
    <n v="2.6700000000000002E-2"/>
    <x v="41"/>
  </r>
  <r>
    <n v="0.73099999999999998"/>
    <n v="101"/>
    <n v="0.48299999999999998"/>
    <x v="20"/>
    <n v="0.48399999999999999"/>
    <s v="Vance Joy"/>
    <n v="85"/>
    <s v="Global Top 50"/>
    <s v="Riptide"/>
    <d v="2014-08-05T00:00:00"/>
    <n v="1"/>
    <n v="1"/>
    <n v="3.4"/>
    <n v="0.436"/>
    <x v="39"/>
  </r>
  <r>
    <n v="0.192"/>
    <n v="175"/>
    <n v="0.36899999999999999"/>
    <x v="20"/>
    <n v="0.14799999999999999"/>
    <s v="Zach Bryan"/>
    <n v="85"/>
    <s v="Soft Pop Hits"/>
    <s v="Something in the Orange"/>
    <d v="2022-04-22T00:00:00"/>
    <n v="0"/>
    <n v="4"/>
    <n v="3.8"/>
    <n v="0.55500000000000005"/>
    <x v="41"/>
  </r>
  <r>
    <n v="0.90200000000000002"/>
    <n v="844"/>
    <n v="0.57299999999999995"/>
    <x v="20"/>
    <n v="0.876"/>
    <s v="a-ha"/>
    <n v="84"/>
    <s v="Throwback Party"/>
    <s v="Take on Me"/>
    <d v="1985-06-01T00:00:00"/>
    <n v="0"/>
    <n v="6"/>
    <n v="3.75"/>
    <n v="1.7999999999999999E-2"/>
    <x v="40"/>
  </r>
  <r>
    <n v="0.55200000000000005"/>
    <n v="758"/>
    <n v="0.34599999999999997"/>
    <x v="20"/>
    <n v="7.8899999999999998E-2"/>
    <s v="Adele"/>
    <n v="84"/>
    <s v="Soft Pop Hits"/>
    <s v="Skyfall"/>
    <d v="2012-10-04T00:00:00"/>
    <n v="0"/>
    <n v="0"/>
    <n v="4.7666666666666666"/>
    <n v="0.41699999999999998"/>
    <x v="41"/>
  </r>
  <r>
    <n v="0.442"/>
    <n v="146"/>
    <n v="0.55700000000000005"/>
    <x v="20"/>
    <n v="0.21299999999999999"/>
    <s v="Coldplay"/>
    <n v="84"/>
    <s v="Soft Pop Hits"/>
    <s v="The Scientist"/>
    <d v="2002-08-27T00:00:00"/>
    <n v="1"/>
    <n v="5"/>
    <n v="5.15"/>
    <n v="0.73099999999999998"/>
    <x v="41"/>
  </r>
  <r>
    <n v="0.379"/>
    <n v="107"/>
    <n v="0.61399999999999999"/>
    <x v="20"/>
    <n v="0.20100000000000001"/>
    <s v="Ed Sheeran"/>
    <n v="84"/>
    <s v="Soft Pop Hits"/>
    <s v="Photograph"/>
    <d v="2014-06-21T00:00:00"/>
    <n v="1"/>
    <n v="4"/>
    <n v="4.3"/>
    <n v="0.60699999999999998"/>
    <x v="41"/>
  </r>
  <r>
    <n v="0.64300000000000002"/>
    <n v="117"/>
    <n v="0.74"/>
    <x v="20"/>
    <n v="0.96"/>
    <s v="Hozier"/>
    <n v="84"/>
    <s v="Global Top 50"/>
    <s v="Too Sweet"/>
    <d v="2024-08-19T00:00:00"/>
    <n v="1"/>
    <n v="10"/>
    <n v="4.1833333333333336"/>
    <n v="4.1000000000000002E-2"/>
    <x v="39"/>
  </r>
  <r>
    <n v="0.82199999999999995"/>
    <n v="167"/>
    <n v="0.60399999999999998"/>
    <x v="20"/>
    <n v="0.28799999999999998"/>
    <s v="Imagine Dragons"/>
    <n v="84"/>
    <s v="Soft Pop Hits"/>
    <s v="Thunder"/>
    <d v="2017-06-23T00:00:00"/>
    <n v="1"/>
    <n v="0"/>
    <n v="3.1166666666666667"/>
    <n v="6.7200000000000003E-3"/>
    <x v="41"/>
  </r>
  <r>
    <n v="0.71199999999999997"/>
    <n v="919"/>
    <n v="0.84799999999999998"/>
    <x v="20"/>
    <n v="0.69199999999999995"/>
    <s v="KAROL G, Feid, DFZM, Ovy On The Drums, J Balvin, Maluma, Ryan Castro, Blessd"/>
    <n v="84"/>
    <s v="Today's Top Hits"/>
    <n v="57"/>
    <d v="2024-11-08T00:00:00"/>
    <n v="0"/>
    <n v="1"/>
    <n v="4.9666666666666668"/>
    <n v="0.221"/>
    <x v="38"/>
  </r>
  <r>
    <n v="0.70899999999999996"/>
    <n v="194"/>
    <n v="0.74399999999999999"/>
    <x v="20"/>
    <n v="0.71199999999999997"/>
    <s v="Myke Towers, benny blanco"/>
    <n v="84"/>
    <s v="Today's Top Hits"/>
    <s v="DEGENERE üëë (feat. benny blanco)"/>
    <d v="2024-10-17T00:00:00"/>
    <n v="0"/>
    <n v="6"/>
    <n v="2.1666666666666665"/>
    <n v="5.0099999999999999E-2"/>
    <x v="38"/>
  </r>
  <r>
    <n v="0.93899999999999995"/>
    <n v="129"/>
    <n v="0.67100000000000004"/>
    <x v="20"/>
    <n v="0.53"/>
    <s v="Pitbull, AFROJACK, Ne-Yo, Nayer"/>
    <n v="84"/>
    <s v="Throwback Party"/>
    <s v="Give Me Everything (feat. Nayer)"/>
    <d v="2011-06-17T00:00:00"/>
    <n v="1"/>
    <n v="8"/>
    <n v="4.2"/>
    <n v="0.191"/>
    <x v="40"/>
  </r>
  <r>
    <n v="0.85499999999999998"/>
    <n v="127"/>
    <n v="0.63800000000000001"/>
    <x v="20"/>
    <n v="0.73099999999999998"/>
    <s v="Post Malone, Morgan Wallen"/>
    <n v="84"/>
    <s v="Today's Top Hits"/>
    <s v="I Had Some Help (Feat. Morgan Wallen)"/>
    <d v="2024-05-10T00:00:00"/>
    <n v="1"/>
    <n v="7"/>
    <n v="2.9666666666666668"/>
    <n v="7.5700000000000003E-3"/>
    <x v="38"/>
  </r>
  <r>
    <n v="0.70599999999999996"/>
    <n v="809"/>
    <n v="0.72199999999999998"/>
    <x v="20"/>
    <n v="0.59899999999999998"/>
    <s v="Shaboozey"/>
    <n v="84"/>
    <s v="Global Top 50"/>
    <s v="A Bar Song (Tipsy)"/>
    <d v="2024-05-31T00:00:00"/>
    <n v="1"/>
    <n v="9"/>
    <n v="2.85"/>
    <n v="7.1999999999999995E-2"/>
    <x v="39"/>
  </r>
  <r>
    <n v="0.82399999999999995"/>
    <n v="100"/>
    <n v="0.77800000000000002"/>
    <x v="20"/>
    <n v="0.75800000000000001"/>
    <s v="Shakira, Wyclef Jean"/>
    <n v="84"/>
    <s v="Throwback Party"/>
    <s v="Hips Don't Lie (feat. Wyclef Jean)"/>
    <d v="2005-11-28T00:00:00"/>
    <n v="0"/>
    <n v="10"/>
    <n v="3.6333333333333333"/>
    <n v="0.28399999999999997"/>
    <x v="40"/>
  </r>
  <r>
    <n v="0.54300000000000004"/>
    <n v="685"/>
    <n v="0.35899999999999999"/>
    <x v="20"/>
    <n v="0.45300000000000001"/>
    <s v="Taylor Swift"/>
    <n v="84"/>
    <s v="Soft Pop Hits"/>
    <s v="Lover"/>
    <d v="2019-08-23T00:00:00"/>
    <n v="1"/>
    <n v="7"/>
    <n v="3.6833333333333331"/>
    <n v="0.49199999999999999"/>
    <x v="41"/>
  </r>
  <r>
    <n v="0.38600000000000001"/>
    <n v="192"/>
    <n v="0.504"/>
    <x v="20"/>
    <n v="0.28100000000000003"/>
    <s v="Taylor Swift, Post Malone"/>
    <n v="84"/>
    <s v="Today's Top Hits"/>
    <s v="Fortnight (feat. Post Malone)"/>
    <d v="2024-04-18T00:00:00"/>
    <n v="1"/>
    <n v="11"/>
    <n v="3.8"/>
    <n v="0.502"/>
    <x v="38"/>
  </r>
  <r>
    <n v="0.33900000000000002"/>
    <n v="979"/>
    <n v="0.70499999999999996"/>
    <x v="20"/>
    <n v="0.45700000000000002"/>
    <s v="The Marias"/>
    <n v="84"/>
    <s v="Today's Top Hits"/>
    <s v="No One Noticed"/>
    <d v="2024-05-31T00:00:00"/>
    <n v="1"/>
    <n v="7"/>
    <n v="3.9333333333333331"/>
    <n v="0.55200000000000005"/>
    <x v="38"/>
  </r>
  <r>
    <n v="0.79100000000000004"/>
    <n v="105"/>
    <n v="0.89400000000000002"/>
    <x v="20"/>
    <n v="0.58299999999999996"/>
    <s v="USHER, Lil Jon, Ludacris"/>
    <n v="84"/>
    <s v="Throwback Party"/>
    <s v="Yeah! (feat. Lil Jon &amp; Ludacris)"/>
    <d v="2004-03-23T00:00:00"/>
    <n v="1"/>
    <n v="2"/>
    <n v="4.166666666666667"/>
    <n v="1.83E-2"/>
    <x v="40"/>
  </r>
  <r>
    <n v="0.78300000000000003"/>
    <n v="124"/>
    <n v="0.53200000000000003"/>
    <x v="20"/>
    <n v="0.64300000000000002"/>
    <s v="Avicii"/>
    <n v="83"/>
    <s v="Throwback Party"/>
    <s v="Wake Me Up"/>
    <d v="2013-01-01T00:00:00"/>
    <n v="1"/>
    <n v="2"/>
    <n v="4.1166666666666663"/>
    <n v="3.8E-3"/>
    <x v="40"/>
  </r>
  <r>
    <n v="0.88700000000000001"/>
    <n v="122"/>
    <n v="0.53200000000000003"/>
    <x v="20"/>
    <n v="0.79400000000000004"/>
    <s v="Bon Jovi"/>
    <n v="83"/>
    <s v="Throwback Party"/>
    <s v="Livin' On A Prayer"/>
    <d v="1986-08-16T00:00:00"/>
    <n v="1"/>
    <n v="0"/>
    <n v="4.1500000000000004"/>
    <n v="7.7799999999999994E-2"/>
    <x v="40"/>
  </r>
  <r>
    <n v="0.47"/>
    <n v="670"/>
    <n v="0.59799999999999998"/>
    <x v="20"/>
    <n v="0.879"/>
    <s v="Brenda Lee"/>
    <n v="83"/>
    <s v="Global Top 50"/>
    <s v="Rockin' Around The Christmas Tree"/>
    <d v="1964-10-19T00:00:00"/>
    <n v="1"/>
    <n v="8"/>
    <n v="2.1"/>
    <n v="0.61699999999999999"/>
    <x v="39"/>
  </r>
  <r>
    <n v="0.83799999999999997"/>
    <n v="143"/>
    <n v="0.77400000000000002"/>
    <x v="20"/>
    <n v="0.92400000000000004"/>
    <s v="Britney Spears"/>
    <n v="83"/>
    <s v="Throwback Party"/>
    <s v="Toxic"/>
    <d v="2003-11-13T00:00:00"/>
    <n v="0"/>
    <n v="5"/>
    <n v="3.3"/>
    <n v="2.4899999999999999E-2"/>
    <x v="40"/>
  </r>
  <r>
    <n v="0.42499999999999999"/>
    <n v="102"/>
    <n v="0.35699999999999998"/>
    <x v="20"/>
    <n v="0.27"/>
    <s v="Conan Gray"/>
    <n v="83"/>
    <s v="Soft Pop Hits"/>
    <s v="Heather"/>
    <d v="2020-03-20T00:00:00"/>
    <n v="1"/>
    <n v="5"/>
    <n v="3.3"/>
    <n v="0.58399999999999996"/>
    <x v="41"/>
  </r>
  <r>
    <n v="0.71099999999999997"/>
    <n v="125"/>
    <n v="0.69199999999999995"/>
    <x v="20"/>
    <n v="0.875"/>
    <s v="Eurythmics, Annie Lennox, Dave Stewart"/>
    <n v="83"/>
    <s v="Throwback Party"/>
    <s v="Sweet Dreams (Are Made of This) - 2005 Remaster"/>
    <d v="1983-01-04T00:00:00"/>
    <n v="0"/>
    <n v="0"/>
    <n v="3.6"/>
    <n v="0.22500000000000001"/>
    <x v="40"/>
  </r>
  <r>
    <n v="0.26400000000000001"/>
    <n v="119"/>
    <n v="0.42199999999999999"/>
    <x v="20"/>
    <n v="0.33100000000000002"/>
    <s v="John Legend"/>
    <n v="83"/>
    <s v="Soft Pop Hits"/>
    <s v="All of Me"/>
    <d v="2013-08-30T00:00:00"/>
    <n v="1"/>
    <n v="8"/>
    <n v="4.4833333333333334"/>
    <n v="0.92200000000000004"/>
    <x v="41"/>
  </r>
  <r>
    <n v="0.74099999999999999"/>
    <n v="153"/>
    <n v="0.60099999999999998"/>
    <x v="20"/>
    <n v="0.441"/>
    <s v="Justin Bieber"/>
    <n v="83"/>
    <s v="Soft Pop Hits"/>
    <s v="Ghost"/>
    <d v="2021-03-19T00:00:00"/>
    <n v="1"/>
    <n v="2"/>
    <n v="2.5499999999999998"/>
    <n v="0.185"/>
    <x v="41"/>
  </r>
  <r>
    <n v="0.76"/>
    <n v="999"/>
    <n v="0.65500000000000003"/>
    <x v="20"/>
    <n v="0.40899999999999997"/>
    <s v="Justin Bieber"/>
    <n v="83"/>
    <s v="Throwback Party"/>
    <s v="Sorry"/>
    <d v="2015-11-13T00:00:00"/>
    <n v="0"/>
    <n v="0"/>
    <n v="3.3333333333333335"/>
    <n v="7.9699999999999993E-2"/>
    <x v="40"/>
  </r>
  <r>
    <n v="0.83699999999999997"/>
    <n v="120"/>
    <n v="0.755"/>
    <x v="20"/>
    <n v="0.71399999999999997"/>
    <s v="Kesha"/>
    <n v="83"/>
    <s v="Throwback Party"/>
    <s v="TiK ToK"/>
    <d v="2010-01-01T00:00:00"/>
    <n v="0"/>
    <n v="2"/>
    <n v="3.3166666666666669"/>
    <n v="9.9099999999999994E-2"/>
    <x v="40"/>
  </r>
  <r>
    <n v="0.71299999999999997"/>
    <n v="120"/>
    <n v="0.74199999999999999"/>
    <x v="20"/>
    <n v="0.879"/>
    <s v="Maroon 5"/>
    <n v="83"/>
    <s v="Soft Pop Hits"/>
    <s v="Maps"/>
    <d v="2014-09-02T00:00:00"/>
    <n v="0"/>
    <n v="1"/>
    <n v="3.15"/>
    <n v="2.0500000000000001E-2"/>
    <x v="41"/>
  </r>
  <r>
    <n v="0.54700000000000004"/>
    <n v="950"/>
    <n v="0.77800000000000002"/>
    <x v="20"/>
    <n v="0.442"/>
    <s v="P!nk, Nate Ruess"/>
    <n v="83"/>
    <s v="Soft Pop Hits"/>
    <s v="Just Give Me a Reason (feat. Nate Ruess)"/>
    <d v="2012-09-18T00:00:00"/>
    <n v="1"/>
    <n v="2"/>
    <n v="4.0333333333333332"/>
    <n v="0.34399999999999997"/>
    <x v="41"/>
  </r>
  <r>
    <n v="0.76300000000000001"/>
    <n v="120"/>
    <n v="0.69499999999999995"/>
    <x v="20"/>
    <n v="0.55100000000000005"/>
    <s v="Post Malone"/>
    <n v="83"/>
    <s v="Soft Pop Hits"/>
    <s v="Circles"/>
    <d v="2019-09-06T00:00:00"/>
    <n v="1"/>
    <n v="0"/>
    <n v="3.5833333333333335"/>
    <n v="0.189"/>
    <x v="41"/>
  </r>
  <r>
    <n v="0.86599999999999999"/>
    <n v="128"/>
    <n v="0.57799999999999996"/>
    <x v="20"/>
    <n v="0.61899999999999999"/>
    <s v="WALK THE MOON"/>
    <n v="83"/>
    <s v="Throwback Party"/>
    <s v="Shut Up and Dance"/>
    <d v="2014-12-02T00:00:00"/>
    <n v="1"/>
    <n v="1"/>
    <n v="3.3166666666666669"/>
    <n v="7.0099999999999997E-3"/>
    <x v="40"/>
  </r>
  <r>
    <n v="0.87"/>
    <n v="100"/>
    <n v="0.54300000000000004"/>
    <x v="20"/>
    <n v="0.754"/>
    <s v="ABBA"/>
    <n v="82"/>
    <s v="Throwback Party"/>
    <s v="Dancing Queen"/>
    <d v="1905-05-29T00:00:00"/>
    <n v="1"/>
    <n v="9"/>
    <n v="3.8333333333333335"/>
    <n v="0.35799999999999998"/>
    <x v="40"/>
  </r>
  <r>
    <n v="0.621"/>
    <n v="191"/>
    <n v="0.52500000000000002"/>
    <x v="20"/>
    <n v="0.59199999999999997"/>
    <s v="Ariana Grande"/>
    <n v="82"/>
    <s v="Global Top 50"/>
    <s v="Santa Tell Me"/>
    <d v="2014-11-24T00:00:00"/>
    <n v="1"/>
    <n v="7"/>
    <n v="3.4"/>
    <n v="4.8899999999999999E-2"/>
    <x v="39"/>
  </r>
  <r>
    <n v="0.83499999999999996"/>
    <n v="125"/>
    <n v="0.52700000000000002"/>
    <x v="20"/>
    <n v="0.65400000000000003"/>
    <s v="Avicii"/>
    <n v="82"/>
    <s v="Throwback Party"/>
    <s v="The Nights"/>
    <d v="2014-01-01T00:00:00"/>
    <n v="1"/>
    <n v="6"/>
    <n v="2.9333333333333331"/>
    <n v="1.66E-2"/>
    <x v="40"/>
  </r>
  <r>
    <n v="0.82299999999999995"/>
    <n v="128"/>
    <n v="0.64600000000000002"/>
    <x v="20"/>
    <n v="0.41799999999999998"/>
    <s v="Calvin Harris, Ellie Goulding"/>
    <n v="82"/>
    <s v="Throwback Party"/>
    <s v="Outside (feat. Ellie Goulding)"/>
    <d v="2014-10-31T00:00:00"/>
    <n v="0"/>
    <n v="2"/>
    <n v="3.7833333333333332"/>
    <n v="0.21299999999999999"/>
    <x v="40"/>
  </r>
  <r>
    <n v="0.55600000000000005"/>
    <n v="138"/>
    <n v="0.53100000000000003"/>
    <x v="20"/>
    <n v="0.156"/>
    <s v="Chezile"/>
    <n v="82"/>
    <s v="Bedroom Pop"/>
    <s v="Beanie"/>
    <d v="2023-11-28T00:00:00"/>
    <n v="1"/>
    <n v="5"/>
    <n v="2.2000000000000002"/>
    <n v="0.40699999999999997"/>
    <x v="42"/>
  </r>
  <r>
    <n v="0.41699999999999998"/>
    <n v="138"/>
    <n v="0.20899999999999999"/>
    <x v="20"/>
    <n v="0.124"/>
    <s v="Coldplay"/>
    <n v="82"/>
    <s v="Soft Pop Hits"/>
    <s v="Fix You"/>
    <d v="2005-06-07T00:00:00"/>
    <n v="1"/>
    <n v="3"/>
    <n v="4.916666666666667"/>
    <n v="0.16400000000000001"/>
    <x v="41"/>
  </r>
  <r>
    <n v="0.78700000000000003"/>
    <n v="109"/>
    <n v="0.73399999999999999"/>
    <x v="20"/>
    <n v="0.67200000000000004"/>
    <s v="LISA"/>
    <n v="82"/>
    <s v="Today's Top Hits"/>
    <s v="Moonlit Floor (Kiss Me)"/>
    <d v="2024-10-08T00:00:00"/>
    <n v="0"/>
    <n v="5"/>
    <n v="2.5833333333333335"/>
    <n v="0.126"/>
    <x v="38"/>
  </r>
  <r>
    <n v="0.60299999999999998"/>
    <n v="979"/>
    <n v="0.71199999999999997"/>
    <x v="20"/>
    <n v="0.67"/>
    <s v="Luke Combs"/>
    <n v="82"/>
    <s v="Soft Pop Hits"/>
    <s v="Fast Car"/>
    <d v="2023-03-24T00:00:00"/>
    <n v="1"/>
    <n v="8"/>
    <n v="4.416666666666667"/>
    <n v="0.186"/>
    <x v="41"/>
  </r>
  <r>
    <n v="0.66800000000000004"/>
    <n v="909"/>
    <n v="0.64600000000000002"/>
    <x v="20"/>
    <n v="0.64"/>
    <s v="Mark Ambor"/>
    <n v="82"/>
    <s v="Today's Top Hits"/>
    <s v="Belong Together"/>
    <d v="2024-02-16T00:00:00"/>
    <n v="1"/>
    <n v="2"/>
    <n v="2.4666666666666668"/>
    <n v="0.49099999999999999"/>
    <x v="38"/>
  </r>
  <r>
    <n v="0.32700000000000001"/>
    <n v="910"/>
    <n v="0.77500000000000002"/>
    <x v="20"/>
    <n v="0.59499999999999997"/>
    <s v="Maroon 5"/>
    <n v="82"/>
    <s v="Soft Pop Hits"/>
    <s v="Memories"/>
    <d v="2021-06-11T00:00:00"/>
    <n v="1"/>
    <n v="11"/>
    <n v="3.15"/>
    <n v="0.84099999999999997"/>
    <x v="41"/>
  </r>
  <r>
    <n v="0.86199999999999999"/>
    <n v="950"/>
    <n v="0.71199999999999997"/>
    <x v="20"/>
    <n v="0.80900000000000005"/>
    <s v="Maroon 5"/>
    <n v="82"/>
    <s v="Soft Pop Hits"/>
    <s v="This Love"/>
    <d v="1905-06-24T00:00:00"/>
    <n v="0"/>
    <n v="5"/>
    <n v="3.4333333333333331"/>
    <n v="5.2499999999999998E-2"/>
    <x v="41"/>
  </r>
  <r>
    <n v="0.96299999999999997"/>
    <n v="129"/>
    <n v="0.58099999999999996"/>
    <x v="20"/>
    <n v="0.78800000000000003"/>
    <s v="Pitbull, Kesha"/>
    <n v="82"/>
    <s v="Throwback Party"/>
    <s v="Timber"/>
    <d v="1905-07-04T00:00:00"/>
    <n v="1"/>
    <n v="11"/>
    <n v="3.4"/>
    <n v="2.9499999999999998E-2"/>
    <x v="40"/>
  </r>
  <r>
    <n v="0.80200000000000005"/>
    <n v="124"/>
    <n v="0.72099999999999997"/>
    <x v="20"/>
    <n v="0.72399999999999998"/>
    <s v="Pitbull, Ne-Yo"/>
    <n v="82"/>
    <s v="Throwback Party"/>
    <s v="Time of Our Lives"/>
    <d v="2014-11-21T00:00:00"/>
    <n v="1"/>
    <n v="1"/>
    <n v="3.8166666666666669"/>
    <n v="9.2100000000000001E-2"/>
    <x v="40"/>
  </r>
  <r>
    <n v="0.56299999999999994"/>
    <n v="105"/>
    <n v="0.83299999999999996"/>
    <x v="20"/>
    <n v="0.34300000000000003"/>
    <s v="Rauw Alejandro, Bad Bunny"/>
    <n v="82"/>
    <s v="Today's Top Hits"/>
    <s v="Qu√© Pasar√≠a..."/>
    <d v="2024-11-15T00:00:00"/>
    <n v="0"/>
    <n v="4"/>
    <n v="3.0333333333333332"/>
    <n v="0.52800000000000002"/>
    <x v="38"/>
  </r>
  <r>
    <n v="0.56299999999999994"/>
    <n v="105"/>
    <n v="0.83299999999999996"/>
    <x v="20"/>
    <n v="0.34300000000000003"/>
    <s v="Rauw Alejandro, Bad Bunny"/>
    <n v="82"/>
    <s v="Global Top 50"/>
    <s v="Qu√© Pasar√≠a..."/>
    <d v="2024-11-15T00:00:00"/>
    <n v="0"/>
    <n v="4"/>
    <n v="3.0333333333333332"/>
    <n v="0.52800000000000002"/>
    <x v="39"/>
  </r>
  <r>
    <n v="0.754"/>
    <n v="149"/>
    <n v="0.752"/>
    <x v="20"/>
    <n v="0.755"/>
    <s v="Shawn Mendes"/>
    <n v="82"/>
    <s v="Soft Pop Hits"/>
    <s v="Stitches"/>
    <d v="2015-04-14T00:00:00"/>
    <n v="1"/>
    <n v="1"/>
    <n v="3.4333333333333331"/>
    <n v="1.5100000000000001E-2"/>
    <x v="41"/>
  </r>
  <r>
    <n v="0.80700000000000005"/>
    <n v="114"/>
    <n v="0.72899999999999998"/>
    <x v="20"/>
    <n v="0.76500000000000001"/>
    <s v="Timbaland, Keri Hilson, D.O.E."/>
    <n v="82"/>
    <s v="Throwback Party"/>
    <s v="The Way I Are"/>
    <d v="2007-01-01T00:00:00"/>
    <n v="1"/>
    <n v="6"/>
    <n v="2.9833333333333334"/>
    <n v="0.18099999999999999"/>
    <x v="40"/>
  </r>
  <r>
    <n v="0.64600000000000002"/>
    <n v="115"/>
    <n v="0.64500000000000002"/>
    <x v="20"/>
    <n v="0.29499999999999998"/>
    <s v="Ariana Grande"/>
    <n v="81"/>
    <s v="Today's Top Hits"/>
    <s v="we can't be friends (wait for your love)"/>
    <d v="2024-03-08T00:00:00"/>
    <n v="1"/>
    <n v="5"/>
    <n v="3.8"/>
    <n v="6.1499999999999999E-2"/>
    <x v="38"/>
  </r>
  <r>
    <n v="0.77600000000000002"/>
    <n v="779"/>
    <n v="0.58499999999999996"/>
    <x v="20"/>
    <n v="0.42699999999999999"/>
    <s v="Avril Lavigne"/>
    <n v="81"/>
    <s v="Soft Pop Hits"/>
    <s v="Complicated"/>
    <d v="2002-06-04T00:00:00"/>
    <n v="1"/>
    <n v="5"/>
    <n v="4.0666666666666664"/>
    <n v="5.7200000000000001E-2"/>
    <x v="41"/>
  </r>
  <r>
    <n v="0.69899999999999995"/>
    <n v="929"/>
    <n v="0.75900000000000001"/>
    <x v="20"/>
    <n v="0.90700000000000003"/>
    <s v="Britney Spears"/>
    <n v="81"/>
    <s v="Throwback Party"/>
    <s v="...Baby One More Time"/>
    <d v="1999-01-12T00:00:00"/>
    <n v="0"/>
    <n v="0"/>
    <n v="3.5166666666666666"/>
    <n v="0.20200000000000001"/>
    <x v="40"/>
  </r>
  <r>
    <n v="0.85599999999999998"/>
    <n v="127"/>
    <n v="0.59599999999999997"/>
    <x v="20"/>
    <n v="0.74299999999999999"/>
    <s v="Calvin Harris"/>
    <n v="81"/>
    <s v="Throwback Party"/>
    <s v="Summer"/>
    <d v="2014-10-31T00:00:00"/>
    <n v="0"/>
    <n v="4"/>
    <n v="3.7"/>
    <n v="2.1100000000000001E-2"/>
    <x v="40"/>
  </r>
  <r>
    <n v="0.58499999999999996"/>
    <n v="139"/>
    <n v="0.44900000000000001"/>
    <x v="20"/>
    <n v="0.21199999999999999"/>
    <s v="Coldplay"/>
    <n v="81"/>
    <s v="Soft Pop Hits"/>
    <s v="Paradise"/>
    <d v="2011-10-24T00:00:00"/>
    <n v="1"/>
    <n v="5"/>
    <n v="4.6333333333333337"/>
    <n v="5.0900000000000001E-2"/>
    <x v="41"/>
  </r>
  <r>
    <n v="0.44500000000000001"/>
    <n v="789"/>
    <n v="0.78100000000000003"/>
    <x v="20"/>
    <n v="0.59099999999999997"/>
    <s v="Ed Sheeran"/>
    <n v="81"/>
    <s v="Soft Pop Hits"/>
    <s v="Thinking out Loud"/>
    <d v="2014-06-21T00:00:00"/>
    <n v="1"/>
    <n v="2"/>
    <n v="4.6833333333333336"/>
    <n v="0.47399999999999998"/>
    <x v="41"/>
  </r>
  <r>
    <n v="0.80600000000000005"/>
    <n v="119"/>
    <n v="0.85099999999999998"/>
    <x v="20"/>
    <n v="0.77400000000000002"/>
    <s v="Lady Gaga"/>
    <n v="81"/>
    <s v="Throwback Party"/>
    <s v="Poker Face"/>
    <d v="2008-01-01T00:00:00"/>
    <n v="1"/>
    <n v="4"/>
    <n v="3.95"/>
    <n v="0.11899999999999999"/>
    <x v="40"/>
  </r>
  <r>
    <n v="0.57399999999999995"/>
    <n v="111"/>
    <n v="0.45900000000000002"/>
    <x v="20"/>
    <n v="0.183"/>
    <s v="Lewis Capaldi"/>
    <n v="81"/>
    <s v="Soft Pop Hits"/>
    <s v="Before You Go"/>
    <d v="2019-11-22T00:00:00"/>
    <n v="1"/>
    <n v="3"/>
    <n v="3.5833333333333335"/>
    <n v="0.60799999999999998"/>
    <x v="41"/>
  </r>
  <r>
    <n v="0.80600000000000005"/>
    <n v="949"/>
    <n v="0.84299999999999997"/>
    <x v="20"/>
    <n v="0.61299999999999999"/>
    <s v="Outkast"/>
    <n v="81"/>
    <s v="Throwback Party"/>
    <s v="Ms. Jackson"/>
    <d v="2000-10-31T00:00:00"/>
    <n v="0"/>
    <n v="4"/>
    <n v="4.5"/>
    <n v="0.14299999999999999"/>
    <x v="40"/>
  </r>
  <r>
    <n v="0.91"/>
    <n v="112"/>
    <n v="0.67"/>
    <x v="20"/>
    <n v="0.78600000000000003"/>
    <s v="Sabrina Carpenter"/>
    <n v="81"/>
    <s v="Today's Top Hits"/>
    <s v="Taste"/>
    <d v="2024-08-23T00:00:00"/>
    <n v="0"/>
    <n v="0"/>
    <n v="2.6166666666666667"/>
    <n v="9.3899999999999997E-2"/>
    <x v="38"/>
  </r>
  <r>
    <n v="0.64800000000000002"/>
    <n v="968"/>
    <n v="0.63300000000000001"/>
    <x v="20"/>
    <n v="0.49"/>
    <s v="Taylor Swift"/>
    <n v="81"/>
    <s v="Soft Pop Hits"/>
    <s v="Anti-Hero"/>
    <d v="2022-10-21T00:00:00"/>
    <n v="1"/>
    <n v="4"/>
    <n v="3.3333333333333335"/>
    <n v="0.121"/>
    <x v="41"/>
  </r>
  <r>
    <n v="0.86099999999999999"/>
    <n v="119"/>
    <n v="0.66300000000000003"/>
    <x v="20"/>
    <n v="0.65400000000000003"/>
    <s v="USHER, Pitbull"/>
    <n v="81"/>
    <s v="Throwback Party"/>
    <s v="DJ Got Us Fallin' In Love (feat. Pitbull)"/>
    <d v="2010-03-30T00:00:00"/>
    <n v="0"/>
    <n v="7"/>
    <n v="3.6666666666666665"/>
    <n v="3.3799999999999997E-2"/>
    <x v="40"/>
  </r>
  <r>
    <n v="0.82399999999999995"/>
    <n v="118"/>
    <n v="0.70899999999999996"/>
    <x v="20"/>
    <n v="0.86699999999999999"/>
    <s v="Whitney Houston"/>
    <n v="81"/>
    <s v="Throwback Party"/>
    <s v="I Wanna Dance with Somebody (Who Loves Me)"/>
    <d v="1987-06-02T00:00:00"/>
    <n v="1"/>
    <n v="1"/>
    <n v="4.8499999999999996"/>
    <n v="0.20699999999999999"/>
    <x v="40"/>
  </r>
  <r>
    <n v="0.66300000000000003"/>
    <n v="146"/>
    <n v="0.63400000000000001"/>
    <x v="20"/>
    <n v="0.6"/>
    <s v="beabadoobee"/>
    <n v="80"/>
    <s v="Bedroom Pop"/>
    <s v="the perfect pair"/>
    <d v="2022-07-15T00:00:00"/>
    <n v="1"/>
    <n v="11"/>
    <n v="2.95"/>
    <n v="0.433"/>
    <x v="42"/>
  </r>
  <r>
    <n v="0.76600000000000001"/>
    <n v="127"/>
    <n v="0.74399999999999999"/>
    <x v="20"/>
    <n v="0.61"/>
    <s v="Black Eyed Peas"/>
    <n v="80"/>
    <s v="Throwback Party"/>
    <s v="I Gotta Feeling"/>
    <d v="2009-01-01T00:00:00"/>
    <n v="1"/>
    <n v="0"/>
    <n v="4.8166666666666664"/>
    <n v="8.7300000000000003E-2"/>
    <x v="40"/>
  </r>
  <r>
    <n v="0.42399999999999999"/>
    <n v="119"/>
    <n v="0.754"/>
    <x v="20"/>
    <n v="0.80600000000000005"/>
    <s v="Bobby Helms"/>
    <n v="80"/>
    <s v="Global Top 50"/>
    <s v="Jingle Bell Rock"/>
    <d v="1957-12-02T00:00:00"/>
    <n v="1"/>
    <n v="2"/>
    <n v="2.1666666666666665"/>
    <n v="0.64300000000000002"/>
    <x v="39"/>
  </r>
  <r>
    <n v="0.84399999999999997"/>
    <n v="113"/>
    <n v="0.78800000000000003"/>
    <x v="20"/>
    <n v="0.38200000000000001"/>
    <s v="Britney Spears"/>
    <n v="80"/>
    <s v="Throwback Party"/>
    <s v="Gimme More"/>
    <d v="2007-10-25T00:00:00"/>
    <n v="1"/>
    <n v="2"/>
    <n v="4.1833333333333336"/>
    <n v="0.25"/>
    <x v="40"/>
  </r>
  <r>
    <n v="0.80300000000000005"/>
    <n v="106"/>
    <n v="0.81799999999999995"/>
    <x v="20"/>
    <n v="0.63200000000000001"/>
    <s v="Bruno Mars"/>
    <n v="80"/>
    <s v="Throwback Party"/>
    <s v="24K Magic"/>
    <d v="2016-11-17T00:00:00"/>
    <n v="1"/>
    <n v="1"/>
    <n v="3.75"/>
    <n v="3.4000000000000002E-2"/>
    <x v="40"/>
  </r>
  <r>
    <n v="0.83399999999999996"/>
    <n v="139"/>
    <n v="0.50900000000000001"/>
    <x v="20"/>
    <n v="0.77400000000000002"/>
    <s v="Bryan Adams"/>
    <n v="80"/>
    <s v="Throwback Party"/>
    <s v="Summer Of '69"/>
    <d v="1984-11-05T00:00:00"/>
    <n v="1"/>
    <n v="2"/>
    <n v="3.6"/>
    <n v="1.83E-2"/>
    <x v="40"/>
  </r>
  <r>
    <n v="0.57999999999999996"/>
    <n v="120"/>
    <n v="0.78200000000000003"/>
    <x v="20"/>
    <n v="0.66"/>
    <s v="Carly Rae Jepsen"/>
    <n v="80"/>
    <s v="Throwback Party"/>
    <s v="Call Me Maybe"/>
    <d v="2012-01-01T00:00:00"/>
    <n v="1"/>
    <n v="7"/>
    <n v="3.2166666666666668"/>
    <n v="1.14E-2"/>
    <x v="40"/>
  </r>
  <r>
    <n v="0.79900000000000004"/>
    <n v="120"/>
    <n v="0.71"/>
    <x v="20"/>
    <n v="0.72499999999999998"/>
    <s v="Cyndi Lauper"/>
    <n v="80"/>
    <s v="Throwback Party"/>
    <s v="Girls Just Want to Have Fun"/>
    <d v="1983-10-14T00:00:00"/>
    <n v="1"/>
    <n v="6"/>
    <n v="3.9666666666666668"/>
    <n v="0.22"/>
    <x v="40"/>
  </r>
  <r>
    <n v="0.78700000000000003"/>
    <n v="126"/>
    <n v="0.60399999999999998"/>
    <x v="20"/>
    <n v="0.30099999999999999"/>
    <s v="David Guetta, Sia"/>
    <n v="80"/>
    <s v="Throwback Party"/>
    <s v="Titanium (feat. Sia)"/>
    <d v="2012-12-07T00:00:00"/>
    <n v="0"/>
    <n v="0"/>
    <n v="4.083333333333333"/>
    <n v="6.7900000000000002E-2"/>
    <x v="40"/>
  </r>
  <r>
    <n v="0.84499999999999997"/>
    <n v="110"/>
    <n v="0.67100000000000004"/>
    <x v="20"/>
    <n v="0.77500000000000002"/>
    <s v="Dua Lipa"/>
    <n v="80"/>
    <s v="Soft Pop Hits"/>
    <s v="Dance The Night - From Barbie The Album"/>
    <d v="2023-05-25T00:00:00"/>
    <n v="0"/>
    <n v="11"/>
    <n v="2.9333333333333331"/>
    <n v="2.07E-2"/>
    <x v="41"/>
  </r>
  <r>
    <n v="0.79500000000000004"/>
    <n v="899"/>
    <n v="0.64600000000000002"/>
    <x v="20"/>
    <n v="0.79600000000000004"/>
    <s v="Gym Class Heroes, Adam Levine"/>
    <n v="80"/>
    <s v="Throwback Party"/>
    <s v="Stereo Hearts (feat. Adam Levine)"/>
    <d v="2011-11-11T00:00:00"/>
    <n v="1"/>
    <n v="9"/>
    <n v="3.5"/>
    <n v="3.1899999999999998E-2"/>
    <x v="40"/>
  </r>
  <r>
    <n v="0.58299999999999996"/>
    <n v="117"/>
    <n v="0.96699999999999997"/>
    <x v="20"/>
    <n v="0.96399999999999997"/>
    <s v="Justin Timberlake, Timbaland"/>
    <n v="80"/>
    <s v="Throwback Party"/>
    <s v="SexyBack (feat. Timbaland)"/>
    <d v="2006-09-12T00:00:00"/>
    <n v="0"/>
    <n v="7"/>
    <n v="4.0333333333333332"/>
    <n v="5.8400000000000001E-2"/>
    <x v="40"/>
  </r>
  <r>
    <n v="0.52900000000000003"/>
    <n v="755"/>
    <n v="0.55100000000000005"/>
    <x v="20"/>
    <n v="0.52100000000000002"/>
    <s v="Mac DeMarco"/>
    <n v="80"/>
    <s v="Bedroom Pop"/>
    <s v="For the First Time"/>
    <d v="2017-05-05T00:00:00"/>
    <n v="0"/>
    <n v="5"/>
    <n v="3.0333333333333332"/>
    <n v="0.29599999999999999"/>
    <x v="42"/>
  </r>
  <r>
    <n v="0.66300000000000003"/>
    <n v="102"/>
    <n v="0.65100000000000002"/>
    <x v="20"/>
    <n v="0.46500000000000002"/>
    <s v="Maroon 5"/>
    <n v="80"/>
    <s v="Soft Pop Hits"/>
    <s v="She Will Be Loved - Radio Mix"/>
    <d v="1905-06-24T00:00:00"/>
    <n v="0"/>
    <n v="0"/>
    <n v="4.3166666666666664"/>
    <n v="0.22800000000000001"/>
    <x v="41"/>
  </r>
  <r>
    <n v="0.88200000000000001"/>
    <n v="102"/>
    <n v="0.74199999999999999"/>
    <x v="20"/>
    <n v="0.46300000000000002"/>
    <s v="Sean Paul, Dua Lipa"/>
    <n v="80"/>
    <s v="Throwback Party"/>
    <s v="No Lie"/>
    <d v="2018-06-29T00:00:00"/>
    <n v="1"/>
    <n v="7"/>
    <n v="3.6833333333333331"/>
    <n v="4.6600000000000003E-2"/>
    <x v="40"/>
  </r>
  <r>
    <n v="0.86899999999999999"/>
    <n v="159"/>
    <n v="0.53300000000000003"/>
    <x v="20"/>
    <n v="0.42499999999999999"/>
    <s v="The Chainsmokers, Daya"/>
    <n v="80"/>
    <s v="Throwback Party"/>
    <s v="Don't Let Me Down"/>
    <d v="2016-02-05T00:00:00"/>
    <n v="1"/>
    <n v="11"/>
    <n v="3.4666666666666668"/>
    <n v="0.156"/>
    <x v="40"/>
  </r>
  <r>
    <n v="0.63800000000000001"/>
    <n v="790"/>
    <n v="0.48099999999999998"/>
    <x v="20"/>
    <n v="0.497"/>
    <s v="Train"/>
    <n v="80"/>
    <s v="Soft Pop Hits"/>
    <s v="Drops of Jupiter (Tell Me)"/>
    <d v="2001-03-27T00:00:00"/>
    <n v="1"/>
    <n v="0"/>
    <n v="4.3166666666666664"/>
    <n v="0.153"/>
    <x v="41"/>
  </r>
  <r>
    <n v="0.83399999999999996"/>
    <n v="950"/>
    <n v="0.751"/>
    <x v="20"/>
    <n v="0.89400000000000002"/>
    <s v="Britney Spears"/>
    <n v="79"/>
    <s v="Throwback Party"/>
    <s v="Oops!...I Did It Again"/>
    <d v="2000-05-16T00:00:00"/>
    <n v="0"/>
    <n v="1"/>
    <n v="3.5166666666666666"/>
    <n v="0.3"/>
    <x v="40"/>
  </r>
  <r>
    <n v="0.85699999999999998"/>
    <n v="128"/>
    <n v="0.41399999999999998"/>
    <x v="20"/>
    <n v="0.34799999999999998"/>
    <s v="Calvin Harris, John Newman"/>
    <n v="79"/>
    <s v="Throwback Party"/>
    <s v="Blame (feat. John Newman)"/>
    <d v="2014-10-31T00:00:00"/>
    <n v="0"/>
    <n v="0"/>
    <n v="3.5333333333333332"/>
    <n v="2.87E-2"/>
    <x v="40"/>
  </r>
  <r>
    <n v="0.79800000000000004"/>
    <n v="116"/>
    <n v="0.79600000000000004"/>
    <x v="20"/>
    <n v="0.94199999999999995"/>
    <s v="Elton John, Dua Lipa, PNAU"/>
    <n v="79"/>
    <s v="Soft Pop Hits"/>
    <s v="Cold Heart - PNAU Remix"/>
    <d v="2021-08-13T00:00:00"/>
    <n v="1"/>
    <n v="1"/>
    <n v="3.3666666666666667"/>
    <n v="3.4000000000000002E-2"/>
    <x v="41"/>
  </r>
  <r>
    <n v="0.46500000000000002"/>
    <n v="890"/>
    <n v="0.44900000000000001"/>
    <x v="20"/>
    <n v="0.54300000000000004"/>
    <s v="Giveon"/>
    <n v="79"/>
    <s v="Soft Pop Hits"/>
    <s v="Heartbreak Anniversary"/>
    <d v="2020-03-27T00:00:00"/>
    <n v="1"/>
    <n v="0"/>
    <n v="3.3"/>
    <n v="0.52400000000000002"/>
    <x v="41"/>
  </r>
  <r>
    <n v="0.56699999999999995"/>
    <n v="125"/>
    <n v="0.84499999999999997"/>
    <x v="20"/>
    <n v="0.79300000000000004"/>
    <s v="Justin Bieber"/>
    <n v="79"/>
    <s v="Throwback Party"/>
    <s v="What Do You Mean?"/>
    <d v="2015-11-13T00:00:00"/>
    <n v="0"/>
    <n v="5"/>
    <n v="3.4166666666666665"/>
    <n v="0.59"/>
    <x v="40"/>
  </r>
  <r>
    <n v="0.73899999999999999"/>
    <n v="118"/>
    <n v="0.82199999999999995"/>
    <x v="20"/>
    <n v="0.745"/>
    <s v="Lady Gaga, Colby O'Donis"/>
    <n v="79"/>
    <s v="Throwback Party"/>
    <s v="Just Dance"/>
    <d v="2008-01-01T00:00:00"/>
    <n v="0"/>
    <n v="1"/>
    <n v="4.0166666666666666"/>
    <n v="2.64E-2"/>
    <x v="40"/>
  </r>
  <r>
    <n v="0.872"/>
    <n v="184"/>
    <n v="0.46600000000000003"/>
    <x v="20"/>
    <n v="0.80600000000000005"/>
    <s v="Linkin Park"/>
    <n v="79"/>
    <s v="Global Top 50"/>
    <s v="The Emptiness Machine"/>
    <d v="2024-11-15T00:00:00"/>
    <n v="1"/>
    <n v="7"/>
    <n v="3.1666666666666665"/>
    <n v="1.5599999999999999E-2"/>
    <x v="39"/>
  </r>
  <r>
    <n v="0.47299999999999998"/>
    <n v="119"/>
    <n v="0.76500000000000001"/>
    <x v="20"/>
    <n v="0.34"/>
    <s v="Lukas Graham"/>
    <n v="79"/>
    <s v="Soft Pop Hits"/>
    <s v="7 Years"/>
    <d v="2016-04-01T00:00:00"/>
    <n v="1"/>
    <n v="10"/>
    <n v="3.95"/>
    <n v="0.28699999999999998"/>
    <x v="41"/>
  </r>
  <r>
    <n v="0.76100000000000001"/>
    <n v="128"/>
    <n v="0.72199999999999998"/>
    <x v="20"/>
    <n v="0.624"/>
    <s v="Maroon 5, Christina Aguilera"/>
    <n v="79"/>
    <s v="Throwback Party"/>
    <s v="Moves Like Jagger - Studio Recording From &quot;The Voice&quot; Performance"/>
    <d v="1905-07-02T00:00:00"/>
    <n v="0"/>
    <n v="11"/>
    <n v="3.35"/>
    <n v="1.1900000000000001E-2"/>
    <x v="40"/>
  </r>
  <r>
    <n v="0.79700000000000004"/>
    <n v="139"/>
    <n v="0.70399999999999996"/>
    <x v="20"/>
    <n v="0.82499999999999996"/>
    <s v="OneRepublic"/>
    <n v="79"/>
    <s v="Soft Pop Hits"/>
    <s v="I Ain't Worried"/>
    <d v="2022-05-13T00:00:00"/>
    <n v="1"/>
    <n v="0"/>
    <n v="2.4666666666666668"/>
    <n v="8.2600000000000007E-2"/>
    <x v="41"/>
  </r>
  <r>
    <n v="0.628"/>
    <n v="103"/>
    <n v="0.67400000000000004"/>
    <x v="20"/>
    <n v="0.55200000000000005"/>
    <s v="Pink"/>
    <n v="79"/>
    <s v="Soft Pop Hits"/>
    <s v="Try"/>
    <d v="2012-09-18T00:00:00"/>
    <n v="1"/>
    <n v="2"/>
    <n v="4.1166666666666663"/>
    <n v="1.4400000000000001E-3"/>
    <x v="41"/>
  </r>
  <r>
    <n v="0.66900000000000004"/>
    <n v="122"/>
    <n v="0.83399999999999996"/>
    <x v="20"/>
    <n v="0.54700000000000004"/>
    <s v="Rihanna"/>
    <n v="79"/>
    <s v="Throwback Party"/>
    <s v="Don't Stop The Music"/>
    <d v="2008-06-02T00:00:00"/>
    <n v="0"/>
    <n v="6"/>
    <n v="4.45"/>
    <n v="3.4099999999999998E-2"/>
    <x v="40"/>
  </r>
  <r>
    <n v="0.501"/>
    <n v="144"/>
    <n v="0.5"/>
    <x v="20"/>
    <n v="0.623"/>
    <s v="Soft Cell"/>
    <n v="79"/>
    <s v="Throwback Party"/>
    <s v="Tainted Love"/>
    <d v="1905-06-03T00:00:00"/>
    <n v="0"/>
    <n v="0"/>
    <n v="2.5499999999999998"/>
    <n v="0.46200000000000002"/>
    <x v="40"/>
  </r>
  <r>
    <n v="0.86399999999999999"/>
    <n v="110"/>
    <n v="0.76800000000000002"/>
    <x v="20"/>
    <n v="0.89100000000000001"/>
    <s v="Spice Girls"/>
    <n v="79"/>
    <s v="Throwback Party"/>
    <s v="Wannabe"/>
    <d v="1996-01-01T00:00:00"/>
    <n v="1"/>
    <n v="11"/>
    <n v="2.8833333333333333"/>
    <n v="0.10100000000000001"/>
    <x v="40"/>
  </r>
  <r>
    <n v="0.80600000000000005"/>
    <n v="104"/>
    <n v="0.60799999999999998"/>
    <x v="20"/>
    <n v="0.58699999999999997"/>
    <s v="Tate McRae"/>
    <n v="79"/>
    <s v="Today's Top Hits"/>
    <s v="2 hands"/>
    <d v="2024-11-14T00:00:00"/>
    <n v="1"/>
    <n v="1"/>
    <n v="3.0166666666666666"/>
    <n v="0.121"/>
    <x v="38"/>
  </r>
  <r>
    <n v="0.57399999999999995"/>
    <n v="125"/>
    <n v="0.61299999999999999"/>
    <x v="20"/>
    <n v="0.755"/>
    <s v="50 Cent, Olivia"/>
    <n v="78"/>
    <s v="Throwback Party"/>
    <s v="Candy Shop"/>
    <d v="2005-03-03T00:00:00"/>
    <n v="1"/>
    <n v="11"/>
    <n v="3.4833333333333334"/>
    <n v="2.53E-2"/>
    <x v="40"/>
  </r>
  <r>
    <n v="0.49099999999999999"/>
    <n v="119"/>
    <n v="0.749"/>
    <x v="20"/>
    <n v="0.53600000000000003"/>
    <s v="ABBA"/>
    <n v="78"/>
    <s v="Throwback Party"/>
    <s v="Gimme! Gimme! Gimme! (A Man After Midnight)"/>
    <d v="1905-06-01T00:00:00"/>
    <n v="1"/>
    <n v="10"/>
    <n v="4.8666666666666663"/>
    <n v="0.02"/>
    <x v="40"/>
  </r>
  <r>
    <n v="0.45"/>
    <n v="178"/>
    <n v="0.59699999999999998"/>
    <x v="20"/>
    <n v="0.53700000000000003"/>
    <s v="Ariana Grande, Justin Bieber"/>
    <n v="78"/>
    <s v="Soft Pop Hits"/>
    <s v="Stuck with U (with Justin Bieber)"/>
    <d v="2020-05-08T00:00:00"/>
    <n v="1"/>
    <n v="8"/>
    <n v="3.8"/>
    <n v="0.223"/>
    <x v="41"/>
  </r>
  <r>
    <n v="0.73599999999999999"/>
    <n v="127"/>
    <n v="0.57899999999999996"/>
    <x v="20"/>
    <n v="0.61299999999999999"/>
    <s v="Avicii"/>
    <n v="78"/>
    <s v="Throwback Party"/>
    <s v="Waiting For Love"/>
    <d v="2015-10-02T00:00:00"/>
    <n v="0"/>
    <n v="6"/>
    <n v="3.8333333333333335"/>
    <n v="0.31"/>
    <x v="40"/>
  </r>
  <r>
    <n v="0.82"/>
    <n v="144"/>
    <n v="0.621"/>
    <x v="20"/>
    <n v="0.45200000000000001"/>
    <s v="Bruno Mars"/>
    <n v="78"/>
    <s v="Soft Pop Hits"/>
    <s v="Marry You"/>
    <d v="2010-05-11T00:00:00"/>
    <n v="1"/>
    <n v="10"/>
    <n v="3.8333333333333335"/>
    <n v="0.33200000000000002"/>
    <x v="41"/>
  </r>
  <r>
    <n v="0.17399999999999999"/>
    <n v="112"/>
    <n v="0.68100000000000005"/>
    <x v="20"/>
    <n v="0.23100000000000001"/>
    <s v="Calum Scott"/>
    <n v="78"/>
    <s v="Soft Pop Hits"/>
    <s v="Dancing On My Own"/>
    <d v="2018-03-09T00:00:00"/>
    <n v="1"/>
    <n v="1"/>
    <n v="4.333333333333333"/>
    <n v="0.83699999999999997"/>
    <x v="41"/>
  </r>
  <r>
    <n v="0.91700000000000004"/>
    <n v="132"/>
    <n v="0.65200000000000002"/>
    <x v="20"/>
    <n v="0.45900000000000002"/>
    <s v="Cher"/>
    <n v="78"/>
    <s v="Throwback Party"/>
    <s v="Believe"/>
    <d v="1905-06-20T00:00:00"/>
    <n v="1"/>
    <n v="6"/>
    <n v="3.9833333333333334"/>
    <n v="8.2000000000000007E-3"/>
    <x v="40"/>
  </r>
  <r>
    <n v="0.54600000000000004"/>
    <n v="104"/>
    <n v="0.74199999999999999"/>
    <x v="20"/>
    <n v="0.86799999999999999"/>
    <s v="Clairo"/>
    <n v="78"/>
    <s v="Bedroom Pop"/>
    <s v="Bags"/>
    <d v="2019-08-02T00:00:00"/>
    <n v="1"/>
    <n v="1"/>
    <n v="4.333333333333333"/>
    <n v="0.17199999999999999"/>
    <x v="42"/>
  </r>
  <r>
    <n v="0.72599999999999998"/>
    <n v="121"/>
    <n v="0.503"/>
    <x v="20"/>
    <n v="0.52900000000000003"/>
    <s v="Disclosure, Sam Smith"/>
    <n v="78"/>
    <s v="Throwback Party"/>
    <s v="Latch"/>
    <d v="2013-06-03T00:00:00"/>
    <n v="1"/>
    <n v="1"/>
    <n v="4.25"/>
    <n v="1.5900000000000001E-2"/>
    <x v="40"/>
  </r>
  <r>
    <n v="0.78300000000000003"/>
    <n v="105"/>
    <n v="0.55400000000000005"/>
    <x v="20"/>
    <n v="0.81299999999999994"/>
    <s v="Dolly Parton"/>
    <n v="78"/>
    <s v="Throwback Party"/>
    <s v="9 to 5"/>
    <d v="1905-06-02T00:00:00"/>
    <n v="1"/>
    <n v="6"/>
    <n v="2.7"/>
    <n v="0.41599999999999998"/>
    <x v="40"/>
  </r>
  <r>
    <n v="0.84399999999999997"/>
    <n v="131"/>
    <n v="0.72899999999999998"/>
    <x v="20"/>
    <n v="0.77700000000000002"/>
    <s v="Elton John, Kiki Dee"/>
    <n v="78"/>
    <s v="Throwback Party"/>
    <s v="Don't Go Breaking My Heart"/>
    <d v="1975-10-24T00:00:00"/>
    <n v="1"/>
    <n v="5"/>
    <n v="4.583333333333333"/>
    <n v="0.14899999999999999"/>
    <x v="40"/>
  </r>
  <r>
    <n v="0.48799999999999999"/>
    <n v="136"/>
    <n v="0.752"/>
    <x v="20"/>
    <n v="0.53300000000000003"/>
    <s v="Halsey"/>
    <n v="78"/>
    <s v="Soft Pop Hits"/>
    <s v="Without Me"/>
    <d v="2020-01-17T00:00:00"/>
    <n v="1"/>
    <n v="6"/>
    <n v="3.35"/>
    <n v="0.29299999999999998"/>
    <x v="41"/>
  </r>
  <r>
    <n v="0.77700000000000002"/>
    <n v="130"/>
    <n v="0.73"/>
    <x v="20"/>
    <n v="0.57499999999999996"/>
    <s v="Jennifer Lopez, Pitbull"/>
    <n v="78"/>
    <s v="Throwback Party"/>
    <s v="On The Floor"/>
    <d v="2011-04-29T00:00:00"/>
    <n v="0"/>
    <n v="3"/>
    <n v="4.7333333333333334"/>
    <n v="0.105"/>
    <x v="40"/>
  </r>
  <r>
    <n v="0.71399999999999997"/>
    <n v="100"/>
    <n v="0.89200000000000002"/>
    <x v="20"/>
    <n v="0.81699999999999995"/>
    <s v="Justin Timberlake"/>
    <n v="78"/>
    <s v="Throwback Party"/>
    <s v="Rock Your Body"/>
    <d v="2002-11-04T00:00:00"/>
    <n v="0"/>
    <n v="4"/>
    <n v="4.45"/>
    <n v="0.20100000000000001"/>
    <x v="40"/>
  </r>
  <r>
    <n v="0.56299999999999994"/>
    <n v="126"/>
    <n v="0.76600000000000001"/>
    <x v="20"/>
    <n v="0.96399999999999997"/>
    <s v="Kylie Minogue"/>
    <n v="78"/>
    <s v="Throwback Party"/>
    <s v="Can't Get You out of My Head"/>
    <d v="2001-10-01T00:00:00"/>
    <n v="0"/>
    <n v="9"/>
    <n v="3.8333333333333335"/>
    <n v="2.63E-2"/>
    <x v="40"/>
  </r>
  <r>
    <n v="0.92800000000000005"/>
    <n v="127"/>
    <n v="0.57099999999999995"/>
    <x v="20"/>
    <n v="0.48799999999999999"/>
    <s v="Linkin Park"/>
    <n v="78"/>
    <s v="Global Top 50"/>
    <s v="Heavy Is the Crown"/>
    <d v="2024-11-15T00:00:00"/>
    <n v="0"/>
    <n v="4"/>
    <n v="2.7833333333333332"/>
    <n v="9.3200000000000002E-3"/>
    <x v="39"/>
  </r>
  <r>
    <n v="0.78800000000000003"/>
    <n v="120"/>
    <n v="0.748"/>
    <x v="20"/>
    <n v="0.88400000000000001"/>
    <s v="Maroon 5"/>
    <n v="78"/>
    <s v="Soft Pop Hits"/>
    <s v="Sugar"/>
    <d v="2014-09-02T00:00:00"/>
    <n v="1"/>
    <n v="1"/>
    <n v="3.9166666666666665"/>
    <n v="5.91E-2"/>
    <x v="41"/>
  </r>
  <r>
    <n v="0.55100000000000005"/>
    <n v="928"/>
    <n v="0.91100000000000003"/>
    <x v="20"/>
    <n v="0.96899999999999997"/>
    <s v="Mary J. Blige"/>
    <n v="78"/>
    <s v="Throwback Party"/>
    <s v="Family Affair"/>
    <d v="2001-08-28T00:00:00"/>
    <n v="0"/>
    <n v="8"/>
    <n v="4.416666666666667"/>
    <n v="0.13300000000000001"/>
    <x v="40"/>
  </r>
  <r>
    <n v="0.53"/>
    <n v="108"/>
    <n v="0.63"/>
    <x v="20"/>
    <n v="0.41699999999999998"/>
    <s v="Meghan Trainor, John Legend"/>
    <n v="78"/>
    <s v="Soft Pop Hits"/>
    <s v="Like I'm Gonna Lose You (feat. John Legend)"/>
    <d v="2015-01-09T00:00:00"/>
    <n v="1"/>
    <n v="0"/>
    <n v="3.75"/>
    <n v="0.4"/>
    <x v="41"/>
  </r>
  <r>
    <n v="0.42199999999999999"/>
    <n v="119"/>
    <n v="0.53"/>
    <x v="20"/>
    <n v="0.34899999999999998"/>
    <s v="Miley Cyrus"/>
    <n v="78"/>
    <s v="Soft Pop Hits"/>
    <s v="Wrecking Ball"/>
    <d v="2013-10-04T00:00:00"/>
    <n v="1"/>
    <n v="5"/>
    <n v="3.6833333333333331"/>
    <n v="0.40699999999999997"/>
    <x v="41"/>
  </r>
  <r>
    <n v="0.40100000000000002"/>
    <n v="111"/>
    <n v="0.67700000000000005"/>
    <x v="20"/>
    <n v="0.19500000000000001"/>
    <s v="Niall Horan"/>
    <n v="78"/>
    <s v="Soft Pop Hits"/>
    <s v="This Town"/>
    <d v="2017-10-20T00:00:00"/>
    <n v="1"/>
    <n v="9"/>
    <n v="3.8666666666666667"/>
    <n v="0.71199999999999997"/>
    <x v="41"/>
  </r>
  <r>
    <n v="0.69899999999999995"/>
    <n v="114"/>
    <n v="0.85"/>
    <x v="20"/>
    <n v="0.91500000000000004"/>
    <s v="Paul Russell"/>
    <n v="78"/>
    <s v="Soft Pop Hits"/>
    <s v="Lil Boo Thang"/>
    <d v="2023-08-18T00:00:00"/>
    <n v="1"/>
    <n v="0"/>
    <n v="1.9"/>
    <n v="0.152"/>
    <x v="41"/>
  </r>
  <r>
    <n v="0.627"/>
    <n v="155"/>
    <n v="0.68700000000000006"/>
    <x v="20"/>
    <n v="0.47"/>
    <s v="Rauw Alejandro, Romeo Santos"/>
    <n v="78"/>
    <s v="Global Top 50"/>
    <s v="Kh√©?"/>
    <d v="2024-11-15T00:00:00"/>
    <n v="1"/>
    <n v="7"/>
    <n v="3.4333333333333331"/>
    <n v="0.32600000000000001"/>
    <x v="39"/>
  </r>
  <r>
    <n v="0.81399999999999995"/>
    <n v="124"/>
    <n v="0.70699999999999996"/>
    <x v="20"/>
    <n v="0.71699999999999997"/>
    <s v="Rihanna"/>
    <n v="78"/>
    <s v="Throwback Party"/>
    <s v="Disturbia"/>
    <d v="2008-06-02T00:00:00"/>
    <n v="0"/>
    <n v="11"/>
    <n v="3.9666666666666668"/>
    <n v="8.6099999999999996E-2"/>
    <x v="40"/>
  </r>
  <r>
    <n v="0.64"/>
    <n v="990"/>
    <n v="0.77900000000000003"/>
    <x v="20"/>
    <n v="0.499"/>
    <s v="Rihanna"/>
    <n v="78"/>
    <s v="Throwback Party"/>
    <s v="Pon de Replay"/>
    <d v="2005-08-29T00:00:00"/>
    <n v="1"/>
    <n v="7"/>
    <n v="4.0999999999999996"/>
    <n v="1.55E-4"/>
    <x v="40"/>
  </r>
  <r>
    <n v="0.39400000000000002"/>
    <n v="961"/>
    <n v="0.42099999999999999"/>
    <x v="20"/>
    <n v="0.39900000000000002"/>
    <s v="Rio Romeo"/>
    <n v="78"/>
    <s v="Bedroom Pop"/>
    <s v="Nothing's New"/>
    <d v="2022-09-23T00:00:00"/>
    <n v="1"/>
    <n v="11"/>
    <n v="3.5166666666666666"/>
    <n v="0.86299999999999999"/>
    <x v="42"/>
  </r>
  <r>
    <n v="0.81499999999999995"/>
    <n v="123"/>
    <n v="0.63600000000000001"/>
    <x v="20"/>
    <n v="0.63600000000000001"/>
    <s v="Robin Schulz, Francesco Yates"/>
    <n v="78"/>
    <s v="Throwback Party"/>
    <s v="Sugar (feat. Francesco Yates)"/>
    <d v="2015-09-25T00:00:00"/>
    <n v="0"/>
    <n v="5"/>
    <n v="3.65"/>
    <n v="1.8499999999999999E-2"/>
    <x v="40"/>
  </r>
  <r>
    <n v="0.6"/>
    <n v="125"/>
    <n v="0.95099999999999996"/>
    <x v="20"/>
    <n v="0.82199999999999995"/>
    <s v="Sean Paul"/>
    <n v="78"/>
    <s v="Throwback Party"/>
    <s v="Temperature"/>
    <d v="2005-09-26T00:00:00"/>
    <n v="0"/>
    <n v="0"/>
    <n v="3.6333333333333333"/>
    <n v="0.106"/>
    <x v="40"/>
  </r>
  <r>
    <n v="0.55000000000000004"/>
    <n v="101"/>
    <n v="0.55100000000000005"/>
    <x v="20"/>
    <n v="0.34200000000000003"/>
    <s v="Stephen Sanchez, Em Beihold"/>
    <n v="78"/>
    <s v="Soft Pop Hits"/>
    <s v="Until I Found You (with Em Beihold) - Em Beihold Version"/>
    <d v="2022-04-22T00:00:00"/>
    <n v="1"/>
    <n v="10"/>
    <n v="2.9333333333333331"/>
    <n v="0.77700000000000002"/>
    <x v="41"/>
  </r>
  <r>
    <n v="0.84"/>
    <n v="129"/>
    <n v="0.61199999999999999"/>
    <x v="20"/>
    <n v="0.438"/>
    <s v="Swedish House Mafia, John Martin"/>
    <n v="78"/>
    <s v="Throwback Party"/>
    <s v="Don't You Worry Child - Radio Edit"/>
    <d v="2012-09-14T00:00:00"/>
    <n v="0"/>
    <n v="11"/>
    <n v="3.5333333333333332"/>
    <n v="0.112"/>
    <x v="40"/>
  </r>
  <r>
    <n v="0.8"/>
    <n v="160"/>
    <n v="0.64700000000000002"/>
    <x v="20"/>
    <n v="0.94199999999999995"/>
    <s v="Taylor Swift"/>
    <n v="78"/>
    <s v="Throwback Party"/>
    <s v="Shake It Off"/>
    <d v="2014-01-01T00:00:00"/>
    <n v="1"/>
    <n v="7"/>
    <n v="3.65"/>
    <n v="6.4699999999999994E-2"/>
    <x v="40"/>
  </r>
  <r>
    <n v="0.76400000000000001"/>
    <n v="169"/>
    <n v="0.59099999999999997"/>
    <x v="20"/>
    <n v="0.47799999999999998"/>
    <s v="The Kid LAROI, Justin Bieber"/>
    <n v="78"/>
    <s v="Soft Pop Hits"/>
    <s v="STAY (with Justin Bieber)"/>
    <d v="2021-07-09T00:00:00"/>
    <n v="1"/>
    <n v="1"/>
    <n v="2.35"/>
    <n v="3.8300000000000001E-2"/>
    <x v="41"/>
  </r>
  <r>
    <n v="0.625"/>
    <n v="937"/>
    <n v="0.79800000000000004"/>
    <x v="20"/>
    <n v="0.85799999999999998"/>
    <s v="Ace of Base"/>
    <n v="77"/>
    <s v="Throwback Party"/>
    <s v="All That She Wants"/>
    <d v="1993-12-24T00:00:00"/>
    <n v="1"/>
    <n v="11"/>
    <n v="3.5166666666666666"/>
    <n v="5.47E-3"/>
    <x v="40"/>
  </r>
  <r>
    <n v="0.36599999999999999"/>
    <n v="141"/>
    <n v="0.60399999999999998"/>
    <x v="20"/>
    <n v="0.13"/>
    <s v="Adele"/>
    <n v="77"/>
    <s v="Soft Pop Hits"/>
    <s v="Easy On Me"/>
    <d v="2021-10-14T00:00:00"/>
    <n v="1"/>
    <n v="5"/>
    <n v="3.7333333333333334"/>
    <n v="0.57799999999999996"/>
    <x v="41"/>
  </r>
  <r>
    <n v="0.90200000000000002"/>
    <n v="100"/>
    <n v="0.67300000000000004"/>
    <x v="20"/>
    <n v="0.53600000000000003"/>
    <s v="American Authors"/>
    <n v="77"/>
    <s v="Soft Pop Hits"/>
    <s v="Best Day Of My Life"/>
    <d v="2014-01-01T00:00:00"/>
    <n v="1"/>
    <n v="2"/>
    <n v="3.2333333333333334"/>
    <n v="5.91E-2"/>
    <x v="41"/>
  </r>
  <r>
    <n v="0.88900000000000001"/>
    <n v="126"/>
    <n v="0.58399999999999996"/>
    <x v="20"/>
    <n v="0.46400000000000002"/>
    <s v="Avicii"/>
    <n v="77"/>
    <s v="Throwback Party"/>
    <s v="Levels - Radio Edit"/>
    <d v="2011-10-28T00:00:00"/>
    <n v="0"/>
    <n v="1"/>
    <n v="3.3166666666666669"/>
    <n v="4.6199999999999998E-2"/>
    <x v="40"/>
  </r>
  <r>
    <n v="0.77"/>
    <n v="991"/>
    <n v="0.64600000000000002"/>
    <x v="20"/>
    <n v="0.68100000000000005"/>
    <s v="Beyoncie, JAY-Z"/>
    <n v="77"/>
    <s v="Throwback Party"/>
    <s v="Crazy In Love (feat. Jay-Z)"/>
    <d v="2003-06-24T00:00:00"/>
    <n v="0"/>
    <n v="2"/>
    <n v="3.9333333333333331"/>
    <n v="2.49E-3"/>
    <x v="40"/>
  </r>
  <r>
    <n v="0.92700000000000005"/>
    <n v="123"/>
    <n v="0.63100000000000001"/>
    <x v="20"/>
    <n v="0.46500000000000002"/>
    <s v="Calvin Harris, Rihanna"/>
    <n v="77"/>
    <s v="Throwback Party"/>
    <s v="This Is What You Came For"/>
    <d v="2016-04-29T00:00:00"/>
    <n v="0"/>
    <n v="9"/>
    <n v="3.7"/>
    <n v="0.19900000000000001"/>
    <x v="40"/>
  </r>
  <r>
    <n v="0.81100000000000005"/>
    <n v="116"/>
    <n v="0.79400000000000004"/>
    <x v="20"/>
    <n v="0.86199999999999999"/>
    <s v="Daft Punk, Pharrell Williams, Nile Rodgers"/>
    <n v="77"/>
    <s v="Throwback Party"/>
    <s v="Get Lucky (Radio Edit) [feat. Pharrell Williams and Nile Rodgers]"/>
    <d v="2013-04-19T00:00:00"/>
    <n v="0"/>
    <n v="6"/>
    <n v="4.1333333333333337"/>
    <n v="4.2599999999999999E-2"/>
    <x v="40"/>
  </r>
  <r>
    <n v="0.86"/>
    <n v="127"/>
    <n v="0.60799999999999998"/>
    <x v="20"/>
    <n v="0.437"/>
    <s v="Flo Rida, Sia"/>
    <n v="77"/>
    <s v="Throwback Party"/>
    <s v="Wild Ones (feat. Sia)"/>
    <d v="2012-06-22T00:00:00"/>
    <n v="0"/>
    <n v="5"/>
    <n v="3.8666666666666667"/>
    <n v="9.9099999999999994E-2"/>
    <x v="40"/>
  </r>
  <r>
    <n v="0.62"/>
    <n v="117"/>
    <n v="0.74099999999999999"/>
    <x v="20"/>
    <n v="0.93400000000000005"/>
    <s v="Hozier"/>
    <n v="77"/>
    <s v="Today's Top Hits"/>
    <s v="Too Sweet"/>
    <d v="2024-03-22T00:00:00"/>
    <n v="1"/>
    <n v="10"/>
    <n v="4.1833333333333336"/>
    <n v="2.9499999999999998E-2"/>
    <x v="38"/>
  </r>
  <r>
    <n v="0.71599999999999997"/>
    <n v="943"/>
    <n v="0.53500000000000003"/>
    <x v="20"/>
    <n v="0.90100000000000002"/>
    <s v="Joan Jett &amp; the Blackhearts"/>
    <n v="77"/>
    <s v="Throwback Party"/>
    <s v="I Love Rock 'N Roll"/>
    <d v="1981-11-18T00:00:00"/>
    <n v="1"/>
    <n v="4"/>
    <n v="2.9166666666666665"/>
    <n v="0.32600000000000001"/>
    <x v="40"/>
  </r>
  <r>
    <n v="0.73799999999999999"/>
    <n v="119"/>
    <n v="0.72099999999999997"/>
    <x v="20"/>
    <n v="0.63700000000000001"/>
    <s v="Marshmello, Jonas Brothers"/>
    <n v="77"/>
    <s v="Soft Pop Hits"/>
    <s v="Leave Before You Love Me (with Jonas Brothers)"/>
    <d v="2021-05-21T00:00:00"/>
    <n v="1"/>
    <n v="7"/>
    <n v="2.5666666666666669"/>
    <n v="2.2599999999999999E-3"/>
    <x v="41"/>
  </r>
  <r>
    <n v="0.65400000000000003"/>
    <n v="117"/>
    <n v="0.92"/>
    <x v="20"/>
    <n v="0.84699999999999998"/>
    <s v="Michael Jackson"/>
    <n v="77"/>
    <s v="Throwback Party"/>
    <s v="Billie Jean"/>
    <d v="2008-02-08T00:00:00"/>
    <n v="0"/>
    <n v="11"/>
    <n v="4.8833333333333337"/>
    <n v="2.3599999999999999E-2"/>
    <x v="40"/>
  </r>
  <r>
    <n v="0.80800000000000005"/>
    <n v="126"/>
    <n v="0.72"/>
    <x v="20"/>
    <n v="0.86899999999999999"/>
    <s v="Modjo"/>
    <n v="77"/>
    <s v="Throwback Party"/>
    <s v="Lady - Hear Me Tonight"/>
    <d v="1905-06-23T00:00:00"/>
    <n v="1"/>
    <n v="6"/>
    <n v="5.1166666666666663"/>
    <n v="7.9299999999999995E-3"/>
    <x v="40"/>
  </r>
  <r>
    <n v="0.85499999999999998"/>
    <n v="120"/>
    <n v="0.67"/>
    <x v="20"/>
    <n v="0.64800000000000002"/>
    <s v="Pitbull, Chris Brown"/>
    <n v="77"/>
    <s v="Throwback Party"/>
    <s v="International Love (feat. Chris Brown)"/>
    <d v="2011-06-17T00:00:00"/>
    <n v="0"/>
    <n v="0"/>
    <n v="3.7833333333333332"/>
    <n v="1.24E-2"/>
    <x v="40"/>
  </r>
  <r>
    <n v="0.75800000000000001"/>
    <n v="135"/>
    <n v="0.67300000000000004"/>
    <x v="20"/>
    <n v="0.54200000000000004"/>
    <s v="Pitbull, Christina Aguilera"/>
    <n v="77"/>
    <s v="Throwback Party"/>
    <s v="Feel This Moment (feat. Christina Aguilera)"/>
    <d v="1905-07-04T00:00:00"/>
    <n v="1"/>
    <n v="7"/>
    <n v="3.8166666666666669"/>
    <n v="3.9E-2"/>
    <x v="40"/>
  </r>
  <r>
    <n v="0.77900000000000003"/>
    <n v="173"/>
    <n v="0.46800000000000003"/>
    <x v="20"/>
    <n v="0.26"/>
    <s v="Sia"/>
    <n v="77"/>
    <s v="Soft Pop Hits"/>
    <s v="Unstoppable"/>
    <d v="2016-10-21T00:00:00"/>
    <n v="1"/>
    <n v="9"/>
    <n v="3.6166666666666667"/>
    <n v="0.112"/>
    <x v="41"/>
  </r>
  <r>
    <n v="0.748"/>
    <n v="137"/>
    <n v="0.749"/>
    <x v="20"/>
    <n v="0.82699999999999996"/>
    <s v="ABBA"/>
    <n v="76"/>
    <s v="Throwback Party"/>
    <s v="Mamma Mia"/>
    <d v="1905-05-28T00:00:00"/>
    <n v="1"/>
    <n v="2"/>
    <n v="3.55"/>
    <n v="0.29499999999999998"/>
    <x v="40"/>
  </r>
  <r>
    <n v="0.64600000000000002"/>
    <n v="886"/>
    <n v="0.86699999999999999"/>
    <x v="20"/>
    <n v="0.67"/>
    <s v="Blackstreet, Dr. Dre, Queen Pen"/>
    <n v="76"/>
    <s v="Throwback Party"/>
    <s v="No Diggity"/>
    <d v="1996-09-09T00:00:00"/>
    <n v="0"/>
    <n v="1"/>
    <n v="5.0666666666666664"/>
    <n v="0.30299999999999999"/>
    <x v="40"/>
  </r>
  <r>
    <n v="0.91500000000000004"/>
    <n v="126"/>
    <n v="0.54400000000000004"/>
    <x v="20"/>
    <n v="0.51"/>
    <s v="Calvin Harris, Alesso, Hurts"/>
    <n v="76"/>
    <s v="Throwback Party"/>
    <s v="Under Control (feat. Hurts)"/>
    <d v="2014-10-31T00:00:00"/>
    <n v="1"/>
    <n v="8"/>
    <n v="3.0666666666666669"/>
    <n v="0.129"/>
    <x v="40"/>
  </r>
  <r>
    <n v="0.86"/>
    <n v="939"/>
    <n v="0.73699999999999999"/>
    <x v="20"/>
    <n v="0.65600000000000003"/>
    <s v="Daddy Yankee, Snow"/>
    <n v="76"/>
    <s v="Throwback Party"/>
    <s v="Con Calma"/>
    <d v="2019-01-24T00:00:00"/>
    <n v="0"/>
    <n v="8"/>
    <n v="3.2166666666666668"/>
    <n v="0.11"/>
    <x v="40"/>
  </r>
  <r>
    <n v="0.75600000000000001"/>
    <n v="131"/>
    <n v="0.80200000000000005"/>
    <x v="20"/>
    <n v="0.96299999999999997"/>
    <s v="Earth, Wind &amp; Fire, The Emotions"/>
    <n v="76"/>
    <s v="Throwback Party"/>
    <s v="Boogie Wonderland"/>
    <d v="1979-06-06T00:00:00"/>
    <n v="0"/>
    <n v="2"/>
    <n v="4.8"/>
    <n v="8.43E-2"/>
    <x v="40"/>
  </r>
  <r>
    <n v="0.89"/>
    <n v="128"/>
    <n v="0.70599999999999996"/>
    <x v="20"/>
    <n v="0.68400000000000005"/>
    <s v="Flo Rida"/>
    <n v="76"/>
    <s v="Throwback Party"/>
    <s v="Good Feeling"/>
    <d v="2012-06-22T00:00:00"/>
    <n v="0"/>
    <n v="1"/>
    <n v="4.1333333333333337"/>
    <n v="5.8799999999999998E-2"/>
    <x v="40"/>
  </r>
  <r>
    <n v="0.86899999999999999"/>
    <n v="127"/>
    <n v="0.61599999999999999"/>
    <x v="20"/>
    <n v="0.47299999999999998"/>
    <s v="Flo Rida, David Guetta"/>
    <n v="76"/>
    <s v="Throwback Party"/>
    <s v="Club Can't Handle Me (feat. David Guetta)"/>
    <d v="2010-11-24T00:00:00"/>
    <n v="1"/>
    <n v="0"/>
    <n v="3.9"/>
    <n v="2.8299999999999999E-2"/>
    <x v="40"/>
  </r>
  <r>
    <n v="0.48599999999999999"/>
    <n v="163"/>
    <n v="0.68700000000000006"/>
    <x v="20"/>
    <n v="0.79200000000000004"/>
    <s v="HYBS"/>
    <n v="76"/>
    <s v="Bedroom Pop"/>
    <s v="Tip Toe"/>
    <d v="2023-06-20T00:00:00"/>
    <n v="1"/>
    <n v="11"/>
    <n v="3.7333333333333334"/>
    <n v="0.58699999999999997"/>
    <x v="42"/>
  </r>
  <r>
    <n v="0.83"/>
    <n v="113"/>
    <n v="0.66600000000000004"/>
    <x v="20"/>
    <n v="0.70199999999999996"/>
    <s v="Justin Timberlake"/>
    <n v="76"/>
    <s v="Throwback Party"/>
    <s v="CAN'T STOP THE FEELING! (from DreamWorks Animation's &quot;TROLLS&quot;)"/>
    <d v="2016-05-06T00:00:00"/>
    <n v="1"/>
    <n v="0"/>
    <n v="3.9333333333333331"/>
    <n v="1.23E-2"/>
    <x v="40"/>
  </r>
  <r>
    <n v="0.87"/>
    <n v="109"/>
    <n v="0.59699999999999998"/>
    <x v="20"/>
    <n v="0.94399999999999995"/>
    <s v="Katrina &amp; The Waves"/>
    <n v="76"/>
    <s v="Throwback Party"/>
    <s v="Walking On Sunshine"/>
    <d v="1905-06-07T00:00:00"/>
    <n v="1"/>
    <n v="10"/>
    <n v="3.9666666666666668"/>
    <n v="1.1900000000000001E-2"/>
    <x v="40"/>
  </r>
  <r>
    <n v="0.42599999999999999"/>
    <n v="848"/>
    <n v="0.67400000000000004"/>
    <x v="20"/>
    <n v="0.33700000000000002"/>
    <s v="Lorde"/>
    <n v="76"/>
    <s v="Soft Pop Hits"/>
    <s v="Royals"/>
    <d v="2013-09-27T00:00:00"/>
    <n v="1"/>
    <n v="7"/>
    <n v="3.1666666666666665"/>
    <n v="0.12"/>
    <x v="41"/>
  </r>
  <r>
    <n v="0.92200000000000004"/>
    <n v="146"/>
    <n v="0.64100000000000001"/>
    <x v="20"/>
    <n v="0.84699999999999998"/>
    <s v="Macklemore, Ryan Lewis, Macklemore &amp; Ryan Lewis, Ray Dalton"/>
    <n v="76"/>
    <s v="Throwback Party"/>
    <s v="Can't Hold Us (feat. Ray Dalton)"/>
    <d v="2012-10-09T00:00:00"/>
    <n v="1"/>
    <n v="2"/>
    <n v="4.3"/>
    <n v="2.9100000000000001E-2"/>
    <x v="40"/>
  </r>
  <r>
    <n v="0.80900000000000005"/>
    <n v="980"/>
    <n v="0.72299999999999998"/>
    <x v="20"/>
    <n v="0.27400000000000002"/>
    <s v="Major Lazer, Miò, DJ Snake"/>
    <n v="76"/>
    <s v="Throwback Party"/>
    <s v="Lean On (feat. M√ò &amp; DJ Snake)"/>
    <d v="2015-11-27T00:00:00"/>
    <n v="0"/>
    <n v="7"/>
    <n v="2.9333333333333331"/>
    <n v="3.46E-3"/>
    <x v="40"/>
  </r>
  <r>
    <n v="0.79400000000000004"/>
    <n v="114"/>
    <n v="0.60099999999999998"/>
    <x v="20"/>
    <n v="0.24399999999999999"/>
    <s v="Mark Ronson, Miley Cyrus"/>
    <n v="76"/>
    <s v="Soft Pop Hits"/>
    <s v="Nothing Breaks Like a Heart (feat. Miley Cyrus)"/>
    <d v="2019-06-21T00:00:00"/>
    <n v="0"/>
    <n v="7"/>
    <n v="3.6166666666666667"/>
    <n v="9.8700000000000003E-3"/>
    <x v="41"/>
  </r>
  <r>
    <n v="0.67300000000000004"/>
    <n v="203"/>
    <n v="0.49199999999999999"/>
    <x v="20"/>
    <n v="0.48799999999999999"/>
    <s v="Morgan Wallen"/>
    <n v="76"/>
    <s v="Soft Pop Hits"/>
    <s v="Last Night"/>
    <d v="2023-01-31T00:00:00"/>
    <n v="1"/>
    <n v="6"/>
    <n v="2.7166666666666668"/>
    <n v="0.41299999999999998"/>
    <x v="41"/>
  </r>
  <r>
    <n v="0.71599999999999997"/>
    <n v="125"/>
    <n v="0.747"/>
    <x v="20"/>
    <n v="0.751"/>
    <s v="Nicki Minaj"/>
    <n v="76"/>
    <s v="Throwback Party"/>
    <s v="Starships"/>
    <d v="2012-01-01T00:00:00"/>
    <n v="0"/>
    <n v="11"/>
    <n v="3.5"/>
    <n v="0.13500000000000001"/>
    <x v="40"/>
  </r>
  <r>
    <n v="0.34200000000000003"/>
    <n v="102"/>
    <n v="0.51600000000000001"/>
    <x v="20"/>
    <n v="9.9299999999999999E-2"/>
    <s v="Selena Gomez"/>
    <n v="76"/>
    <s v="Soft Pop Hits"/>
    <s v="Lose You To Love Me"/>
    <d v="2020-01-10T00:00:00"/>
    <n v="1"/>
    <n v="4"/>
    <n v="3.4333333333333331"/>
    <n v="0.55000000000000004"/>
    <x v="41"/>
  </r>
  <r>
    <n v="0.73799999999999999"/>
    <n v="117"/>
    <n v="0.73099999999999998"/>
    <x v="20"/>
    <n v="0.95799999999999996"/>
    <s v="The Human League"/>
    <n v="76"/>
    <s v="Throwback Party"/>
    <s v="Don't You Want Me"/>
    <d v="1905-06-03T00:00:00"/>
    <n v="0"/>
    <n v="9"/>
    <n v="3.9333333333333331"/>
    <n v="0.184"/>
    <x v="40"/>
  </r>
  <r>
    <n v="0.85099999999999998"/>
    <n v="126"/>
    <n v="0.72199999999999998"/>
    <x v="20"/>
    <n v="0.45200000000000001"/>
    <s v="The Wanted"/>
    <n v="76"/>
    <s v="Throwback Party"/>
    <s v="Glad You Came"/>
    <d v="2011-01-01T00:00:00"/>
    <n v="0"/>
    <n v="7"/>
    <n v="3.2833333333333332"/>
    <n v="3.1899999999999998E-2"/>
    <x v="40"/>
  </r>
  <r>
    <n v="0.65700000000000003"/>
    <n v="107"/>
    <n v="0.753"/>
    <x v="20"/>
    <n v="0.437"/>
    <s v="Zedd, Maren Morris, Grey"/>
    <n v="76"/>
    <s v="Soft Pop Hits"/>
    <s v="The Middle"/>
    <d v="2018-01-23T00:00:00"/>
    <n v="1"/>
    <n v="7"/>
    <n v="3.0666666666666669"/>
    <n v="0.17100000000000001"/>
    <x v="41"/>
  </r>
  <r>
    <n v="0.70199999999999996"/>
    <n v="129"/>
    <n v="0.68600000000000005"/>
    <x v="20"/>
    <n v="0.28999999999999998"/>
    <s v="Ariana Grande, Zedd"/>
    <n v="75"/>
    <s v="Throwback Party"/>
    <s v="Break Free"/>
    <d v="2014-08-22T00:00:00"/>
    <n v="0"/>
    <n v="7"/>
    <n v="3.5666666666666669"/>
    <n v="6.3699999999999998E-3"/>
    <x v="40"/>
  </r>
  <r>
    <n v="0.64800000000000002"/>
    <n v="125"/>
    <n v="0.86899999999999999"/>
    <x v="20"/>
    <n v="0.9"/>
    <s v="Earth, Wind &amp; Fire"/>
    <n v="75"/>
    <s v="Throwback Party"/>
    <s v="Let's Groove"/>
    <d v="1981-11-14T00:00:00"/>
    <n v="0"/>
    <n v="11"/>
    <n v="5.65"/>
    <n v="0.121"/>
    <x v="40"/>
  </r>
  <r>
    <n v="0.86099999999999999"/>
    <n v="128"/>
    <n v="0.70399999999999996"/>
    <x v="20"/>
    <n v="0.63600000000000001"/>
    <s v="Gala, Molella, Phil Jay"/>
    <n v="75"/>
    <s v="Throwback Party"/>
    <s v="Freed From Desire - prod. Molella, Phil Jay"/>
    <d v="1997-11-17T00:00:00"/>
    <n v="0"/>
    <n v="2"/>
    <n v="3.55"/>
    <n v="0.58699999999999997"/>
    <x v="40"/>
  </r>
  <r>
    <n v="0.65500000000000003"/>
    <n v="122"/>
    <n v="0.57199999999999995"/>
    <x v="20"/>
    <n v="0.39200000000000002"/>
    <s v="Irene Cara"/>
    <n v="75"/>
    <s v="Throwback Party"/>
    <s v="Flashdance...What a Feeling - Radio Edit"/>
    <d v="1983-11-02T00:00:00"/>
    <n v="0"/>
    <n v="7"/>
    <n v="3.95"/>
    <n v="5.79E-3"/>
    <x v="40"/>
  </r>
  <r>
    <n v="0.751"/>
    <n v="910"/>
    <n v="0.70599999999999996"/>
    <x v="20"/>
    <n v="0.19500000000000001"/>
    <s v="Iyaz"/>
    <n v="75"/>
    <s v="Throwback Party"/>
    <s v="Replay"/>
    <d v="2009-08-18T00:00:00"/>
    <n v="1"/>
    <n v="9"/>
    <n v="3.0333333333333332"/>
    <n v="0.17299999999999999"/>
    <x v="40"/>
  </r>
  <r>
    <n v="0.65600000000000003"/>
    <n v="104"/>
    <n v="0.63800000000000001"/>
    <x v="20"/>
    <n v="0.22500000000000001"/>
    <s v="Leona Lewis"/>
    <n v="75"/>
    <s v="Soft Pop Hits"/>
    <s v="Bleeding Love"/>
    <d v="1905-06-29T00:00:00"/>
    <n v="1"/>
    <n v="5"/>
    <n v="4.3666666666666663"/>
    <n v="0.188"/>
    <x v="41"/>
  </r>
  <r>
    <n v="0.80700000000000005"/>
    <n v="174"/>
    <n v="0.622"/>
    <x v="20"/>
    <n v="0.89200000000000002"/>
    <s v="Lou Bega"/>
    <n v="75"/>
    <s v="Throwback Party"/>
    <s v="Mambo No. 5 (a Little Bit of...)"/>
    <d v="1999-07-19T00:00:00"/>
    <n v="0"/>
    <n v="5"/>
    <n v="3.6666666666666665"/>
    <n v="0.10299999999999999"/>
    <x v="40"/>
  </r>
  <r>
    <n v="0.7"/>
    <n v="101"/>
    <n v="0.85"/>
    <x v="20"/>
    <n v="0.72399999999999998"/>
    <s v="Nelly, City Spud"/>
    <n v="75"/>
    <s v="Throwback Party"/>
    <s v="Ride Wit Me"/>
    <d v="2000-06-27T00:00:00"/>
    <n v="1"/>
    <n v="7"/>
    <n v="4.8499999999999996"/>
    <n v="6.0699999999999997E-2"/>
    <x v="40"/>
  </r>
  <r>
    <n v="0.872"/>
    <n v="126"/>
    <n v="0.56000000000000005"/>
    <x v="20"/>
    <n v="0.68200000000000005"/>
    <s v="Owl City, Carly Rae Jepsen"/>
    <n v="75"/>
    <s v="Throwback Party"/>
    <s v="Good Time"/>
    <d v="2012-08-17T00:00:00"/>
    <n v="1"/>
    <n v="3"/>
    <n v="3.4166666666666665"/>
    <n v="2.3900000000000001E-2"/>
    <x v="40"/>
  </r>
  <r>
    <n v="0.76600000000000001"/>
    <n v="127"/>
    <n v="0.73499999999999999"/>
    <x v="20"/>
    <n v="0.6"/>
    <s v="Rihanna, Calvin Harris"/>
    <n v="75"/>
    <s v="Throwback Party"/>
    <s v="We Found Love"/>
    <d v="2011-11-19T00:00:00"/>
    <n v="1"/>
    <n v="1"/>
    <n v="3.5833333333333335"/>
    <n v="2.5000000000000001E-2"/>
    <x v="40"/>
  </r>
  <r>
    <n v="0.54"/>
    <n v="116"/>
    <n v="0.75900000000000001"/>
    <x v="20"/>
    <n v="0.75"/>
    <s v="Shawn Mendes, Camila Cabello"/>
    <n v="75"/>
    <s v="Soft Pop Hits"/>
    <s v="Se√±orita"/>
    <d v="2019-06-21T00:00:00"/>
    <n v="0"/>
    <n v="9"/>
    <n v="3.1666666666666665"/>
    <n v="3.6999999999999998E-2"/>
    <x v="41"/>
  </r>
  <r>
    <n v="0.59299999999999997"/>
    <n v="119"/>
    <n v="0.79"/>
    <x v="20"/>
    <n v="0.72"/>
    <s v="Stromae"/>
    <n v="75"/>
    <s v="Throwback Party"/>
    <s v="Alors on danse - Radio Edit"/>
    <d v="2010-01-01T00:00:00"/>
    <n v="0"/>
    <n v="1"/>
    <n v="3.4333333333333331"/>
    <n v="9.8299999999999998E-2"/>
    <x v="40"/>
  </r>
  <r>
    <n v="0.79200000000000004"/>
    <n v="119"/>
    <n v="0.627"/>
    <x v="20"/>
    <n v="0.41499999999999998"/>
    <s v="Taylor Swift"/>
    <n v="75"/>
    <s v="Soft Pop Hits"/>
    <s v="Love Story (Taylor‚Äôs Version)"/>
    <d v="2021-04-09T00:00:00"/>
    <n v="1"/>
    <n v="2"/>
    <n v="3.9166666666666665"/>
    <n v="0.13"/>
    <x v="41"/>
  </r>
  <r>
    <n v="0.83499999999999996"/>
    <n v="129"/>
    <n v="0.57199999999999995"/>
    <x v="20"/>
    <n v="0.79500000000000004"/>
    <s v="Van Halen"/>
    <n v="75"/>
    <s v="Throwback Party"/>
    <s v="Jump - 2015 Remaster"/>
    <d v="1984-01-04T00:00:00"/>
    <n v="1"/>
    <n v="0"/>
    <n v="4.0166666666666666"/>
    <n v="0.17100000000000001"/>
    <x v="40"/>
  </r>
  <r>
    <n v="0.82499999999999996"/>
    <n v="949"/>
    <n v="0.56000000000000005"/>
    <x v="20"/>
    <n v="0.26800000000000002"/>
    <s v="Vanessa Carlton"/>
    <n v="75"/>
    <s v="Soft Pop Hits"/>
    <s v="A Thousand Miles"/>
    <d v="2002-04-30T00:00:00"/>
    <n v="1"/>
    <n v="11"/>
    <n v="3.95"/>
    <n v="0.32300000000000001"/>
    <x v="41"/>
  </r>
  <r>
    <n v="0.92800000000000005"/>
    <n v="172"/>
    <n v="0.61399999999999999"/>
    <x v="20"/>
    <n v="0.879"/>
    <s v="*NSYNC"/>
    <n v="74"/>
    <s v="Throwback Party"/>
    <s v="Bye Bye Bye"/>
    <d v="2000-03-21T00:00:00"/>
    <n v="0"/>
    <n v="8"/>
    <n v="3.3333333333333335"/>
    <n v="4.0800000000000003E-2"/>
    <x v="40"/>
  </r>
  <r>
    <n v="0.67500000000000004"/>
    <n v="107"/>
    <n v="0.68400000000000005"/>
    <x v="20"/>
    <n v="0.92400000000000004"/>
    <s v="ABBA"/>
    <n v="74"/>
    <s v="Throwback Party"/>
    <s v="Take A Chance On Me"/>
    <d v="1905-05-30T00:00:00"/>
    <n v="1"/>
    <n v="11"/>
    <n v="4.05"/>
    <n v="0.16300000000000001"/>
    <x v="40"/>
  </r>
  <r>
    <n v="0.95399999999999996"/>
    <n v="128"/>
    <n v="0.627"/>
    <x v="20"/>
    <n v="0.312"/>
    <s v="Alex Gaudino, Crystal Waters"/>
    <n v="74"/>
    <s v="Throwback Party"/>
    <s v="Destination Calabria - Radio Edit"/>
    <d v="2007-02-19T00:00:00"/>
    <n v="1"/>
    <n v="2"/>
    <n v="3.7166666666666668"/>
    <n v="1.5E-3"/>
    <x v="40"/>
  </r>
  <r>
    <n v="0.70599999999999996"/>
    <n v="925"/>
    <n v="0.48199999999999998"/>
    <x v="20"/>
    <n v="0.14399999999999999"/>
    <s v="Alicia Keys"/>
    <n v="74"/>
    <s v="Soft Pop Hits"/>
    <s v="Girl on Fire"/>
    <d v="2012-11-18T00:00:00"/>
    <n v="1"/>
    <n v="9"/>
    <n v="3.7333333333333334"/>
    <n v="0.13500000000000001"/>
    <x v="41"/>
  </r>
  <r>
    <n v="0.495"/>
    <n v="103"/>
    <n v="0.69399999999999995"/>
    <x v="20"/>
    <n v="0.79900000000000004"/>
    <s v="Amy Winehouse"/>
    <n v="74"/>
    <s v="Soft Pop Hits"/>
    <s v="You Know I'm No Good"/>
    <d v="1905-06-28T00:00:00"/>
    <n v="1"/>
    <n v="9"/>
    <n v="4.2833333333333332"/>
    <n v="1.37E-2"/>
    <x v="41"/>
  </r>
  <r>
    <n v="0.879"/>
    <n v="129"/>
    <n v="0.81200000000000006"/>
    <x v="20"/>
    <n v="0.96199999999999997"/>
    <s v="Aqua"/>
    <n v="74"/>
    <s v="Throwback Party"/>
    <s v="Barbie Girl"/>
    <d v="1997-01-01T00:00:00"/>
    <n v="0"/>
    <n v="1"/>
    <n v="3.2833333333333332"/>
    <n v="1.7000000000000001E-2"/>
    <x v="40"/>
  </r>
  <r>
    <n v="0.85299999999999998"/>
    <n v="108"/>
    <n v="0.73099999999999998"/>
    <x v="20"/>
    <n v="0.60499999999999998"/>
    <s v="Backstreet Boys"/>
    <n v="74"/>
    <s v="Throwback Party"/>
    <s v="Everybody (Backstreet's Back) - Radio Edit"/>
    <d v="1997-08-12T00:00:00"/>
    <n v="0"/>
    <n v="10"/>
    <n v="3.75"/>
    <n v="3.5200000000000002E-2"/>
    <x v="40"/>
  </r>
  <r>
    <n v="0.90300000000000002"/>
    <n v="749"/>
    <n v="0.52"/>
    <x v="20"/>
    <n v="0.65200000000000002"/>
    <s v="BANNERS"/>
    <n v="74"/>
    <s v="Soft Pop Hits"/>
    <s v="Someone To You"/>
    <d v="2019-10-04T00:00:00"/>
    <n v="1"/>
    <n v="2"/>
    <n v="3.65"/>
    <n v="5.1700000000000001E-3"/>
    <x v="41"/>
  </r>
  <r>
    <n v="0.53500000000000003"/>
    <n v="103"/>
    <n v="0.70699999999999996"/>
    <x v="20"/>
    <n v="0.64100000000000001"/>
    <s v="Bee Gees"/>
    <n v="74"/>
    <s v="Throwback Party"/>
    <s v="Stayin' Alive"/>
    <d v="1977-12-13T00:00:00"/>
    <n v="0"/>
    <n v="10"/>
    <n v="15.466666666666667"/>
    <n v="0.113"/>
    <x v="40"/>
  </r>
  <r>
    <n v="0.69699999999999995"/>
    <n v="122"/>
    <n v="0.61299999999999999"/>
    <x v="20"/>
    <n v="0.47599999999999998"/>
    <s v="Daft Punk"/>
    <n v="74"/>
    <s v="Throwback Party"/>
    <s v="One More Time"/>
    <d v="2001-03-12T00:00:00"/>
    <n v="1"/>
    <n v="2"/>
    <n v="5.333333333333333"/>
    <n v="1.9400000000000001E-2"/>
    <x v="40"/>
  </r>
  <r>
    <n v="0.58599999999999997"/>
    <n v="126"/>
    <n v="0.55300000000000005"/>
    <x v="20"/>
    <n v="0.443"/>
    <s v="Dean Lewis"/>
    <n v="74"/>
    <s v="Soft Pop Hits"/>
    <s v="Be Alright"/>
    <d v="2018-06-29T00:00:00"/>
    <n v="1"/>
    <n v="11"/>
    <n v="3.2666666666666666"/>
    <n v="0.69699999999999995"/>
    <x v="41"/>
  </r>
  <r>
    <n v="0.77200000000000002"/>
    <n v="128"/>
    <n v="0.76600000000000001"/>
    <x v="20"/>
    <n v="0.91900000000000004"/>
    <s v="Depeche Mode"/>
    <n v="74"/>
    <s v="Throwback Party"/>
    <s v="Just Can't Get Enough"/>
    <d v="1981-11-02T00:00:00"/>
    <n v="1"/>
    <n v="0"/>
    <n v="3.6666666666666665"/>
    <n v="0.40300000000000002"/>
    <x v="40"/>
  </r>
  <r>
    <n v="0.84299999999999997"/>
    <n v="117"/>
    <n v="0.52900000000000003"/>
    <x v="20"/>
    <n v="0.188"/>
    <s v="Europe"/>
    <n v="74"/>
    <s v="Throwback Party"/>
    <s v="The Final Countdown"/>
    <d v="1905-06-08T00:00:00"/>
    <n v="0"/>
    <n v="6"/>
    <n v="5.166666666666667"/>
    <n v="6.2799999999999995E-2"/>
    <x v="40"/>
  </r>
  <r>
    <n v="0.495"/>
    <n v="129"/>
    <n v="0.86399999999999999"/>
    <x v="20"/>
    <n v="0.72"/>
    <s v="Gotye, Kimbra"/>
    <n v="74"/>
    <s v="Soft Pop Hits"/>
    <s v="Somebody That I Used To Know"/>
    <d v="2011-01-01T00:00:00"/>
    <n v="1"/>
    <n v="0"/>
    <n v="4.0666666666666664"/>
    <n v="0.59099999999999997"/>
    <x v="41"/>
  </r>
  <r>
    <n v="0.44400000000000001"/>
    <n v="150"/>
    <n v="0.70299999999999996"/>
    <x v="20"/>
    <n v="0.71199999999999997"/>
    <s v="Jason Mraz"/>
    <n v="74"/>
    <s v="Soft Pop Hits"/>
    <s v="I'm Yours"/>
    <d v="2008-05-12T00:00:00"/>
    <n v="1"/>
    <n v="11"/>
    <n v="4.0333333333333332"/>
    <n v="0.55900000000000005"/>
    <x v="41"/>
  </r>
  <r>
    <n v="0.68300000000000005"/>
    <n v="159"/>
    <n v="0.51500000000000001"/>
    <x v="20"/>
    <n v="0.57199999999999995"/>
    <s v="Katy Perry"/>
    <n v="74"/>
    <s v="Soft Pop Hits"/>
    <s v="Wide Awake"/>
    <d v="2012-03-12T00:00:00"/>
    <n v="1"/>
    <n v="5"/>
    <n v="3.6666666666666665"/>
    <n v="7.4899999999999994E-2"/>
    <x v="41"/>
  </r>
  <r>
    <n v="0.84199999999999997"/>
    <n v="132"/>
    <n v="0.70599999999999996"/>
    <x v="20"/>
    <n v="0.86099999999999999"/>
    <s v="Katy Perry"/>
    <n v="74"/>
    <s v="Throwback Party"/>
    <s v="Hot N Cold"/>
    <d v="2008-06-17T00:00:00"/>
    <n v="1"/>
    <n v="7"/>
    <n v="3.6666666666666665"/>
    <n v="7.7299999999999995E-5"/>
    <x v="40"/>
  </r>
  <r>
    <n v="0.84199999999999997"/>
    <n v="111"/>
    <n v="0.625"/>
    <x v="20"/>
    <n v="0.26"/>
    <s v="Madonna"/>
    <n v="74"/>
    <s v="Throwback Party"/>
    <s v="Like a Prayer"/>
    <d v="2009-09-18T00:00:00"/>
    <n v="1"/>
    <n v="5"/>
    <n v="5.7"/>
    <n v="0.26400000000000001"/>
    <x v="40"/>
  </r>
  <r>
    <n v="0.74099999999999999"/>
    <n v="107"/>
    <n v="0.95599999999999996"/>
    <x v="20"/>
    <n v="0.91100000000000003"/>
    <s v="Nelly"/>
    <n v="74"/>
    <s v="Throwback Party"/>
    <s v="Hot In Herre"/>
    <d v="2002-06-25T00:00:00"/>
    <n v="0"/>
    <n v="11"/>
    <n v="3.8"/>
    <n v="0.20399999999999999"/>
    <x v="40"/>
  </r>
  <r>
    <n v="0.83199999999999996"/>
    <n v="107"/>
    <n v="0.79400000000000004"/>
    <x v="20"/>
    <n v="0.871"/>
    <s v="Shakira"/>
    <n v="74"/>
    <s v="Throwback Party"/>
    <s v="Whenever, Wherever"/>
    <d v="2001-11-13T00:00:00"/>
    <n v="0"/>
    <n v="1"/>
    <n v="3.2666666666666666"/>
    <n v="0.23699999999999999"/>
    <x v="40"/>
  </r>
  <r>
    <n v="0.71899999999999997"/>
    <n v="112"/>
    <n v="0.55800000000000005"/>
    <x v="20"/>
    <n v="0.371"/>
    <s v="The Calling"/>
    <n v="74"/>
    <s v="Soft Pop Hits"/>
    <s v="Wherever You Will Go"/>
    <d v="1905-06-23T00:00:00"/>
    <n v="1"/>
    <n v="2"/>
    <n v="3.4666666666666668"/>
    <n v="3.6700000000000003E-2"/>
    <x v="41"/>
  </r>
  <r>
    <n v="0.71099999999999997"/>
    <n v="110"/>
    <n v="0.97499999999999998"/>
    <x v="20"/>
    <n v="0.81499999999999995"/>
    <s v="Timbaland, Justin Timberlake, Nelly Furtado"/>
    <n v="74"/>
    <s v="Throwback Party"/>
    <s v="Give It To Me"/>
    <d v="2007-04-02T00:00:00"/>
    <n v="1"/>
    <n v="8"/>
    <n v="3.9"/>
    <n v="0.16800000000000001"/>
    <x v="40"/>
  </r>
  <r>
    <n v="0.58499999999999996"/>
    <n v="102"/>
    <n v="0.75"/>
    <x v="20"/>
    <n v="0.58399999999999996"/>
    <s v="Clairo"/>
    <n v="73"/>
    <s v="Bedroom Pop"/>
    <s v="4EVER"/>
    <d v="2018-04-27T00:00:00"/>
    <n v="0"/>
    <n v="9"/>
    <n v="2.65"/>
    <n v="4.9000000000000002E-2"/>
    <x v="42"/>
  </r>
  <r>
    <n v="0.33100000000000002"/>
    <n v="720"/>
    <n v="0.45900000000000002"/>
    <x v="20"/>
    <n v="0.27100000000000002"/>
    <s v="Duncan Laurence"/>
    <n v="73"/>
    <s v="Soft Pop Hits"/>
    <s v="Arcade"/>
    <d v="2019-03-07T00:00:00"/>
    <n v="0"/>
    <n v="9"/>
    <n v="3.05"/>
    <n v="0.81699999999999995"/>
    <x v="41"/>
  </r>
  <r>
    <n v="0.83699999999999997"/>
    <n v="126"/>
    <n v="0.59699999999999998"/>
    <x v="20"/>
    <n v="0.44700000000000001"/>
    <s v="Eric Prydz"/>
    <n v="73"/>
    <s v="Throwback Party"/>
    <s v="Call on Me - Radio Mix"/>
    <d v="2004-09-10T00:00:00"/>
    <n v="1"/>
    <n v="10"/>
    <n v="2.85"/>
    <n v="4.2700000000000004E-3"/>
    <x v="40"/>
  </r>
  <r>
    <n v="0.495"/>
    <n v="104"/>
    <n v="0.73699999999999999"/>
    <x v="20"/>
    <n v="0.96699999999999997"/>
    <s v="Frankie Valli &amp; The Four Seasons"/>
    <n v="73"/>
    <s v="Throwback Party"/>
    <s v="December, 1963 (Oh What a Night!)"/>
    <d v="1905-05-28T00:00:00"/>
    <n v="1"/>
    <n v="1"/>
    <n v="3.2833333333333332"/>
    <n v="5.8799999999999998E-2"/>
    <x v="40"/>
  </r>
  <r>
    <n v="0.38200000000000001"/>
    <n v="155"/>
    <n v="0.54100000000000004"/>
    <x v="20"/>
    <n v="0.34300000000000003"/>
    <s v="girl in red"/>
    <n v="73"/>
    <s v="Bedroom Pop"/>
    <s v="i wanna be your girlfriend"/>
    <d v="2018-03-02T00:00:00"/>
    <n v="1"/>
    <n v="7"/>
    <n v="3.4"/>
    <n v="2.1499999999999998E-2"/>
    <x v="42"/>
  </r>
  <r>
    <n v="0.86199999999999999"/>
    <n v="128"/>
    <n v="0.498"/>
    <x v="20"/>
    <n v="0.46899999999999997"/>
    <s v="Guru Josh Project, Klaas"/>
    <n v="73"/>
    <s v="Throwback Party"/>
    <s v="Infinity 2008 - Klaas Vocal Edit"/>
    <d v="2008-05-07T00:00:00"/>
    <n v="0"/>
    <n v="7"/>
    <n v="3.2"/>
    <n v="3.1300000000000002E-4"/>
    <x v="40"/>
  </r>
  <r>
    <n v="0.79800000000000004"/>
    <n v="120"/>
    <n v="0.71899999999999997"/>
    <x v="20"/>
    <n v="0.59099999999999997"/>
    <s v="Katy Perry"/>
    <n v="73"/>
    <s v="Soft Pop Hits"/>
    <s v="Teenage Dream"/>
    <d v="2010-01-01T00:00:00"/>
    <n v="1"/>
    <n v="10"/>
    <n v="3.7833333333333332"/>
    <n v="1.6199999999999999E-2"/>
    <x v="41"/>
  </r>
  <r>
    <n v="0.69899999999999995"/>
    <n v="122"/>
    <n v="0.81100000000000005"/>
    <x v="20"/>
    <n v="0.73299999999999998"/>
    <s v="Madcon, Ray Dalton"/>
    <n v="73"/>
    <s v="Throwback Party"/>
    <s v="Don't Worry (with Ray Dalton) - Radio Edit"/>
    <d v="2015-04-10T00:00:00"/>
    <n v="1"/>
    <n v="7"/>
    <n v="3.5666666666666669"/>
    <n v="7.2599999999999998E-2"/>
    <x v="40"/>
  </r>
  <r>
    <n v="0.93100000000000005"/>
    <n v="113"/>
    <n v="0.753"/>
    <x v="20"/>
    <n v="0.76700000000000002"/>
    <s v="Madonna, Justin Timberlake, Timbaland"/>
    <n v="73"/>
    <s v="Throwback Party"/>
    <s v="4 Minutes (feat. Justin Timberlake &amp; Timbaland)"/>
    <d v="2009-09-18T00:00:00"/>
    <n v="1"/>
    <n v="2"/>
    <n v="3.15"/>
    <n v="9.9399999999999992E-3"/>
    <x v="40"/>
  </r>
  <r>
    <n v="0.83299999999999996"/>
    <n v="954"/>
    <n v="0.71499999999999997"/>
    <x v="20"/>
    <n v="0.61199999999999999"/>
    <s v="Mark Morrison"/>
    <n v="73"/>
    <s v="Throwback Party"/>
    <s v="Return of the Mack"/>
    <d v="1996-04-22T00:00:00"/>
    <n v="1"/>
    <n v="2"/>
    <n v="3.55"/>
    <n v="6.3099999999999996E-3"/>
    <x v="40"/>
  </r>
  <r>
    <n v="0.82099999999999995"/>
    <n v="118"/>
    <n v="0.878"/>
    <x v="20"/>
    <n v="0.94699999999999995"/>
    <s v="Michael Jackson"/>
    <n v="73"/>
    <s v="Throwback Party"/>
    <s v="Don't Stop 'Til You Get Enough"/>
    <d v="1979-08-10T00:00:00"/>
    <n v="1"/>
    <n v="11"/>
    <n v="6.083333333333333"/>
    <n v="0.126"/>
    <x v="40"/>
  </r>
  <r>
    <n v="0.85699999999999998"/>
    <n v="119"/>
    <n v="0.56000000000000005"/>
    <x v="20"/>
    <n v="0.432"/>
    <s v="Olly Alexander (Years &amp; Years)"/>
    <n v="73"/>
    <s v="Throwback Party"/>
    <s v="King"/>
    <d v="2015-07-10T00:00:00"/>
    <n v="0"/>
    <n v="4"/>
    <n v="3.5833333333333335"/>
    <n v="5.9400000000000001E-2"/>
    <x v="40"/>
  </r>
  <r>
    <n v="0.27100000000000002"/>
    <n v="111"/>
    <n v="0.89800000000000002"/>
    <x v="20"/>
    <n v="0.74199999999999999"/>
    <s v="Prince"/>
    <n v="73"/>
    <s v="Throwback Party"/>
    <s v="Kiss"/>
    <d v="1986-03-31T00:00:00"/>
    <n v="1"/>
    <n v="7"/>
    <n v="3.7666666666666666"/>
    <n v="1.35E-2"/>
    <x v="40"/>
  </r>
  <r>
    <n v="0.71399999999999997"/>
    <n v="175"/>
    <n v="0.56399999999999995"/>
    <x v="20"/>
    <n v="0.33"/>
    <s v="Rachel Platten"/>
    <n v="73"/>
    <s v="Soft Pop Hits"/>
    <s v="Fight Song"/>
    <d v="2016-01-01T00:00:00"/>
    <n v="1"/>
    <n v="7"/>
    <n v="3.4"/>
    <n v="5.4899999999999997E-2"/>
    <x v="41"/>
  </r>
  <r>
    <n v="0.95399999999999996"/>
    <n v="178"/>
    <n v="0.42499999999999999"/>
    <x v="20"/>
    <n v="0.93300000000000005"/>
    <s v="Ricky Martin"/>
    <n v="73"/>
    <s v="Throwback Party"/>
    <s v="Livin' la Vida Loca"/>
    <d v="1905-06-21T00:00:00"/>
    <n v="0"/>
    <n v="1"/>
    <n v="4.05"/>
    <n v="4.1399999999999996E-3"/>
    <x v="40"/>
  </r>
  <r>
    <n v="0.59899999999999998"/>
    <n v="119"/>
    <n v="0.85299999999999998"/>
    <x v="20"/>
    <n v="0.84299999999999997"/>
    <s v="Robin Thicke, T.I., Pharrell Williams"/>
    <n v="73"/>
    <s v="Throwback Party"/>
    <s v="Blurred Lines"/>
    <d v="2013-01-01T00:00:00"/>
    <n v="1"/>
    <n v="7"/>
    <n v="4.3833333333333337"/>
    <n v="3.3400000000000001E-3"/>
    <x v="40"/>
  </r>
  <r>
    <n v="8.6699999999999999E-2"/>
    <n v="129"/>
    <n v="0.69599999999999995"/>
    <x v="20"/>
    <n v="0.34899999999999998"/>
    <s v="sign crushes motorist"/>
    <n v="73"/>
    <s v="Bedroom Pop"/>
    <s v="Better"/>
    <d v="2022-08-05T00:00:00"/>
    <n v="1"/>
    <n v="7"/>
    <n v="16.45"/>
    <n v="0.98799999999999999"/>
    <x v="42"/>
  </r>
  <r>
    <n v="0.71299999999999997"/>
    <n v="115"/>
    <n v="0.78400000000000003"/>
    <x v="20"/>
    <n v="0.97"/>
    <s v="The Emotions"/>
    <n v="73"/>
    <s v="Throwback Party"/>
    <s v="Best of My Love"/>
    <d v="1977-06-10T00:00:00"/>
    <n v="1"/>
    <n v="0"/>
    <n v="3.6666666666666665"/>
    <n v="0.44700000000000001"/>
    <x v="40"/>
  </r>
  <r>
    <n v="0.98499999999999999"/>
    <n v="127"/>
    <n v="0.80100000000000005"/>
    <x v="20"/>
    <n v="0.72"/>
    <s v="Bingo Players, Far East Movement"/>
    <n v="72"/>
    <s v="Throwback Party"/>
    <s v="Get Up (Rattle) [feat. Far East Movement] - Vocal Edit"/>
    <d v="2012-12-08T00:00:00"/>
    <n v="1"/>
    <n v="7"/>
    <n v="2.7666666666666666"/>
    <n v="2.0500000000000001E-2"/>
    <x v="40"/>
  </r>
  <r>
    <n v="0.95199999999999996"/>
    <n v="122"/>
    <n v="0.39800000000000002"/>
    <x v="20"/>
    <n v="0.58399999999999996"/>
    <s v="Bruce Springsteen"/>
    <n v="72"/>
    <s v="Throwback Party"/>
    <s v="Born in the U.S.A."/>
    <d v="1984-06-04T00:00:00"/>
    <n v="1"/>
    <n v="4"/>
    <n v="4.6333333333333337"/>
    <n v="3.7300000000000001E-4"/>
    <x v="40"/>
  </r>
  <r>
    <n v="0.876"/>
    <n v="129"/>
    <n v="0.66600000000000004"/>
    <x v="20"/>
    <n v="0.55200000000000005"/>
    <s v="David Guetta, Flo Rida, Nicki Minaj"/>
    <n v="72"/>
    <s v="Throwback Party"/>
    <s v="Where Them Girls At (feat. Nicki Minaj &amp; Flo Rida)"/>
    <d v="2012-12-07T00:00:00"/>
    <n v="1"/>
    <n v="3"/>
    <n v="3.2333333333333334"/>
    <n v="5.5E-2"/>
    <x v="40"/>
  </r>
  <r>
    <n v="0.44500000000000001"/>
    <n v="508"/>
    <n v="0.28599999999999998"/>
    <x v="20"/>
    <n v="0.27800000000000002"/>
    <s v="Forest Blakk"/>
    <n v="72"/>
    <s v="Soft Pop Hits"/>
    <s v="If You Love Her"/>
    <d v="2020-09-30T00:00:00"/>
    <n v="1"/>
    <n v="6"/>
    <n v="3.6166666666666667"/>
    <n v="0.35499999999999998"/>
    <x v="41"/>
  </r>
  <r>
    <n v="0.71"/>
    <n v="899"/>
    <n v="0.5"/>
    <x v="20"/>
    <n v="0.41899999999999998"/>
    <s v="Imagine Dragons"/>
    <n v="72"/>
    <s v="Soft Pop Hits"/>
    <s v="Demons"/>
    <d v="2012-09-04T00:00:00"/>
    <n v="1"/>
    <n v="3"/>
    <n v="2.9166666666666665"/>
    <n v="0.19"/>
    <x v="41"/>
  </r>
  <r>
    <n v="0.47299999999999998"/>
    <n v="758"/>
    <n v="0.46400000000000002"/>
    <x v="20"/>
    <n v="0.60399999999999998"/>
    <s v="JP Saxe, Julia Michaels"/>
    <n v="72"/>
    <s v="Soft Pop Hits"/>
    <s v="If the World Was Ending (feat. Julia Michaels)"/>
    <d v="2019-10-17T00:00:00"/>
    <n v="1"/>
    <n v="1"/>
    <n v="3.4666666666666668"/>
    <n v="0.86599999999999999"/>
    <x v="41"/>
  </r>
  <r>
    <n v="0.41499999999999998"/>
    <n v="114"/>
    <n v="0.72799999999999998"/>
    <x v="20"/>
    <n v="0.45500000000000002"/>
    <s v="Julia Michaels"/>
    <n v="72"/>
    <s v="Soft Pop Hits"/>
    <s v="Issues"/>
    <d v="2017-07-28T00:00:00"/>
    <n v="1"/>
    <n v="8"/>
    <n v="2.9333333333333331"/>
    <n v="0.40100000000000002"/>
    <x v="41"/>
  </r>
  <r>
    <n v="0.76"/>
    <n v="129"/>
    <n v="0.70199999999999996"/>
    <x v="20"/>
    <n v="0.69599999999999995"/>
    <s v="Katy Perry"/>
    <n v="72"/>
    <s v="Throwback Party"/>
    <s v="I Kissed A Girl"/>
    <d v="2008-06-17T00:00:00"/>
    <n v="1"/>
    <n v="5"/>
    <n v="2.9833333333333334"/>
    <n v="2.2599999999999999E-3"/>
    <x v="40"/>
  </r>
  <r>
    <n v="0.81"/>
    <n v="126"/>
    <n v="0.57199999999999995"/>
    <x v="20"/>
    <n v="0.11"/>
    <s v="Lana Del Rey, Cedric Gervais"/>
    <n v="72"/>
    <s v="Throwback Party"/>
    <s v="Summertime Sadness (Lana Del Rey Vs. Cedric Gervais) - Cedric Gervais Remix"/>
    <d v="2013-02-01T00:00:00"/>
    <n v="0"/>
    <n v="1"/>
    <n v="3.5666666666666669"/>
    <n v="1.5699999999999999E-2"/>
    <x v="40"/>
  </r>
  <r>
    <n v="0.63200000000000001"/>
    <n v="147"/>
    <n v="0.49399999999999999"/>
    <x v="20"/>
    <n v="7.9699999999999993E-2"/>
    <s v="Lauren Daigle"/>
    <n v="72"/>
    <s v="Soft Pop Hits"/>
    <s v="You Say"/>
    <d v="2018-09-07T00:00:00"/>
    <n v="1"/>
    <n v="5"/>
    <n v="4.5666666666666664"/>
    <n v="0.68200000000000005"/>
    <x v="41"/>
  </r>
  <r>
    <n v="0.73599999999999999"/>
    <n v="130"/>
    <n v="0.75"/>
    <x v="20"/>
    <n v="0.35499999999999998"/>
    <s v="LMFAO, Lauren Bennett, GoonRock"/>
    <n v="72"/>
    <s v="Throwback Party"/>
    <s v="Party Rock Anthem"/>
    <d v="2011-01-01T00:00:00"/>
    <n v="0"/>
    <n v="5"/>
    <n v="4.3666666666666663"/>
    <n v="2.0199999999999999E-2"/>
    <x v="40"/>
  </r>
  <r>
    <n v="0.83799999999999997"/>
    <n v="100"/>
    <n v="0.83199999999999996"/>
    <x v="20"/>
    <n v="0.96499999999999997"/>
    <s v="Mr. President"/>
    <n v="72"/>
    <s v="Throwback Party"/>
    <s v="Coco Jamboo"/>
    <d v="1996-05-17T00:00:00"/>
    <n v="0"/>
    <n v="1"/>
    <n v="3.6333333333333333"/>
    <n v="7.9100000000000004E-2"/>
    <x v="40"/>
  </r>
  <r>
    <n v="0.86799999999999999"/>
    <n v="131"/>
    <n v="0.70399999999999996"/>
    <x v="20"/>
    <n v="0.80800000000000005"/>
    <s v="Patrick Hernandez"/>
    <n v="72"/>
    <s v="Throwback Party"/>
    <s v="Born to Be Alive - The Original"/>
    <d v="1905-05-31T00:00:00"/>
    <n v="1"/>
    <n v="2"/>
    <n v="3.1333333333333333"/>
    <n v="8.3400000000000002E-2"/>
    <x v="40"/>
  </r>
  <r>
    <n v="0.58799999999999997"/>
    <n v="113"/>
    <n v="0.49099999999999999"/>
    <x v="20"/>
    <n v="0.193"/>
    <s v="Pink"/>
    <n v="72"/>
    <s v="Soft Pop Hits"/>
    <s v="What About Us"/>
    <d v="2017-10-13T00:00:00"/>
    <n v="1"/>
    <n v="1"/>
    <n v="4.4833333333333334"/>
    <n v="2.81E-2"/>
    <x v="41"/>
  </r>
  <r>
    <n v="0.93700000000000006"/>
    <n v="132"/>
    <n v="0.72699999999999998"/>
    <x v="20"/>
    <n v="0.749"/>
    <s v="PSY"/>
    <n v="72"/>
    <s v="Throwback Party"/>
    <s v="Gangnam Style (Í∞ïÎÇ®Ïä§ÌÉÄÏùº)"/>
    <d v="2012-01-01T00:00:00"/>
    <n v="0"/>
    <n v="11"/>
    <n v="3.65"/>
    <n v="4.1700000000000001E-3"/>
    <x v="40"/>
  </r>
  <r>
    <n v="0.66200000000000003"/>
    <n v="124"/>
    <n v="0.72899999999999998"/>
    <x v="20"/>
    <n v="0.35899999999999999"/>
    <s v="Stardust, Benjamin Diamond, Alan Braxe, Thomas Bangalter"/>
    <n v="72"/>
    <s v="Throwback Party"/>
    <s v="Music Sounds Better With You - Radio Edit"/>
    <d v="1998-07-20T00:00:00"/>
    <n v="0"/>
    <n v="5"/>
    <n v="4.333333333333333"/>
    <n v="1.2800000000000001E-3"/>
    <x v="40"/>
  </r>
  <r>
    <n v="0.78100000000000003"/>
    <n v="119"/>
    <n v="0.751"/>
    <x v="20"/>
    <n v="0.81399999999999995"/>
    <s v="Taio Cruz"/>
    <n v="72"/>
    <s v="Throwback Party"/>
    <s v="Dynamite"/>
    <d v="2010-01-01T00:00:00"/>
    <n v="1"/>
    <n v="4"/>
    <n v="3.3666666666666667"/>
    <n v="3.8999999999999998E-3"/>
    <x v="40"/>
  </r>
  <r>
    <n v="0.59799999999999998"/>
    <n v="107"/>
    <n v="0.73299999999999998"/>
    <x v="20"/>
    <n v="0.93500000000000005"/>
    <s v="Wham!"/>
    <n v="72"/>
    <s v="Global Top 50"/>
    <s v="Last Christmas - Single Version"/>
    <d v="2023-07-07T00:00:00"/>
    <n v="1"/>
    <n v="2"/>
    <n v="4.416666666666667"/>
    <n v="0.21199999999999999"/>
    <x v="39"/>
  </r>
  <r>
    <n v="0.53400000000000003"/>
    <n v="108"/>
    <n v="0.877"/>
    <x v="20"/>
    <n v="0.89"/>
    <s v="Will Smith"/>
    <n v="72"/>
    <s v="Throwback Party"/>
    <s v="Miami"/>
    <d v="1997-10-03T00:00:00"/>
    <n v="1"/>
    <n v="1"/>
    <n v="3.2833333333333332"/>
    <n v="3.39E-2"/>
    <x v="40"/>
  </r>
  <r>
    <n v="0.78600000000000003"/>
    <n v="969"/>
    <n v="0.80800000000000005"/>
    <x v="20"/>
    <n v="0.89900000000000002"/>
    <s v="Ace of Base"/>
    <n v="71"/>
    <s v="Throwback Party"/>
    <s v="The Sign"/>
    <d v="1993-12-24T00:00:00"/>
    <n v="0"/>
    <n v="4"/>
    <n v="3.1833333333333331"/>
    <n v="9.2800000000000001E-3"/>
    <x v="40"/>
  </r>
  <r>
    <n v="0.54900000000000004"/>
    <n v="900"/>
    <n v="0.64400000000000002"/>
    <x v="20"/>
    <n v="0.16700000000000001"/>
    <s v="Alicia Keys"/>
    <n v="71"/>
    <s v="Soft Pop Hits"/>
    <s v="No One"/>
    <d v="2007-11-09T00:00:00"/>
    <n v="0"/>
    <n v="1"/>
    <n v="4.2166666666666668"/>
    <n v="2.0899999999999998E-2"/>
    <x v="41"/>
  </r>
  <r>
    <n v="0.72"/>
    <n v="799"/>
    <n v="0.50800000000000001"/>
    <x v="20"/>
    <n v="0.47199999999999998"/>
    <s v="Beyoncie"/>
    <n v="71"/>
    <s v="Soft Pop Hits"/>
    <s v="Halo"/>
    <d v="2008-11-17T00:00:00"/>
    <n v="0"/>
    <n v="11"/>
    <n v="4.3499999999999996"/>
    <n v="0.27200000000000002"/>
    <x v="41"/>
  </r>
  <r>
    <n v="0.90700000000000003"/>
    <n v="140"/>
    <n v="0.51800000000000002"/>
    <x v="20"/>
    <n v="0.96099999999999997"/>
    <s v="Billy Ocean"/>
    <n v="71"/>
    <s v="Throwback Party"/>
    <s v="Love Really Hurts Without You"/>
    <d v="1976-01-05T00:00:00"/>
    <n v="1"/>
    <n v="5"/>
    <n v="2.9833333333333334"/>
    <n v="2.2100000000000002E-3"/>
    <x v="40"/>
  </r>
  <r>
    <n v="0.35099999999999998"/>
    <n v="870"/>
    <n v="0.66500000000000004"/>
    <x v="20"/>
    <n v="0.45100000000000001"/>
    <s v="Crumb"/>
    <n v="71"/>
    <s v="Bedroom Pop"/>
    <s v="Ghostride"/>
    <d v="2019-06-14T00:00:00"/>
    <n v="1"/>
    <n v="2"/>
    <n v="2.1"/>
    <n v="0.51600000000000001"/>
    <x v="42"/>
  </r>
  <r>
    <n v="0.28599999999999998"/>
    <n v="711"/>
    <n v="0.58699999999999997"/>
    <x v="20"/>
    <n v="0.30199999999999999"/>
    <s v="Faye Webster"/>
    <n v="71"/>
    <s v="Bedroom Pop"/>
    <s v="In A Good Way"/>
    <d v="2021-06-25T00:00:00"/>
    <n v="1"/>
    <n v="9"/>
    <n v="3.7333333333333334"/>
    <n v="0.185"/>
    <x v="42"/>
  </r>
  <r>
    <n v="0.63800000000000001"/>
    <n v="184"/>
    <n v="0.378"/>
    <x v="20"/>
    <n v="0.73499999999999999"/>
    <s v="fun., Janelle Moni°e"/>
    <n v="71"/>
    <s v="Soft Pop Hits"/>
    <s v="We Are Young (feat. Janelle Mon√°e)"/>
    <d v="2012-02-21T00:00:00"/>
    <n v="1"/>
    <n v="10"/>
    <n v="4.166666666666667"/>
    <n v="0.02"/>
    <x v="41"/>
  </r>
  <r>
    <n v="0.41599999999999998"/>
    <n v="949"/>
    <n v="0.49199999999999999"/>
    <x v="20"/>
    <n v="0.29699999999999999"/>
    <s v="Gigi Perez"/>
    <n v="71"/>
    <s v="Today's Top Hits"/>
    <s v="Sailor Song"/>
    <d v="2024-07-26T00:00:00"/>
    <n v="1"/>
    <n v="11"/>
    <n v="3.5166666666666666"/>
    <n v="0.68600000000000005"/>
    <x v="38"/>
  </r>
  <r>
    <n v="0.71099999999999997"/>
    <n v="146"/>
    <n v="0.48699999999999999"/>
    <x v="20"/>
    <n v="0.317"/>
    <s v="Jin"/>
    <n v="71"/>
    <s v="Global Top 50"/>
    <s v="Running Wild"/>
    <d v="2024-11-19T00:00:00"/>
    <n v="1"/>
    <n v="8"/>
    <n v="2.5166666666666666"/>
    <n v="1.75E-4"/>
    <x v="39"/>
  </r>
  <r>
    <n v="0.82799999999999996"/>
    <n v="123"/>
    <n v="0.58699999999999997"/>
    <x v="20"/>
    <n v="0.49299999999999999"/>
    <s v="Lady Gaga"/>
    <n v="71"/>
    <s v="Throwback Party"/>
    <s v="Born This Way"/>
    <d v="2011-05-23T00:00:00"/>
    <n v="1"/>
    <n v="11"/>
    <n v="4.333333333333333"/>
    <n v="3.2699999999999999E-3"/>
    <x v="40"/>
  </r>
  <r>
    <n v="0.51700000000000002"/>
    <n v="133"/>
    <n v="0.86699999999999999"/>
    <x v="20"/>
    <n v="0.86199999999999999"/>
    <s v="MC Hammer"/>
    <n v="71"/>
    <s v="Throwback Party"/>
    <s v="U Can't Touch This"/>
    <d v="1990-02-20T00:00:00"/>
    <n v="0"/>
    <n v="11"/>
    <n v="4.2833333333333332"/>
    <n v="4.4900000000000001E-3"/>
    <x v="40"/>
  </r>
  <r>
    <n v="0.70599999999999996"/>
    <n v="122"/>
    <n v="0.66300000000000003"/>
    <x v="20"/>
    <n v="0.47399999999999998"/>
    <s v="OneRepublic"/>
    <n v="71"/>
    <s v="Soft Pop Hits"/>
    <s v="Counting Stars"/>
    <d v="2014-01-01T00:00:00"/>
    <n v="0"/>
    <n v="1"/>
    <n v="4.2833333333333332"/>
    <n v="6.54E-2"/>
    <x v="41"/>
  </r>
  <r>
    <n v="0.85899999999999999"/>
    <n v="124"/>
    <n v="0.73299999999999998"/>
    <x v="20"/>
    <n v="0.52"/>
    <s v="R3HAB, A Touch Of Class"/>
    <n v="71"/>
    <s v="Throwback Party"/>
    <s v="All Around The World (La La La)"/>
    <d v="2019-04-05T00:00:00"/>
    <n v="0"/>
    <n v="9"/>
    <n v="2.4500000000000002"/>
    <n v="0.47899999999999998"/>
    <x v="40"/>
  </r>
  <r>
    <n v="0.93600000000000005"/>
    <n v="131"/>
    <n v="0.72899999999999998"/>
    <x v="20"/>
    <n v="0.59799999999999998"/>
    <s v="Rednex"/>
    <n v="71"/>
    <s v="Throwback Party"/>
    <s v="Cotton Eye Joe"/>
    <d v="1994-08-12T00:00:00"/>
    <n v="1"/>
    <n v="9"/>
    <n v="3.2333333333333334"/>
    <n v="1.29E-2"/>
    <x v="40"/>
  </r>
  <r>
    <n v="0.63"/>
    <n v="120"/>
    <n v="0.875"/>
    <x v="20"/>
    <n v="0.54800000000000004"/>
    <s v="The Pussycat Dolls, Busta Rhymes"/>
    <n v="71"/>
    <s v="Throwback Party"/>
    <s v="Don't Cha"/>
    <d v="2005-01-01T00:00:00"/>
    <n v="1"/>
    <n v="1"/>
    <n v="4.5333333333333332"/>
    <n v="5.4599999999999996E-3"/>
    <x v="40"/>
  </r>
  <r>
    <n v="0.748"/>
    <n v="125"/>
    <n v="0.503"/>
    <x v="20"/>
    <n v="0.35599999999999998"/>
    <s v="Alesso, Tove Lo"/>
    <n v="70"/>
    <s v="Throwback Party"/>
    <s v="Heroes (we could be)"/>
    <d v="2015-05-22T00:00:00"/>
    <n v="1"/>
    <n v="5"/>
    <n v="3.5"/>
    <n v="3.0499999999999999E-2"/>
    <x v="40"/>
  </r>
  <r>
    <n v="0.72499999999999998"/>
    <n v="123"/>
    <n v="0.49"/>
    <x v="20"/>
    <n v="0.33500000000000002"/>
    <s v="Amy Winehouse"/>
    <n v="70"/>
    <s v="Soft Pop Hits"/>
    <s v="Back To Black"/>
    <d v="2006-10-27T00:00:00"/>
    <n v="1"/>
    <n v="10"/>
    <n v="4"/>
    <n v="0.123"/>
    <x v="41"/>
  </r>
  <r>
    <n v="0.316"/>
    <n v="118"/>
    <n v="0.39800000000000002"/>
    <x v="20"/>
    <n v="0.17399999999999999"/>
    <s v="Andra Day"/>
    <n v="70"/>
    <s v="Soft Pop Hits"/>
    <s v="Rise Up"/>
    <d v="2015-08-28T00:00:00"/>
    <n v="1"/>
    <n v="1"/>
    <n v="4.2166666666666668"/>
    <n v="0.80500000000000005"/>
    <x v="41"/>
  </r>
  <r>
    <n v="0.57299999999999995"/>
    <n v="107"/>
    <n v="0.68400000000000005"/>
    <x v="20"/>
    <n v="0.71599999999999997"/>
    <s v="Baltimora"/>
    <n v="70"/>
    <s v="Throwback Party"/>
    <s v="Tarzan Boy"/>
    <d v="1985-01-01T00:00:00"/>
    <n v="1"/>
    <n v="5"/>
    <n v="6.3"/>
    <n v="0.318"/>
    <x v="40"/>
  </r>
  <r>
    <n v="0.76300000000000001"/>
    <n v="101"/>
    <n v="0.72"/>
    <x v="20"/>
    <n v="0.74199999999999999"/>
    <s v="Clean Bandit, Sean Paul, Anne-Marie"/>
    <n v="70"/>
    <s v="Throwback Party"/>
    <s v="Rockabye (feat. Sean Paul &amp; Anne-Marie)"/>
    <d v="2016-10-21T00:00:00"/>
    <n v="0"/>
    <n v="9"/>
    <n v="4.1833333333333336"/>
    <n v="0.40600000000000003"/>
    <x v="40"/>
  </r>
  <r>
    <n v="0.80500000000000005"/>
    <n v="127"/>
    <n v="0.69"/>
    <x v="20"/>
    <n v="0.79900000000000004"/>
    <s v="Corona"/>
    <n v="70"/>
    <s v="Throwback Party"/>
    <s v="The Rhythm of the Night"/>
    <d v="1905-06-16T00:00:00"/>
    <n v="0"/>
    <n v="5"/>
    <n v="4.4000000000000004"/>
    <n v="2.32E-4"/>
    <x v="40"/>
  </r>
  <r>
    <n v="0.63"/>
    <n v="899"/>
    <n v="0.65400000000000003"/>
    <x v="20"/>
    <n v="0.43"/>
    <s v="Dan + Shay, Justin Bieber"/>
    <n v="70"/>
    <s v="Soft Pop Hits"/>
    <s v="10,000 Hours (with Justin Bieber)"/>
    <d v="2019-10-04T00:00:00"/>
    <n v="1"/>
    <n v="10"/>
    <n v="2.7833333333333332"/>
    <n v="0.153"/>
    <x v="41"/>
  </r>
  <r>
    <n v="0.69099999999999995"/>
    <n v="167"/>
    <n v="0.83599999999999997"/>
    <x v="20"/>
    <n v="0.70299999999999996"/>
    <s v="GloRilla, Sexyy Red"/>
    <n v="70"/>
    <s v="Today's Top Hits"/>
    <s v="WHATCHU KNO ABOUT ME (with Sexyy Red)"/>
    <d v="2024-10-10T00:00:00"/>
    <n v="1"/>
    <n v="1"/>
    <n v="2.4833333333333334"/>
    <n v="5.8599999999999998E-3"/>
    <x v="38"/>
  </r>
  <r>
    <n v="0.92200000000000004"/>
    <n v="130"/>
    <n v="0.66600000000000004"/>
    <x v="20"/>
    <n v="0.75800000000000001"/>
    <s v="Katy Perry"/>
    <n v="70"/>
    <s v="Soft Pop Hits"/>
    <s v="Part Of Me"/>
    <d v="2012-01-01T00:00:00"/>
    <n v="1"/>
    <n v="5"/>
    <n v="3.6"/>
    <n v="3.48E-4"/>
    <x v="41"/>
  </r>
  <r>
    <n v="0.79200000000000004"/>
    <n v="116"/>
    <n v="0.97899999999999998"/>
    <x v="20"/>
    <n v="0.58299999999999996"/>
    <s v="Vanilla Ice"/>
    <n v="70"/>
    <s v="Throwback Party"/>
    <s v="Ice Ice Baby"/>
    <d v="2008-11-04T00:00:00"/>
    <n v="1"/>
    <n v="2"/>
    <n v="4.2333333333333334"/>
    <n v="2.5000000000000001E-3"/>
    <x v="40"/>
  </r>
  <r>
    <n v="0.73199999999999998"/>
    <n v="146"/>
    <n v="0.58299999999999996"/>
    <x v="20"/>
    <n v="0.27700000000000002"/>
    <s v="Zara Larsson, MNEK"/>
    <n v="70"/>
    <s v="Throwback Party"/>
    <s v="Never Forget You"/>
    <d v="2017-03-17T00:00:00"/>
    <n v="0"/>
    <n v="11"/>
    <n v="3.55"/>
    <n v="3.15E-3"/>
    <x v="40"/>
  </r>
  <r>
    <n v="0.89"/>
    <n v="126"/>
    <n v="0.64500000000000002"/>
    <x v="20"/>
    <n v="0.42099999999999999"/>
    <s v="Alan Walker, Ina Wroldsen"/>
    <n v="69"/>
    <s v="Scandi Pop"/>
    <s v="Barcelona"/>
    <d v="2024-06-13T00:00:00"/>
    <n v="1"/>
    <n v="6"/>
    <n v="3.4166666666666665"/>
    <n v="0.25900000000000001"/>
    <x v="43"/>
  </r>
  <r>
    <n v="0.34799999999999998"/>
    <n v="745"/>
    <n v="0.34899999999999998"/>
    <x v="20"/>
    <n v="8.8599999999999998E-2"/>
    <s v="Christina Perri"/>
    <n v="69"/>
    <s v="Soft Pop Hits"/>
    <s v="jar of hearts"/>
    <d v="2011-05-10T00:00:00"/>
    <n v="1"/>
    <n v="3"/>
    <n v="4.0999999999999996"/>
    <n v="0.72599999999999998"/>
    <x v="41"/>
  </r>
  <r>
    <n v="0.78700000000000003"/>
    <n v="117"/>
    <n v="0.39900000000000002"/>
    <x v="20"/>
    <n v="0.57199999999999995"/>
    <s v="Sia"/>
    <n v="69"/>
    <s v="Soft Pop Hits"/>
    <s v="Chandelier"/>
    <d v="2015-05-04T00:00:00"/>
    <n v="1"/>
    <n v="1"/>
    <n v="3.6"/>
    <n v="1.9699999999999999E-2"/>
    <x v="41"/>
  </r>
  <r>
    <n v="0.46500000000000002"/>
    <n v="113"/>
    <n v="0.6"/>
    <x v="20"/>
    <n v="6.8199999999999997E-2"/>
    <s v="Zoe Wees"/>
    <n v="69"/>
    <s v="Soft Pop Hits"/>
    <s v="Control"/>
    <d v="2020-03-13T00:00:00"/>
    <n v="1"/>
    <n v="4"/>
    <n v="3.8333333333333335"/>
    <n v="0.64300000000000002"/>
    <x v="41"/>
  </r>
  <r>
    <n v="0.70499999999999996"/>
    <n v="138"/>
    <n v="0.81799999999999995"/>
    <x v="21"/>
    <n v="0.77200000000000002"/>
    <s v="Gorillaz"/>
    <n v="84"/>
    <s v="Pop Punk Powerhouses"/>
    <s v="Feel Good Inc."/>
    <d v="2005-05-23T00:00:00"/>
    <n v="1"/>
    <n v="6"/>
    <n v="3.7"/>
    <n v="8.3599999999999994E-3"/>
    <x v="44"/>
  </r>
  <r>
    <n v="0.94299999999999995"/>
    <n v="946"/>
    <n v="0.33100000000000002"/>
    <x v="21"/>
    <n v="0.29599999999999999"/>
    <s v="Evanescence"/>
    <n v="83"/>
    <s v="Pop Punk Powerhouses"/>
    <s v="Bring Me To Life"/>
    <d v="2003-03-04T00:00:00"/>
    <n v="0"/>
    <n v="4"/>
    <n v="3.9166666666666665"/>
    <n v="7.2100000000000003E-3"/>
    <x v="44"/>
  </r>
  <r>
    <n v="0.77600000000000002"/>
    <n v="779"/>
    <n v="0.58499999999999996"/>
    <x v="21"/>
    <n v="0.42699999999999999"/>
    <s v="Avril Lavigne"/>
    <n v="81"/>
    <s v="Pop Punk Powerhouses"/>
    <s v="Complicated"/>
    <d v="2002-06-04T00:00:00"/>
    <n v="1"/>
    <n v="5"/>
    <n v="4.0666666666666664"/>
    <n v="5.7200000000000001E-2"/>
    <x v="44"/>
  </r>
  <r>
    <n v="0.89700000000000002"/>
    <n v="148"/>
    <n v="0.434"/>
    <x v="21"/>
    <n v="0.68500000000000005"/>
    <s v="blink-182"/>
    <n v="81"/>
    <s v="Pop Punk Powerhouses"/>
    <s v="All The Small Things"/>
    <d v="1999-06-01T00:00:00"/>
    <n v="1"/>
    <n v="0"/>
    <n v="2.7833333333333332"/>
    <n v="1.03E-2"/>
    <x v="44"/>
  </r>
  <r>
    <n v="0.84899999999999998"/>
    <n v="162"/>
    <n v="0.64300000000000002"/>
    <x v="21"/>
    <n v="0.90300000000000002"/>
    <s v="Jimmy Eat World"/>
    <n v="80"/>
    <s v="Pop Punk Powerhouses"/>
    <s v="The Middle"/>
    <d v="2001-07-17T00:00:00"/>
    <n v="1"/>
    <n v="2"/>
    <n v="2.75"/>
    <n v="3.7100000000000001E-2"/>
    <x v="44"/>
  </r>
  <r>
    <n v="0.98799999999999999"/>
    <n v="186"/>
    <n v="0.38"/>
    <x v="21"/>
    <n v="0.76900000000000002"/>
    <s v="Green Day"/>
    <n v="79"/>
    <s v="Pop Punk Powerhouses"/>
    <s v="American Idiot"/>
    <d v="2004-09-21T00:00:00"/>
    <n v="1"/>
    <n v="1"/>
    <n v="2.9333333333333331"/>
    <n v="2.6400000000000001E-5"/>
    <x v="44"/>
  </r>
  <r>
    <n v="0.85699999999999998"/>
    <n v="111"/>
    <n v="0.46300000000000002"/>
    <x v="21"/>
    <n v="0.85599999999999998"/>
    <s v="My Chemical Romance"/>
    <n v="79"/>
    <s v="Pop Punk Powerhouses"/>
    <s v="Teenagers"/>
    <d v="2006-10-23T00:00:00"/>
    <n v="1"/>
    <n v="4"/>
    <n v="2.6833333333333331"/>
    <n v="5.0599999999999999E-2"/>
    <x v="44"/>
  </r>
  <r>
    <n v="0.92300000000000004"/>
    <n v="136"/>
    <n v="0.60199999999999998"/>
    <x v="21"/>
    <n v="0.76500000000000001"/>
    <s v="Paramore"/>
    <n v="78"/>
    <s v="Pop Punk Powerhouses"/>
    <s v="Still into You"/>
    <d v="2013-04-05T00:00:00"/>
    <n v="1"/>
    <n v="5"/>
    <n v="3.6"/>
    <n v="9.7999999999999997E-3"/>
    <x v="44"/>
  </r>
  <r>
    <n v="0.9"/>
    <n v="149"/>
    <n v="0.48699999999999999"/>
    <x v="21"/>
    <n v="0.48399999999999999"/>
    <s v="Avril Lavigne"/>
    <n v="77"/>
    <s v="Pop Punk Powerhouses"/>
    <s v="Sk8er Boi"/>
    <d v="2002-06-04T00:00:00"/>
    <n v="1"/>
    <n v="0"/>
    <n v="3.4"/>
    <n v="6.7899999999999997E-5"/>
    <x v="44"/>
  </r>
  <r>
    <n v="0.95099999999999996"/>
    <n v="157"/>
    <n v="0.39100000000000001"/>
    <x v="21"/>
    <n v="0.46800000000000003"/>
    <s v="blink-182"/>
    <n v="77"/>
    <s v="Pop Punk Powerhouses"/>
    <s v="What's My Age Again?"/>
    <d v="1999-06-01T00:00:00"/>
    <n v="1"/>
    <n v="6"/>
    <n v="2.4666666666666668"/>
    <n v="1.2E-2"/>
    <x v="44"/>
  </r>
  <r>
    <n v="0.89200000000000002"/>
    <n v="154"/>
    <n v="0.46"/>
    <x v="21"/>
    <n v="0.59"/>
    <s v="Fall Out Boy"/>
    <n v="77"/>
    <s v="Pop Punk Powerhouses"/>
    <s v="Thnks fr th Mmrs"/>
    <d v="2007-01-01T00:00:00"/>
    <n v="0"/>
    <n v="10"/>
    <n v="3.3833333333333333"/>
    <n v="5.1000000000000004E-3"/>
    <x v="44"/>
  </r>
  <r>
    <n v="0.81399999999999995"/>
    <n v="104"/>
    <n v="0.54600000000000004"/>
    <x v="21"/>
    <n v="0.14599999999999999"/>
    <s v="Green Day"/>
    <n v="77"/>
    <s v="Pop Punk Powerhouses"/>
    <s v="Wake Me up When September Ends"/>
    <d v="2004-09-21T00:00:00"/>
    <n v="1"/>
    <n v="7"/>
    <n v="4.75"/>
    <n v="2.3E-2"/>
    <x v="44"/>
  </r>
  <r>
    <n v="0.84199999999999997"/>
    <n v="162"/>
    <n v="0.49399999999999999"/>
    <x v="21"/>
    <n v="0.57399999999999995"/>
    <s v="Fall Out Boy"/>
    <n v="76"/>
    <s v="Pop Punk Powerhouses"/>
    <s v="Sugar, We're Goin Down"/>
    <d v="2005-05-03T00:00:00"/>
    <n v="1"/>
    <n v="7"/>
    <n v="3.8166666666666669"/>
    <n v="5.79E-3"/>
    <x v="44"/>
  </r>
  <r>
    <n v="0.96"/>
    <n v="125"/>
    <n v="0.35599999999999998"/>
    <x v="21"/>
    <n v="8.5699999999999998E-2"/>
    <s v="My Chemical Romance"/>
    <n v="76"/>
    <s v="Pop Punk Powerhouses"/>
    <s v="Helena"/>
    <d v="2004-06-08T00:00:00"/>
    <n v="1"/>
    <n v="4"/>
    <n v="3.4"/>
    <n v="1.4200000000000001E-2"/>
    <x v="44"/>
  </r>
  <r>
    <n v="0.78100000000000003"/>
    <n v="110"/>
    <n v="0.65500000000000003"/>
    <x v="21"/>
    <n v="0.58399999999999996"/>
    <s v="blink-182"/>
    <n v="75"/>
    <s v="Pop Punk Powerhouses"/>
    <s v="I Miss You"/>
    <d v="2003-01-01T00:00:00"/>
    <n v="1"/>
    <n v="11"/>
    <n v="3.7833333333333332"/>
    <n v="1.0300000000000001E-3"/>
    <x v="44"/>
  </r>
  <r>
    <n v="0.96099999999999997"/>
    <n v="114"/>
    <n v="0.621"/>
    <x v="21"/>
    <n v="0.44900000000000001"/>
    <s v="Fall Out Boy"/>
    <n v="75"/>
    <s v="Pop Punk Powerhouses"/>
    <s v="Dance, Dance"/>
    <d v="2005-05-03T00:00:00"/>
    <n v="0"/>
    <n v="11"/>
    <n v="3"/>
    <n v="5.2300000000000003E-3"/>
    <x v="44"/>
  </r>
  <r>
    <n v="0.93899999999999995"/>
    <n v="177"/>
    <n v="0.49399999999999999"/>
    <x v="21"/>
    <n v="0.89300000000000002"/>
    <s v="Good Charlotte"/>
    <n v="75"/>
    <s v="Pop Punk Powerhouses"/>
    <s v="The Anthem"/>
    <d v="2002-10-04T00:00:00"/>
    <n v="1"/>
    <n v="1"/>
    <n v="2.9166666666666665"/>
    <n v="6.6600000000000001E-3"/>
    <x v="44"/>
  </r>
  <r>
    <n v="0.96499999999999997"/>
    <n v="112"/>
    <n v="0.40300000000000002"/>
    <x v="21"/>
    <n v="0.43099999999999999"/>
    <s v="Pierce The Veil, Kellin Quinn"/>
    <n v="75"/>
    <s v="Pop Punk Powerhouses"/>
    <s v="King For A Day"/>
    <d v="2012-07-17T00:00:00"/>
    <n v="1"/>
    <n v="6"/>
    <n v="3.9333333333333331"/>
    <n v="3.8099999999999998E-5"/>
    <x v="44"/>
  </r>
  <r>
    <n v="0.93200000000000005"/>
    <n v="929"/>
    <n v="0.54500000000000004"/>
    <x v="21"/>
    <n v="0.46400000000000002"/>
    <s v="The Red Jumpsuit Apparatus"/>
    <n v="75"/>
    <s v="Pop Punk Powerhouses"/>
    <s v="Face Down"/>
    <d v="2006-01-01T00:00:00"/>
    <n v="0"/>
    <n v="7"/>
    <n v="3.2"/>
    <n v="6.6500000000000001E-4"/>
    <x v="44"/>
  </r>
  <r>
    <n v="0.92800000000000005"/>
    <n v="955"/>
    <n v="0.57899999999999996"/>
    <x v="21"/>
    <n v="0.88200000000000001"/>
    <s v="blink-182"/>
    <n v="74"/>
    <s v="Pop Punk Powerhouses"/>
    <s v="First Date"/>
    <d v="1905-06-23T00:00:00"/>
    <n v="1"/>
    <n v="0"/>
    <n v="2.85"/>
    <n v="7.1500000000000003E-4"/>
    <x v="44"/>
  </r>
  <r>
    <n v="0.94599999999999995"/>
    <n v="103"/>
    <n v="0.49399999999999999"/>
    <x v="21"/>
    <n v="0.74099999999999999"/>
    <s v="Lit"/>
    <n v="74"/>
    <s v="Pop Punk Powerhouses"/>
    <s v="My Own Worst Enemy"/>
    <d v="1999-02-22T00:00:00"/>
    <n v="1"/>
    <n v="4"/>
    <n v="2.8166666666666669"/>
    <n v="1.2899999999999999E-3"/>
    <x v="44"/>
  </r>
  <r>
    <n v="0.94"/>
    <n v="179"/>
    <n v="0.21"/>
    <x v="21"/>
    <n v="0.255"/>
    <s v="My Chemical Romance"/>
    <n v="74"/>
    <s v="Pop Punk Powerhouses"/>
    <s v="I'm Not Okay (I Promise)"/>
    <d v="2004-06-08T00:00:00"/>
    <n v="1"/>
    <n v="9"/>
    <n v="3.1"/>
    <n v="6.0200000000000002E-3"/>
    <x v="44"/>
  </r>
  <r>
    <n v="0.79600000000000004"/>
    <n v="169"/>
    <n v="0.28899999999999998"/>
    <x v="21"/>
    <n v="0.33"/>
    <s v="My Chemical Romance"/>
    <n v="74"/>
    <s v="Pop Punk Powerhouses"/>
    <s v="I Don't Love You"/>
    <d v="2006-10-23T00:00:00"/>
    <n v="1"/>
    <n v="0"/>
    <n v="3.9666666666666668"/>
    <n v="8.3700000000000007E-3"/>
    <x v="44"/>
  </r>
  <r>
    <n v="0.56299999999999994"/>
    <n v="137"/>
    <n v="0.45200000000000001"/>
    <x v="21"/>
    <n v="0.20899999999999999"/>
    <s v="Paramore"/>
    <n v="74"/>
    <s v="Pop Punk Powerhouses"/>
    <s v="The Only Exception"/>
    <d v="2009-09-28T00:00:00"/>
    <n v="1"/>
    <n v="4"/>
    <n v="4.45"/>
    <n v="0.14399999999999999"/>
    <x v="44"/>
  </r>
  <r>
    <n v="0.40600000000000003"/>
    <n v="151"/>
    <n v="0.45700000000000002"/>
    <x v="21"/>
    <n v="0.20799999999999999"/>
    <s v="Avril Lavigne"/>
    <n v="73"/>
    <s v="Pop Punk Powerhouses"/>
    <s v="I'm with You"/>
    <d v="2002-06-04T00:00:00"/>
    <n v="1"/>
    <n v="9"/>
    <n v="3.7166666666666668"/>
    <n v="0.08"/>
    <x v="44"/>
  </r>
  <r>
    <n v="0.90600000000000003"/>
    <n v="172"/>
    <n v="0.51700000000000002"/>
    <x v="21"/>
    <n v="0.73099999999999998"/>
    <s v="Paramore"/>
    <n v="73"/>
    <s v="Pop Punk Powerhouses"/>
    <s v="Misery Business"/>
    <d v="2007-06-11T00:00:00"/>
    <n v="1"/>
    <n v="1"/>
    <n v="3.5166666666666666"/>
    <n v="2.7200000000000002E-3"/>
    <x v="44"/>
  </r>
  <r>
    <n v="0.81799999999999995"/>
    <n v="119"/>
    <n v="0.69499999999999995"/>
    <x v="21"/>
    <n v="0.91600000000000004"/>
    <s v="Paramore"/>
    <n v="73"/>
    <s v="Pop Punk Powerhouses"/>
    <s v="Hard Times"/>
    <d v="2017-05-12T00:00:00"/>
    <n v="0"/>
    <n v="5"/>
    <n v="3.0333333333333332"/>
    <n v="6.4700000000000001E-3"/>
    <x v="44"/>
  </r>
  <r>
    <n v="0.91400000000000003"/>
    <n v="196"/>
    <n v="0.40300000000000002"/>
    <x v="21"/>
    <n v="0.626"/>
    <s v="Sum 41"/>
    <n v="73"/>
    <s v="Pop Punk Powerhouses"/>
    <s v="Fat Lip"/>
    <d v="2001-01-01T00:00:00"/>
    <n v="1"/>
    <n v="9"/>
    <n v="2.9666666666666668"/>
    <n v="5.7899999999999998E-4"/>
    <x v="44"/>
  </r>
  <r>
    <n v="0.75"/>
    <n v="118"/>
    <n v="0.77400000000000002"/>
    <x v="21"/>
    <n v="0.92700000000000005"/>
    <s v="Fountains Of Wayne"/>
    <n v="72"/>
    <s v="Pop Punk Powerhouses"/>
    <s v="Stacy's Mom"/>
    <d v="2003-01-01T00:00:00"/>
    <n v="0"/>
    <n v="11"/>
    <n v="3.2833333333333332"/>
    <n v="2.0699999999999998E-3"/>
    <x v="44"/>
  </r>
  <r>
    <n v="0.88300000000000001"/>
    <n v="122"/>
    <n v="0.46700000000000003"/>
    <x v="21"/>
    <n v="0.309"/>
    <s v="My Chemical Romance"/>
    <n v="72"/>
    <s v="Pop Punk Powerhouses"/>
    <s v="Famous Last Words"/>
    <d v="2006-10-23T00:00:00"/>
    <n v="0"/>
    <n v="2"/>
    <n v="4.9833333333333334"/>
    <n v="3.21E-4"/>
    <x v="44"/>
  </r>
  <r>
    <n v="0.83"/>
    <n v="170"/>
    <n v="0.56899999999999995"/>
    <x v="21"/>
    <n v="0.60899999999999999"/>
    <s v="Panic! At The Disco"/>
    <n v="72"/>
    <s v="Pop Punk Powerhouses"/>
    <s v="I Write Sins Not Tragedies"/>
    <d v="2005-09-27T00:00:00"/>
    <n v="0"/>
    <n v="9"/>
    <n v="3.1"/>
    <n v="8.0699999999999994E-2"/>
    <x v="44"/>
  </r>
  <r>
    <n v="0.92600000000000005"/>
    <n v="149"/>
    <n v="0.57799999999999996"/>
    <x v="21"/>
    <n v="0.877"/>
    <s v="Avril Lavigne"/>
    <n v="71"/>
    <s v="Pop Punk Powerhouses"/>
    <s v="What the Hell"/>
    <d v="2011-03-08T00:00:00"/>
    <n v="0"/>
    <n v="6"/>
    <n v="3.6666666666666665"/>
    <n v="4.7200000000000002E-3"/>
    <x v="44"/>
  </r>
  <r>
    <n v="0.77500000000000002"/>
    <n v="136"/>
    <n v="0.52"/>
    <x v="21"/>
    <n v="0.38300000000000001"/>
    <s v="blink-182"/>
    <n v="71"/>
    <s v="Pop Punk Powerhouses"/>
    <s v="Adam's Song"/>
    <d v="1999-06-01T00:00:00"/>
    <n v="1"/>
    <n v="0"/>
    <n v="4.1500000000000004"/>
    <n v="3.4000000000000002E-2"/>
    <x v="44"/>
  </r>
  <r>
    <n v="0.89300000000000002"/>
    <n v="104"/>
    <n v="0.61"/>
    <x v="21"/>
    <n v="0.67300000000000004"/>
    <s v="Paramore"/>
    <n v="71"/>
    <s v="Pop Punk Powerhouses"/>
    <s v="Ain't It Fun"/>
    <d v="2013-04-05T00:00:00"/>
    <n v="1"/>
    <n v="9"/>
    <n v="4.9333333333333336"/>
    <n v="0.154"/>
    <x v="44"/>
  </r>
  <r>
    <n v="0.87"/>
    <n v="164"/>
    <n v="0.28000000000000003"/>
    <x v="21"/>
    <n v="0.28399999999999997"/>
    <s v="Paramore"/>
    <n v="71"/>
    <s v="Pop Punk Powerhouses"/>
    <s v="Decode"/>
    <d v="2008-11-04T00:00:00"/>
    <n v="0"/>
    <n v="10"/>
    <n v="4.3499999999999996"/>
    <n v="6.8599999999999998E-4"/>
    <x v="44"/>
  </r>
  <r>
    <n v="0.90400000000000003"/>
    <n v="173"/>
    <n v="0.48599999999999999"/>
    <x v="21"/>
    <n v="0.78600000000000003"/>
    <s v="Yellowcard"/>
    <n v="71"/>
    <s v="Pop Punk Powerhouses"/>
    <s v="Ocean Avenue"/>
    <d v="2003-01-01T00:00:00"/>
    <n v="0"/>
    <n v="6"/>
    <n v="3.3"/>
    <n v="3.43E-5"/>
    <x v="44"/>
  </r>
  <r>
    <n v="0.93600000000000005"/>
    <n v="170"/>
    <n v="0.41399999999999998"/>
    <x v="21"/>
    <n v="0.74"/>
    <s v="Avril Lavigne"/>
    <n v="70"/>
    <s v="Pop Punk Powerhouses"/>
    <s v="My Happy Ending"/>
    <d v="1905-06-26T00:00:00"/>
    <n v="1"/>
    <n v="2"/>
    <n v="4.0333333333333332"/>
    <n v="1.3600000000000001E-3"/>
    <x v="44"/>
  </r>
  <r>
    <n v="0.68200000000000005"/>
    <n v="167"/>
    <n v="0.496"/>
    <x v="21"/>
    <n v="0.47399999999999998"/>
    <s v="Green Day"/>
    <n v="70"/>
    <s v="Pop Punk Powerhouses"/>
    <s v="Boulevard of Broken Dreams"/>
    <d v="2017-11-17T00:00:00"/>
    <n v="1"/>
    <n v="8"/>
    <n v="4.3666666666666663"/>
    <n v="5.5199999999999997E-3"/>
    <x v="44"/>
  </r>
  <r>
    <n v="0.88600000000000001"/>
    <n v="145"/>
    <n v="0.20200000000000001"/>
    <x v="21"/>
    <n v="0.192"/>
    <s v="My Chemical Romance"/>
    <n v="70"/>
    <s v="Pop Punk Powerhouses"/>
    <s v="The Ghost of You"/>
    <d v="2004-06-08T00:00:00"/>
    <n v="0"/>
    <n v="11"/>
    <n v="3.2333333333333334"/>
    <n v="2.86E-2"/>
    <x v="44"/>
  </r>
  <r>
    <n v="0.95399999999999996"/>
    <n v="143"/>
    <n v="0.46500000000000002"/>
    <x v="21"/>
    <n v="0.45800000000000002"/>
    <s v="The All-American Rejects"/>
    <n v="70"/>
    <s v="Pop Punk Powerhouses"/>
    <s v="Dirty Little Secret"/>
    <d v="2005-01-01T00:00:00"/>
    <n v="1"/>
    <n v="10"/>
    <n v="3.2166666666666668"/>
    <n v="3.4600000000000001E-4"/>
    <x v="44"/>
  </r>
  <r>
    <n v="0.95899999999999996"/>
    <n v="193"/>
    <n v="0.40899999999999997"/>
    <x v="21"/>
    <n v="0.83"/>
    <s v="blink-182"/>
    <n v="69"/>
    <s v="Pop Punk Powerhouses"/>
    <s v="The Rock Show"/>
    <d v="1905-06-23T00:00:00"/>
    <n v="1"/>
    <n v="9"/>
    <n v="2.85"/>
    <n v="3.2400000000000001E-4"/>
    <x v="44"/>
  </r>
  <r>
    <n v="0.88700000000000001"/>
    <n v="119"/>
    <n v="0.60599999999999998"/>
    <x v="21"/>
    <n v="0.90300000000000002"/>
    <s v="Bowling For Soup"/>
    <n v="69"/>
    <s v="Pop Punk Powerhouses"/>
    <n v="1985"/>
    <d v="1905-06-26T00:00:00"/>
    <n v="1"/>
    <n v="4"/>
    <n v="3.2166666666666668"/>
    <n v="2.42E-4"/>
    <x v="44"/>
  </r>
  <r>
    <n v="0.88300000000000001"/>
    <n v="934"/>
    <n v="0.45"/>
    <x v="21"/>
    <n v="0.32800000000000001"/>
    <s v="Evanescence"/>
    <n v="69"/>
    <s v="Pop Punk Powerhouses"/>
    <s v="Call Me When You're Sober"/>
    <d v="2006-01-01T00:00:00"/>
    <n v="1"/>
    <n v="7"/>
    <n v="3.5666666666666669"/>
    <n v="1.9300000000000001E-3"/>
    <x v="44"/>
  </r>
  <r>
    <n v="0.82699999999999996"/>
    <n v="167"/>
    <n v="0.28999999999999998"/>
    <x v="21"/>
    <n v="0.45"/>
    <s v="Green Day"/>
    <n v="69"/>
    <s v="Pop Punk Powerhouses"/>
    <s v="Holiday / Boulevard of Broken Dreams"/>
    <d v="2004-09-21T00:00:00"/>
    <n v="1"/>
    <n v="8"/>
    <n v="8.2166666666666668"/>
    <n v="6.5899999999999997E-4"/>
    <x v="44"/>
  </r>
  <r>
    <n v="0.69099999999999995"/>
    <n v="100"/>
    <n v="0.71799999999999997"/>
    <x v="21"/>
    <n v="0.55200000000000005"/>
    <s v="The All-American Rejects"/>
    <n v="69"/>
    <s v="Pop Punk Powerhouses"/>
    <s v="Gives You Hell"/>
    <d v="2008-01-01T00:00:00"/>
    <n v="1"/>
    <n v="4"/>
    <n v="3.55"/>
    <n v="1.5900000000000001E-2"/>
    <x v="44"/>
  </r>
  <r>
    <n v="0.873"/>
    <n v="143"/>
    <n v="0.308"/>
    <x v="21"/>
    <n v="0.68600000000000005"/>
    <s v="AFI"/>
    <n v="68"/>
    <s v="Pop Punk Powerhouses"/>
    <s v="Miss Murder"/>
    <d v="2006-06-06T00:00:00"/>
    <n v="1"/>
    <n v="8"/>
    <n v="3.4333333333333331"/>
    <n v="2.2000000000000001E-4"/>
    <x v="44"/>
  </r>
  <r>
    <n v="0.74399999999999999"/>
    <n v="119"/>
    <n v="0.628"/>
    <x v="21"/>
    <n v="0.27700000000000002"/>
    <s v="mgk, YUNGBLUD, Travis Barker"/>
    <n v="68"/>
    <s v="Pop Punk Powerhouses"/>
    <s v="I Think I'm OKAY (with YUNGBLUD &amp; Travis Barker)"/>
    <d v="2019-07-05T00:00:00"/>
    <n v="1"/>
    <n v="7"/>
    <n v="2.8166666666666669"/>
    <n v="2.5700000000000001E-2"/>
    <x v="44"/>
  </r>
  <r>
    <n v="0.98599999999999999"/>
    <n v="165"/>
    <n v="0.41099999999999998"/>
    <x v="21"/>
    <n v="0.64900000000000002"/>
    <s v="My Chemical Romance"/>
    <n v="68"/>
    <s v="Pop Punk Powerhouses"/>
    <s v="Na Na Na (Na Na Na Na Na Na Na Na Na)"/>
    <d v="2010-11-05T00:00:00"/>
    <n v="0"/>
    <n v="8"/>
    <n v="3.4166666666666665"/>
    <n v="2.6400000000000002E-4"/>
    <x v="44"/>
  </r>
  <r>
    <n v="0.92500000000000004"/>
    <n v="159"/>
    <n v="0.47199999999999998"/>
    <x v="21"/>
    <n v="0.33800000000000002"/>
    <s v="Pierce The Veil"/>
    <n v="68"/>
    <s v="Pop Punk Powerhouses"/>
    <s v="Bulls In The Bronx"/>
    <d v="2012-07-17T00:00:00"/>
    <n v="0"/>
    <n v="6"/>
    <n v="4.45"/>
    <n v="3.9399999999999998E-4"/>
    <x v="44"/>
  </r>
  <r>
    <n v="0.82299999999999995"/>
    <n v="879"/>
    <n v="0.69299999999999995"/>
    <x v="21"/>
    <n v="0.74099999999999999"/>
    <s v="Weezer"/>
    <n v="68"/>
    <s v="Pop Punk Powerhouses"/>
    <s v="Beverly Hills"/>
    <d v="2005-05-10T00:00:00"/>
    <n v="1"/>
    <n v="5"/>
    <n v="3.2666666666666666"/>
    <n v="9.3200000000000005E-2"/>
    <x v="44"/>
  </r>
  <r>
    <n v="0.54500000000000004"/>
    <n v="159"/>
    <n v="0.54500000000000004"/>
    <x v="22"/>
    <n v="0.54900000000000004"/>
    <s v="Frank Ocean"/>
    <n v="87"/>
    <s v="R&amp;B Hits"/>
    <s v="Pink + White"/>
    <d v="2016-08-20T00:00:00"/>
    <n v="1"/>
    <n v="9"/>
    <n v="3.0666666666666669"/>
    <n v="0.66700000000000004"/>
    <x v="5"/>
  </r>
  <r>
    <n v="0.55100000000000005"/>
    <n v="143"/>
    <n v="0.55900000000000005"/>
    <x v="22"/>
    <n v="0.39200000000000002"/>
    <s v="SZA"/>
    <n v="86"/>
    <s v="R&amp;B Hits"/>
    <s v="Snooze"/>
    <d v="2022-12-09T00:00:00"/>
    <n v="1"/>
    <n v="5"/>
    <n v="3.35"/>
    <n v="0.14099999999999999"/>
    <x v="5"/>
  </r>
  <r>
    <n v="0.73499999999999999"/>
    <n v="889"/>
    <n v="0.64400000000000002"/>
    <x v="22"/>
    <n v="0.41799999999999998"/>
    <s v="SZA"/>
    <n v="86"/>
    <s v="R&amp;B Hits"/>
    <s v="Kill Bill"/>
    <d v="2022-12-08T00:00:00"/>
    <n v="1"/>
    <n v="8"/>
    <n v="2.5499999999999998"/>
    <n v="5.21E-2"/>
    <x v="5"/>
  </r>
  <r>
    <n v="0.60699999999999998"/>
    <n v="810"/>
    <n v="0.68400000000000005"/>
    <x v="22"/>
    <n v="0.498"/>
    <s v="Miguel"/>
    <n v="85"/>
    <s v="R&amp;B Hits"/>
    <s v="Sure Thing"/>
    <d v="2010-11-26T00:00:00"/>
    <n v="0"/>
    <n v="11"/>
    <n v="3.25"/>
    <n v="2.6700000000000002E-2"/>
    <x v="5"/>
  </r>
  <r>
    <n v="0.36399999999999999"/>
    <n v="752"/>
    <n v="0.52400000000000002"/>
    <x v="22"/>
    <n v="0.436"/>
    <s v="Daniel Caesar, H.E.R."/>
    <n v="84"/>
    <s v="R&amp;B Hits"/>
    <s v="Best Part (feat. H.E.R.)"/>
    <d v="2017-08-25T00:00:00"/>
    <n v="1"/>
    <n v="7"/>
    <n v="3.4833333333333334"/>
    <n v="0.80800000000000005"/>
    <x v="5"/>
  </r>
  <r>
    <n v="0.28399999999999997"/>
    <n v="997"/>
    <n v="0.35799999999999998"/>
    <x v="22"/>
    <n v="0.27600000000000002"/>
    <s v="SZA"/>
    <n v="84"/>
    <s v="R&amp;B Hits"/>
    <s v="Nobody Gets Me"/>
    <d v="2022-12-09T00:00:00"/>
    <n v="1"/>
    <n v="7"/>
    <n v="3"/>
    <n v="0.80500000000000005"/>
    <x v="5"/>
  </r>
  <r>
    <n v="0.44400000000000001"/>
    <n v="118"/>
    <n v="0.60899999999999999"/>
    <x v="22"/>
    <n v="0.16600000000000001"/>
    <s v="Alicia Keys"/>
    <n v="81"/>
    <s v="R&amp;B Hits"/>
    <s v="If I Ain't Got You"/>
    <d v="2003-12-02T00:00:00"/>
    <n v="1"/>
    <n v="7"/>
    <n v="3.8"/>
    <n v="0.60299999999999998"/>
    <x v="5"/>
  </r>
  <r>
    <n v="0.307"/>
    <n v="929"/>
    <n v="0.81"/>
    <x v="22"/>
    <n v="0.69699999999999995"/>
    <s v="Brent Faiyaz"/>
    <n v="80"/>
    <s v="R&amp;B Hits"/>
    <s v="Best Time"/>
    <d v="2023-10-27T00:00:00"/>
    <n v="1"/>
    <n v="9"/>
    <n v="13.75"/>
    <n v="0.16"/>
    <x v="5"/>
  </r>
  <r>
    <n v="0.68400000000000005"/>
    <n v="112"/>
    <n v="0.69199999999999995"/>
    <x v="22"/>
    <n v="0.40600000000000003"/>
    <s v="SZA"/>
    <n v="80"/>
    <s v="R&amp;B Hits"/>
    <s v="Broken Clocks"/>
    <d v="2017-06-09T00:00:00"/>
    <n v="1"/>
    <n v="6"/>
    <n v="3.85"/>
    <n v="0.13100000000000001"/>
    <x v="5"/>
  </r>
  <r>
    <n v="0.58599999999999997"/>
    <n v="782"/>
    <n v="0.434"/>
    <x v="22"/>
    <n v="0.23899999999999999"/>
    <s v="SZA, Travis Scott"/>
    <n v="80"/>
    <s v="R&amp;B Hits"/>
    <s v="Open Arms (feat. Travis Scott)"/>
    <d v="2022-12-08T00:00:00"/>
    <n v="1"/>
    <n v="9"/>
    <n v="3.9833333333333334"/>
    <n v="0.753"/>
    <x v="5"/>
  </r>
  <r>
    <n v="0.23899999999999999"/>
    <n v="113"/>
    <n v="0.372"/>
    <x v="22"/>
    <n v="0.127"/>
    <s v="Miguel"/>
    <n v="79"/>
    <s v="R&amp;B Hits"/>
    <s v="Girl With The Tattoo Enter.lewd"/>
    <d v="2010-11-26T00:00:00"/>
    <n v="0"/>
    <n v="6"/>
    <n v="1.7"/>
    <n v="0.85599999999999998"/>
    <x v="5"/>
  </r>
  <r>
    <n v="0.50700000000000001"/>
    <n v="864"/>
    <n v="0.66200000000000003"/>
    <x v="22"/>
    <n v="0.67600000000000005"/>
    <s v="USHER, Alicia Keys"/>
    <n v="79"/>
    <s v="R&amp;B Hits"/>
    <s v="My Boo"/>
    <d v="2004-03-23T00:00:00"/>
    <n v="1"/>
    <n v="5"/>
    <n v="3.7166666666666668"/>
    <n v="0.25700000000000001"/>
    <x v="5"/>
  </r>
  <r>
    <n v="0.39400000000000002"/>
    <n v="117"/>
    <n v="0.68899999999999995"/>
    <x v="22"/>
    <n v="0.38200000000000001"/>
    <s v="Brent Faiyaz"/>
    <n v="78"/>
    <s v="R&amp;B Hits"/>
    <s v="Poison"/>
    <d v="2016-08-03T00:00:00"/>
    <n v="0"/>
    <n v="2"/>
    <n v="3.5333333333333332"/>
    <n v="0.71099999999999997"/>
    <x v="5"/>
  </r>
  <r>
    <n v="0.34399999999999997"/>
    <n v="652"/>
    <n v="0.58299999999999996"/>
    <x v="22"/>
    <n v="0.58099999999999996"/>
    <s v="Brent Faiyaz"/>
    <n v="78"/>
    <s v="R&amp;B Hits"/>
    <s v="Clouded"/>
    <d v="2020-02-07T00:00:00"/>
    <n v="1"/>
    <n v="2"/>
    <n v="1.8333333333333333"/>
    <n v="0.77400000000000002"/>
    <x v="5"/>
  </r>
  <r>
    <n v="0.55100000000000005"/>
    <n v="928"/>
    <n v="0.91100000000000003"/>
    <x v="22"/>
    <n v="0.96899999999999997"/>
    <s v="Mary J. Blige"/>
    <n v="78"/>
    <s v="R&amp;B Hits"/>
    <s v="Family Affair"/>
    <d v="2001-08-28T00:00:00"/>
    <n v="0"/>
    <n v="8"/>
    <n v="4.416666666666667"/>
    <n v="0.13300000000000001"/>
    <x v="5"/>
  </r>
  <r>
    <n v="0.57399999999999995"/>
    <n v="927"/>
    <n v="0.45200000000000001"/>
    <x v="22"/>
    <n v="0.57799999999999996"/>
    <s v="Ne-Yo"/>
    <n v="78"/>
    <s v="R&amp;B Hits"/>
    <s v="So Sick"/>
    <d v="2006-01-01T00:00:00"/>
    <n v="1"/>
    <n v="6"/>
    <n v="3.45"/>
    <n v="0.245"/>
    <x v="5"/>
  </r>
  <r>
    <n v="0.503"/>
    <n v="137"/>
    <n v="0.64600000000000002"/>
    <x v="22"/>
    <n v="0.78900000000000003"/>
    <s v="Brent Faiyaz"/>
    <n v="77"/>
    <s v="R&amp;B Hits"/>
    <s v="Forever Yours"/>
    <d v="2023-10-27T00:00:00"/>
    <n v="1"/>
    <n v="2"/>
    <n v="16.05"/>
    <n v="4.2599999999999999E-3"/>
    <x v="5"/>
  </r>
  <r>
    <n v="0.68100000000000005"/>
    <n v="171"/>
    <n v="0.67300000000000004"/>
    <x v="22"/>
    <n v="0.70699999999999996"/>
    <s v="Ne-Yo"/>
    <n v="77"/>
    <s v="R&amp;B Hits"/>
    <s v="Miss Independent"/>
    <d v="2008-01-01T00:00:00"/>
    <n v="1"/>
    <n v="1"/>
    <n v="3.8666666666666667"/>
    <n v="0.52"/>
    <x v="5"/>
  </r>
  <r>
    <n v="0.55200000000000005"/>
    <n v="168"/>
    <n v="0.72699999999999998"/>
    <x v="22"/>
    <n v="0.60699999999999998"/>
    <s v="Nelly, Kelly Rowland"/>
    <n v="77"/>
    <s v="R&amp;B Hits"/>
    <s v="Dilemma"/>
    <d v="2002-06-25T00:00:00"/>
    <n v="0"/>
    <n v="2"/>
    <n v="4.8166666666666664"/>
    <n v="0.22600000000000001"/>
    <x v="5"/>
  </r>
  <r>
    <n v="0.72099999999999997"/>
    <n v="169"/>
    <n v="0.62"/>
    <x v="22"/>
    <n v="0.77"/>
    <s v="Paperboy Fabe, Brent Faiyaz"/>
    <n v="77"/>
    <s v="R&amp;B Hits"/>
    <s v="Language"/>
    <d v="2017-05-12T00:00:00"/>
    <n v="0"/>
    <n v="4"/>
    <n v="2.5"/>
    <n v="4.2200000000000001E-2"/>
    <x v="5"/>
  </r>
  <r>
    <n v="0.59399999999999997"/>
    <n v="135"/>
    <n v="0.79500000000000004"/>
    <x v="22"/>
    <n v="0.40899999999999997"/>
    <s v="SZA, Travis Scott"/>
    <n v="77"/>
    <s v="R&amp;B Hits"/>
    <s v="Love Galore (feat. Travis Scott)"/>
    <d v="2017-06-09T00:00:00"/>
    <n v="1"/>
    <n v="0"/>
    <n v="4.583333333333333"/>
    <n v="0.112"/>
    <x v="5"/>
  </r>
  <r>
    <n v="0.60899999999999999"/>
    <n v="959"/>
    <n v="0.65200000000000002"/>
    <x v="22"/>
    <n v="0.48199999999999998"/>
    <s v="Alicia Keys"/>
    <n v="76"/>
    <s v="R&amp;B Hits"/>
    <s v="Fallin'"/>
    <d v="2001-06-05T00:00:00"/>
    <n v="0"/>
    <n v="11"/>
    <n v="3.5"/>
    <n v="0.26300000000000001"/>
    <x v="5"/>
  </r>
  <r>
    <n v="0.55200000000000005"/>
    <n v="900"/>
    <n v="0.64100000000000001"/>
    <x v="22"/>
    <n v="0.152"/>
    <s v="Alicia Keys"/>
    <n v="76"/>
    <s v="R&amp;B Hits"/>
    <s v="No One"/>
    <d v="2007-10-09T00:00:00"/>
    <n v="0"/>
    <n v="1"/>
    <n v="4.2333333333333334"/>
    <n v="2.7E-2"/>
    <x v="5"/>
  </r>
  <r>
    <n v="0.378"/>
    <n v="141"/>
    <n v="0.61699999999999999"/>
    <x v="22"/>
    <n v="0.22"/>
    <s v="Brent Faiyaz"/>
    <n v="76"/>
    <s v="R&amp;B Hits"/>
    <s v="ALL MINE"/>
    <d v="2022-07-08T00:00:00"/>
    <n v="1"/>
    <n v="9"/>
    <n v="3.6"/>
    <n v="0.42799999999999999"/>
    <x v="5"/>
  </r>
  <r>
    <n v="0.61"/>
    <n v="125"/>
    <n v="0.74099999999999999"/>
    <x v="22"/>
    <n v="0.72"/>
    <s v="Jhenie Aiko, Swae Lee"/>
    <n v="76"/>
    <s v="R&amp;B Hits"/>
    <s v="Sativa"/>
    <d v="2017-09-22T00:00:00"/>
    <n v="0"/>
    <n v="6"/>
    <n v="4.5999999999999996"/>
    <n v="0.316"/>
    <x v="5"/>
  </r>
  <r>
    <n v="0.69799999999999995"/>
    <n v="959"/>
    <n v="0.59"/>
    <x v="22"/>
    <n v="0.35199999999999998"/>
    <s v="USHER"/>
    <n v="76"/>
    <s v="R&amp;B Hits"/>
    <s v="Hey Daddy (Daddy's Home)"/>
    <d v="2010-03-30T00:00:00"/>
    <n v="1"/>
    <n v="11"/>
    <n v="3.7333333333333334"/>
    <n v="1.76E-4"/>
    <x v="5"/>
  </r>
  <r>
    <n v="0.5"/>
    <n v="132"/>
    <n v="0.60199999999999998"/>
    <x v="22"/>
    <n v="0.39500000000000002"/>
    <s v="Brent Faiyaz"/>
    <n v="75"/>
    <s v="R&amp;B Hits"/>
    <s v="Been Away"/>
    <d v="2020-02-07T00:00:00"/>
    <n v="1"/>
    <n v="8"/>
    <n v="3.7166666666666668"/>
    <n v="0.47699999999999998"/>
    <x v="5"/>
  </r>
  <r>
    <n v="0.39400000000000002"/>
    <n v="920"/>
    <n v="0.76400000000000001"/>
    <x v="22"/>
    <n v="0.46500000000000002"/>
    <s v="Brent Faiyaz"/>
    <n v="75"/>
    <s v="R&amp;B Hits"/>
    <s v="Trust"/>
    <d v="2018-10-19T00:00:00"/>
    <n v="1"/>
    <n v="8"/>
    <n v="2.6333333333333333"/>
    <n v="0.23100000000000001"/>
    <x v="5"/>
  </r>
  <r>
    <n v="0.5"/>
    <n v="135"/>
    <n v="0.85599999999999998"/>
    <x v="22"/>
    <n v="0.88600000000000001"/>
    <s v="Brent Faiyaz, FELIX!, Tommy Richman"/>
    <n v="75"/>
    <s v="R&amp;B Hits"/>
    <s v="Upset (feat. Tommy Richman &amp; FELIX!)"/>
    <d v="2023-10-27T00:00:00"/>
    <n v="1"/>
    <n v="11"/>
    <n v="2.95"/>
    <n v="0.48699999999999999"/>
    <x v="5"/>
  </r>
  <r>
    <n v="0.35199999999999998"/>
    <n v="102"/>
    <n v="0.45"/>
    <x v="22"/>
    <n v="0.40799999999999997"/>
    <s v="H.E.R., Bryson Tiller"/>
    <n v="75"/>
    <s v="R&amp;B Hits"/>
    <s v="Could've Been (feat. Bryson Tiller)"/>
    <d v="2019-08-30T00:00:00"/>
    <n v="0"/>
    <n v="1"/>
    <n v="4.2"/>
    <n v="0.64900000000000002"/>
    <x v="5"/>
  </r>
  <r>
    <n v="0.49299999999999999"/>
    <n v="828"/>
    <n v="0.34699999999999998"/>
    <x v="22"/>
    <n v="0.308"/>
    <s v="Jhenie Aiko, Kendrick Lamar"/>
    <n v="75"/>
    <s v="R&amp;B Hits"/>
    <s v="Stay Ready (What A Life)"/>
    <d v="2013-01-01T00:00:00"/>
    <n v="0"/>
    <n v="8"/>
    <n v="6.3666666666666663"/>
    <n v="0.45500000000000002"/>
    <x v="5"/>
  </r>
  <r>
    <n v="0.58799999999999997"/>
    <n v="945"/>
    <n v="0.68600000000000005"/>
    <x v="22"/>
    <n v="0.61699999999999999"/>
    <s v="Mario"/>
    <n v="75"/>
    <s v="R&amp;B Hits"/>
    <s v="Let Me Love You"/>
    <d v="2004-03-15T00:00:00"/>
    <n v="0"/>
    <n v="7"/>
    <n v="4.1500000000000004"/>
    <n v="0.17799999999999999"/>
    <x v="5"/>
  </r>
  <r>
    <n v="0.69299999999999995"/>
    <n v="860"/>
    <n v="0.66200000000000003"/>
    <x v="22"/>
    <n v="0.65500000000000003"/>
    <s v="Chris Brown"/>
    <n v="74"/>
    <s v="R&amp;B Hits"/>
    <s v="With You"/>
    <d v="2007-11-06T00:00:00"/>
    <n v="1"/>
    <n v="3"/>
    <n v="4.2"/>
    <n v="0.13400000000000001"/>
    <x v="5"/>
  </r>
  <r>
    <n v="0.53800000000000003"/>
    <n v="109"/>
    <n v="0.81"/>
    <x v="22"/>
    <n v="0.83199999999999996"/>
    <s v="Ne-Yo"/>
    <n v="74"/>
    <s v="R&amp;B Hits"/>
    <s v="Because Of You"/>
    <d v="2007-01-01T00:00:00"/>
    <n v="0"/>
    <n v="0"/>
    <n v="4.4333333333333336"/>
    <n v="0.53"/>
    <x v="5"/>
  </r>
  <r>
    <n v="0.43"/>
    <n v="129"/>
    <n v="0.71599999999999997"/>
    <x v="22"/>
    <n v="0.47199999999999998"/>
    <s v="Summer Walker"/>
    <n v="74"/>
    <s v="R&amp;B Hits"/>
    <s v="Heart Of A Woman"/>
    <d v="2024-10-25T00:00:00"/>
    <n v="0"/>
    <n v="9"/>
    <n v="2.85"/>
    <n v="0.48199999999999998"/>
    <x v="5"/>
  </r>
  <r>
    <n v="0.71199999999999997"/>
    <n v="140"/>
    <n v="0.57299999999999995"/>
    <x v="22"/>
    <n v="0.34599999999999997"/>
    <s v="USHER, Jeezy"/>
    <n v="74"/>
    <s v="R&amp;B Hits"/>
    <s v="Love in This Club (feat. Young Jeezy)"/>
    <d v="2008-05-27T00:00:00"/>
    <n v="1"/>
    <n v="0"/>
    <n v="4.3166666666666664"/>
    <n v="5.7200000000000001E-2"/>
    <x v="5"/>
  </r>
  <r>
    <n v="0.70699999999999996"/>
    <n v="931"/>
    <n v="0.70399999999999996"/>
    <x v="22"/>
    <n v="0.76100000000000001"/>
    <s v="Brandy, Monica"/>
    <n v="73"/>
    <s v="R&amp;B Hits"/>
    <s v="The Boy Is Mine"/>
    <d v="1998-05-29T00:00:00"/>
    <n v="0"/>
    <n v="1"/>
    <n v="4.9000000000000004"/>
    <n v="0.53900000000000003"/>
    <x v="5"/>
  </r>
  <r>
    <n v="0.72499999999999998"/>
    <n v="146"/>
    <n v="0.61"/>
    <x v="22"/>
    <n v="0.29099999999999998"/>
    <s v="Kehlani, Ty Dolla $ign"/>
    <n v="73"/>
    <s v="R&amp;B Hits"/>
    <s v="Nights Like This (feat. Ty Dolla $ign)"/>
    <d v="2019-02-22T00:00:00"/>
    <n v="1"/>
    <n v="8"/>
    <n v="3.35"/>
    <n v="0.36699999999999999"/>
    <x v="5"/>
  </r>
  <r>
    <n v="0.876"/>
    <n v="130"/>
    <n v="0.41199999999999998"/>
    <x v="22"/>
    <n v="0.70599999999999996"/>
    <s v="Lloyd, Lil Wayne"/>
    <n v="73"/>
    <s v="R&amp;B Hits"/>
    <s v="You"/>
    <d v="2007-01-01T00:00:00"/>
    <n v="0"/>
    <n v="5"/>
    <n v="4.55"/>
    <n v="0.10199999999999999"/>
    <x v="5"/>
  </r>
  <r>
    <n v="0.36599999999999999"/>
    <n v="733"/>
    <n v="0.4"/>
    <x v="22"/>
    <n v="0.161"/>
    <s v="SZA"/>
    <n v="73"/>
    <s v="R&amp;B Hits"/>
    <s v="The Weekend"/>
    <d v="2017-06-09T00:00:00"/>
    <n v="0"/>
    <n v="8"/>
    <n v="4.5333333333333332"/>
    <n v="0.24199999999999999"/>
    <x v="5"/>
  </r>
  <r>
    <n v="0.69499999999999995"/>
    <n v="901"/>
    <n v="0.66500000000000004"/>
    <x v="22"/>
    <n v="0.70699999999999996"/>
    <s v="Ashanti"/>
    <n v="72"/>
    <s v="R&amp;B Hits"/>
    <s v="Foolish"/>
    <d v="2002-01-01T00:00:00"/>
    <n v="1"/>
    <n v="0"/>
    <n v="3.7833333333333332"/>
    <n v="0.34699999999999998"/>
    <x v="5"/>
  </r>
  <r>
    <n v="0.70499999999999996"/>
    <n v="966"/>
    <n v="0.83799999999999997"/>
    <x v="22"/>
    <n v="0.83699999999999997"/>
    <s v="Ja Rule, Ashanti"/>
    <n v="72"/>
    <s v="R&amp;B Hits"/>
    <s v="Always On Time"/>
    <d v="2001-10-02T00:00:00"/>
    <n v="0"/>
    <n v="5"/>
    <n v="4.083333333333333"/>
    <n v="0.19500000000000001"/>
    <x v="5"/>
  </r>
  <r>
    <n v="0.61799999999999999"/>
    <n v="133"/>
    <n v="0.70699999999999996"/>
    <x v="22"/>
    <n v="0.51700000000000002"/>
    <s v="Summer Walker, SZA"/>
    <n v="72"/>
    <s v="R&amp;B Hits"/>
    <s v="No Love (with SZA)"/>
    <d v="2021-11-05T00:00:00"/>
    <n v="0"/>
    <n v="1"/>
    <n v="3.85"/>
    <n v="0.17"/>
    <x v="5"/>
  </r>
  <r>
    <n v="0.24199999999999999"/>
    <n v="144"/>
    <n v="0.54900000000000004"/>
    <x v="22"/>
    <n v="0.28599999999999998"/>
    <s v="Brent Faiyaz"/>
    <n v="71"/>
    <s v="R&amp;B Hits"/>
    <s v="Rehab (Winter In Paris)"/>
    <d v="2020-02-07T00:00:00"/>
    <n v="1"/>
    <n v="5"/>
    <n v="3"/>
    <n v="0.80900000000000005"/>
    <x v="5"/>
  </r>
  <r>
    <n v="0.61199999999999999"/>
    <n v="867"/>
    <n v="0.53600000000000003"/>
    <x v="22"/>
    <n v="0.56999999999999995"/>
    <s v="Chris Brown"/>
    <n v="71"/>
    <s v="R&amp;B Hits"/>
    <s v="Yo (Excuse Me Miss)"/>
    <d v="1905-06-27T00:00:00"/>
    <n v="1"/>
    <n v="4"/>
    <n v="3.8166666666666669"/>
    <n v="0.11899999999999999"/>
    <x v="5"/>
  </r>
  <r>
    <n v="0.47699999999999998"/>
    <n v="119"/>
    <n v="0.79600000000000004"/>
    <x v="22"/>
    <n v="0.68500000000000005"/>
    <s v="USHER"/>
    <n v="70"/>
    <s v="R&amp;B Hits"/>
    <s v="Burn"/>
    <d v="2004-03-23T00:00:00"/>
    <n v="1"/>
    <n v="1"/>
    <n v="3.85"/>
    <n v="0.314"/>
    <x v="5"/>
  </r>
  <r>
    <n v="0.629"/>
    <n v="939"/>
    <n v="0.65700000000000003"/>
    <x v="22"/>
    <n v="0.72599999999999998"/>
    <s v="USHER"/>
    <n v="69"/>
    <s v="R&amp;B Hits"/>
    <s v="U Remind Me"/>
    <d v="2001-08-07T00:00:00"/>
    <n v="1"/>
    <n v="6"/>
    <n v="4.4333333333333336"/>
    <n v="0.19400000000000001"/>
    <x v="5"/>
  </r>
  <r>
    <n v="0.5"/>
    <n v="124"/>
    <n v="0.81599999999999995"/>
    <x v="22"/>
    <n v="0.64900000000000002"/>
    <s v="USHER"/>
    <n v="69"/>
    <s v="R&amp;B Hits"/>
    <s v="U Got It Bad"/>
    <d v="2001-08-07T00:00:00"/>
    <n v="1"/>
    <n v="1"/>
    <n v="4.1166666666666663"/>
    <n v="2.2700000000000001E-2"/>
    <x v="5"/>
  </r>
  <r>
    <n v="0.57599999999999996"/>
    <n v="179"/>
    <n v="0.625"/>
    <x v="22"/>
    <n v="0.23499999999999999"/>
    <s v="Miguel"/>
    <n v="68"/>
    <s v="R&amp;B Hits"/>
    <s v="Adorn"/>
    <d v="1905-07-04T00:00:00"/>
    <n v="0"/>
    <n v="11"/>
    <n v="3.2166666666666668"/>
    <n v="5.4300000000000001E-2"/>
    <x v="5"/>
  </r>
  <r>
    <n v="0.46700000000000003"/>
    <n v="138"/>
    <n v="0.84499999999999997"/>
    <x v="22"/>
    <n v="0.70199999999999996"/>
    <s v="USHER"/>
    <n v="68"/>
    <s v="R&amp;B Hits"/>
    <s v="Confessions Part II"/>
    <d v="2004-03-23T00:00:00"/>
    <n v="1"/>
    <n v="1"/>
    <n v="3.5166666666666666"/>
    <n v="5.8599999999999999E-2"/>
    <x v="5"/>
  </r>
  <r>
    <n v="0.72"/>
    <n v="103"/>
    <n v="0.91600000000000004"/>
    <x v="23"/>
    <n v="0.76100000000000001"/>
    <s v="Bob Marley &amp; The Wailers"/>
    <n v="79"/>
    <s v="Reggae Classics"/>
    <s v="Could You Be Loved"/>
    <d v="1980-06-10T00:00:00"/>
    <n v="1"/>
    <n v="0"/>
    <n v="3.95"/>
    <n v="0.36"/>
    <x v="6"/>
  </r>
  <r>
    <n v="0.46300000000000002"/>
    <n v="124"/>
    <n v="0.92900000000000005"/>
    <x v="23"/>
    <n v="0.755"/>
    <s v="Bob Marley &amp; The Wailers"/>
    <n v="70"/>
    <s v="Reggae Classics"/>
    <s v="Buffalo Soldier"/>
    <d v="1983-05-23T00:00:00"/>
    <n v="1"/>
    <n v="9"/>
    <n v="4.25"/>
    <n v="0.14299999999999999"/>
    <x v="6"/>
  </r>
  <r>
    <n v="0.73299999999999998"/>
    <n v="951"/>
    <n v="0.88300000000000001"/>
    <x v="23"/>
    <n v="0.94599999999999995"/>
    <s v="Chaka Demus &amp; Pliers"/>
    <n v="68"/>
    <s v="Reggae Classics"/>
    <s v="Murder She Wrote"/>
    <d v="1993-01-01T00:00:00"/>
    <n v="0"/>
    <n v="11"/>
    <n v="4.083333333333333"/>
    <n v="0.161"/>
    <x v="6"/>
  </r>
  <r>
    <n v="0.66100000000000003"/>
    <n v="767"/>
    <n v="0.83599999999999997"/>
    <x v="23"/>
    <n v="0.753"/>
    <s v="Damian Marley"/>
    <n v="68"/>
    <s v="Reggae Classics"/>
    <s v="Welcome To Jamrock"/>
    <d v="2005-01-01T00:00:00"/>
    <n v="0"/>
    <n v="7"/>
    <n v="3.55"/>
    <n v="2.0799999999999999E-2"/>
    <x v="6"/>
  </r>
  <r>
    <n v="0.66100000000000003"/>
    <n v="767"/>
    <n v="0.83599999999999997"/>
    <x v="23"/>
    <n v="0.753"/>
    <s v="Damian Marley"/>
    <n v="68"/>
    <s v="Reggae Fusion"/>
    <s v="Welcome To Jamrock"/>
    <d v="2005-01-01T00:00:00"/>
    <n v="0"/>
    <n v="7"/>
    <n v="3.55"/>
    <n v="2.0799999999999999E-2"/>
    <x v="45"/>
  </r>
  <r>
    <n v="0.872"/>
    <n v="184"/>
    <n v="0.46600000000000003"/>
    <x v="24"/>
    <n v="0.80600000000000005"/>
    <s v="Linkin Park"/>
    <n v="89"/>
    <s v="Alternative Rock"/>
    <s v="The Emptiness Machine"/>
    <d v="2024-09-05T00:00:00"/>
    <n v="1"/>
    <n v="7"/>
    <n v="3.1666666666666665"/>
    <n v="1.5599999999999999E-2"/>
    <x v="46"/>
  </r>
  <r>
    <n v="0.86399999999999999"/>
    <n v="105"/>
    <n v="0.55600000000000005"/>
    <x v="24"/>
    <n v="0.4"/>
    <s v="Linkin Park"/>
    <n v="88"/>
    <s v="Alternative Rock"/>
    <s v="In the End"/>
    <d v="1905-06-22T00:00:00"/>
    <n v="0"/>
    <n v="3"/>
    <n v="3.6"/>
    <n v="9.58E-3"/>
    <x v="46"/>
  </r>
  <r>
    <n v="0.71499999999999997"/>
    <n v="155"/>
    <n v="0.315"/>
    <x v="24"/>
    <n v="0.497"/>
    <s v="The Goo Goo Dolls"/>
    <n v="87"/>
    <s v="Alternative Rock"/>
    <s v="Iris"/>
    <d v="1905-06-20T00:00:00"/>
    <n v="0"/>
    <n v="11"/>
    <n v="4.8166666666666664"/>
    <n v="1.25E-3"/>
    <x v="46"/>
  </r>
  <r>
    <n v="0.43"/>
    <n v="918"/>
    <n v="0.51500000000000001"/>
    <x v="24"/>
    <n v="0.104"/>
    <s v="Radiohead"/>
    <n v="86"/>
    <s v="Rock Classics"/>
    <s v="Creep"/>
    <d v="1993-02-22T00:00:00"/>
    <n v="1"/>
    <n v="7"/>
    <n v="3.9666666666666668"/>
    <n v="9.7000000000000003E-3"/>
    <x v="6"/>
  </r>
  <r>
    <n v="0.79500000000000004"/>
    <n v="112"/>
    <n v="0.64500000000000002"/>
    <x v="24"/>
    <n v="0.53500000000000003"/>
    <s v="Tears For Fears"/>
    <n v="85"/>
    <s v="80s Rock Anthems"/>
    <s v="Everybody Wants To Rule The World"/>
    <d v="1985-02-25T00:00:00"/>
    <n v="1"/>
    <n v="7"/>
    <n v="4.1833333333333336"/>
    <n v="0.34699999999999998"/>
    <x v="47"/>
  </r>
  <r>
    <n v="0.91300000000000003"/>
    <n v="115"/>
    <n v="0.57399999999999995"/>
    <x v="24"/>
    <n v="0.42299999999999999"/>
    <s v="AC/DC"/>
    <n v="84"/>
    <s v="Rock Classics"/>
    <s v="Highway to Hell"/>
    <d v="1979-07-27T00:00:00"/>
    <n v="0"/>
    <n v="6"/>
    <n v="3.4666666666666668"/>
    <n v="6.0999999999999999E-2"/>
    <x v="6"/>
  </r>
  <r>
    <n v="0.86599999999999999"/>
    <n v="140"/>
    <n v="0.52600000000000002"/>
    <x v="24"/>
    <n v="0.248"/>
    <s v="Arctic Monkeys"/>
    <n v="84"/>
    <s v="Indie Rock Roadtrip"/>
    <n v="505"/>
    <d v="2007-04-22T00:00:00"/>
    <n v="1"/>
    <n v="0"/>
    <n v="4.2166666666666668"/>
    <n v="2.8700000000000002E-3"/>
    <x v="17"/>
  </r>
  <r>
    <n v="0.53200000000000003"/>
    <n v="850"/>
    <n v="0.54800000000000004"/>
    <x v="24"/>
    <n v="0.40500000000000003"/>
    <s v="Arctic Monkeys"/>
    <n v="84"/>
    <s v="Alternative Rock"/>
    <s v="Do I Wanna Know?"/>
    <d v="2013-09-09T00:00:00"/>
    <n v="1"/>
    <n v="5"/>
    <n v="4.5333333333333332"/>
    <n v="0.186"/>
    <x v="46"/>
  </r>
  <r>
    <n v="0.69699999999999995"/>
    <n v="116"/>
    <n v="0.74099999999999999"/>
    <x v="24"/>
    <n v="0.77400000000000002"/>
    <s v="Creedence Clearwater Revival"/>
    <n v="84"/>
    <s v="Rock Classics"/>
    <s v="Have You Ever Seen The Rain"/>
    <d v="1970-12-07T00:00:00"/>
    <n v="1"/>
    <n v="0"/>
    <n v="2.6666666666666665"/>
    <n v="6.6400000000000001E-2"/>
    <x v="6"/>
  </r>
  <r>
    <n v="0.49199999999999999"/>
    <n v="120"/>
    <n v="0.82799999999999996"/>
    <x v="24"/>
    <n v="0.78900000000000003"/>
    <s v="Fleetwood Mac"/>
    <n v="84"/>
    <s v="Rock Classics"/>
    <s v="Dreams - 2004 Remaster"/>
    <d v="1977-02-04T00:00:00"/>
    <n v="1"/>
    <n v="0"/>
    <n v="4.2833333333333332"/>
    <n v="6.4399999999999999E-2"/>
    <x v="6"/>
  </r>
  <r>
    <n v="0.95199999999999996"/>
    <n v="125"/>
    <n v="0.44500000000000001"/>
    <x v="24"/>
    <n v="0.624"/>
    <s v="Guns N' Roses"/>
    <n v="84"/>
    <s v="Rock Classics"/>
    <s v="Sweet Child O' Mine"/>
    <d v="1987-07-21T00:00:00"/>
    <n v="1"/>
    <n v="6"/>
    <n v="5.9333333333333336"/>
    <n v="0.09"/>
    <x v="6"/>
  </r>
  <r>
    <n v="0.89"/>
    <n v="133"/>
    <n v="0.502"/>
    <x v="24"/>
    <n v="0.25900000000000001"/>
    <s v="AC/DC"/>
    <n v="83"/>
    <s v="Rock Classics"/>
    <s v="Thunderstruck"/>
    <d v="1990-09-24T00:00:00"/>
    <n v="1"/>
    <n v="4"/>
    <n v="4.8666666666666663"/>
    <n v="1.47E-4"/>
    <x v="6"/>
  </r>
  <r>
    <n v="0.7"/>
    <n v="188"/>
    <n v="0.31"/>
    <x v="24"/>
    <n v="0.76300000000000001"/>
    <s v="AC/DC"/>
    <n v="83"/>
    <s v="Rock Classics"/>
    <s v="Back In Black"/>
    <d v="1980-07-25T00:00:00"/>
    <n v="1"/>
    <n v="9"/>
    <n v="4.25"/>
    <n v="1.0999999999999999E-2"/>
    <x v="6"/>
  </r>
  <r>
    <n v="0.7"/>
    <n v="188"/>
    <n v="0.31"/>
    <x v="24"/>
    <n v="0.76300000000000001"/>
    <s v="AC/DC"/>
    <n v="83"/>
    <s v="80s Rock Anthems"/>
    <s v="Back In Black"/>
    <d v="1980-07-25T00:00:00"/>
    <n v="1"/>
    <n v="9"/>
    <n v="4.25"/>
    <n v="1.0999999999999999E-2"/>
    <x v="47"/>
  </r>
  <r>
    <n v="0.373"/>
    <n v="927"/>
    <n v="0.67100000000000004"/>
    <x v="24"/>
    <n v="0.73199999999999998"/>
    <s v="TOTO"/>
    <n v="83"/>
    <s v="Rock Classics"/>
    <s v="Africa"/>
    <d v="1982-04-08T00:00:00"/>
    <n v="1"/>
    <n v="9"/>
    <n v="4.916666666666667"/>
    <n v="0.25700000000000001"/>
    <x v="6"/>
  </r>
  <r>
    <n v="0.373"/>
    <n v="927"/>
    <n v="0.67100000000000004"/>
    <x v="24"/>
    <n v="0.73199999999999998"/>
    <s v="TOTO"/>
    <n v="83"/>
    <s v="80s Rock Anthems"/>
    <s v="Africa"/>
    <d v="1982-04-08T00:00:00"/>
    <n v="1"/>
    <n v="9"/>
    <n v="4.916666666666667"/>
    <n v="0.25700000000000001"/>
    <x v="47"/>
  </r>
  <r>
    <n v="0.94199999999999995"/>
    <n v="148"/>
    <n v="0.52700000000000002"/>
    <x v="24"/>
    <n v="0.495"/>
    <s v="Bruce Springsteen"/>
    <n v="82"/>
    <s v="80s Rock Anthems"/>
    <s v="Dancing In the Dark"/>
    <d v="1984-06-04T00:00:00"/>
    <n v="0"/>
    <n v="1"/>
    <n v="4.0166666666666666"/>
    <n v="1.15E-2"/>
    <x v="47"/>
  </r>
  <r>
    <n v="0.34499999999999997"/>
    <n v="845"/>
    <n v="0.55900000000000005"/>
    <x v="24"/>
    <n v="0.45800000000000002"/>
    <s v="Red Hot Chili Peppers"/>
    <n v="82"/>
    <s v="Rock Classics"/>
    <s v="Under the Bridge"/>
    <d v="1991-09-24T00:00:00"/>
    <n v="1"/>
    <n v="4"/>
    <n v="4.4000000000000004"/>
    <n v="5.7599999999999998E-2"/>
    <x v="6"/>
  </r>
  <r>
    <n v="0.71699999999999997"/>
    <n v="889"/>
    <n v="0.59499999999999997"/>
    <x v="24"/>
    <n v="0.54700000000000004"/>
    <s v="Red Hot Chili Peppers"/>
    <n v="82"/>
    <s v="Alternative Rock"/>
    <s v="Scar Tissue"/>
    <d v="1999-06-08T00:00:00"/>
    <n v="1"/>
    <n v="0"/>
    <n v="3.5833333333333335"/>
    <n v="7.7899999999999997E-2"/>
    <x v="46"/>
  </r>
  <r>
    <n v="0.44600000000000001"/>
    <n v="123"/>
    <n v="0.74299999999999999"/>
    <x v="24"/>
    <n v="0.27800000000000002"/>
    <s v="The White Stripes"/>
    <n v="82"/>
    <s v="Rock Classics"/>
    <s v="Seven Nation Army"/>
    <d v="2003-04-01T00:00:00"/>
    <n v="0"/>
    <n v="4"/>
    <n v="3.8666666666666667"/>
    <n v="3.8999999999999998E-3"/>
    <x v="6"/>
  </r>
  <r>
    <n v="0.76700000000000002"/>
    <n v="127"/>
    <n v="0.53200000000000003"/>
    <x v="24"/>
    <n v="0.755"/>
    <s v="AC/DC"/>
    <n v="81"/>
    <s v="Rock Classics"/>
    <s v="You Shook Me All Night Long"/>
    <d v="1980-07-25T00:00:00"/>
    <n v="1"/>
    <n v="7"/>
    <n v="3.5"/>
    <n v="2.8700000000000002E-3"/>
    <x v="6"/>
  </r>
  <r>
    <n v="0.76700000000000002"/>
    <n v="127"/>
    <n v="0.53200000000000003"/>
    <x v="24"/>
    <n v="0.755"/>
    <s v="AC/DC"/>
    <n v="81"/>
    <s v="80s Rock Anthems"/>
    <s v="You Shook Me All Night Long"/>
    <d v="1980-07-25T00:00:00"/>
    <n v="1"/>
    <n v="7"/>
    <n v="3.5"/>
    <n v="2.8700000000000002E-3"/>
    <x v="47"/>
  </r>
  <r>
    <n v="0.95899999999999996"/>
    <n v="122"/>
    <n v="0.54100000000000004"/>
    <x v="24"/>
    <n v="0.81200000000000006"/>
    <s v="Bon Jovi"/>
    <n v="81"/>
    <s v="80s Rock Anthems"/>
    <s v="You Give Love A Bad Name"/>
    <d v="1986-08-16T00:00:00"/>
    <n v="0"/>
    <n v="0"/>
    <n v="3.7"/>
    <n v="6.6299999999999998E-2"/>
    <x v="47"/>
  </r>
  <r>
    <n v="0.50800000000000001"/>
    <n v="147"/>
    <n v="0.57899999999999996"/>
    <x v="24"/>
    <n v="0.60899999999999999"/>
    <s v="Eagles"/>
    <n v="81"/>
    <s v="Rock Classics"/>
    <s v="Hotel California - 2013 Remaster"/>
    <d v="1976-12-08T00:00:00"/>
    <n v="1"/>
    <n v="2"/>
    <n v="6.5166666666666666"/>
    <n v="5.7400000000000003E-3"/>
    <x v="6"/>
  </r>
  <r>
    <n v="0.88100000000000001"/>
    <n v="158"/>
    <n v="0.41299999999999998"/>
    <x v="24"/>
    <n v="0.36399999999999999"/>
    <s v="Foo Fighters"/>
    <n v="81"/>
    <s v="Rock Classics"/>
    <s v="Everlong"/>
    <d v="1997-05-20T00:00:00"/>
    <n v="0"/>
    <n v="11"/>
    <n v="4.166666666666667"/>
    <n v="5.9899999999999999E-5"/>
    <x v="6"/>
  </r>
  <r>
    <n v="0.88100000000000001"/>
    <n v="158"/>
    <n v="0.41299999999999998"/>
    <x v="24"/>
    <n v="0.36399999999999999"/>
    <s v="Foo Fighters"/>
    <n v="81"/>
    <s v="Alternative Rock"/>
    <s v="Everlong"/>
    <d v="1997-05-20T00:00:00"/>
    <n v="0"/>
    <n v="11"/>
    <n v="4.166666666666667"/>
    <n v="5.9899999999999999E-5"/>
    <x v="46"/>
  </r>
  <r>
    <n v="0.93500000000000005"/>
    <n v="120"/>
    <n v="0.627"/>
    <x v="24"/>
    <n v="0.28699999999999998"/>
    <s v="Linkin Park"/>
    <n v="81"/>
    <s v="Alternative Rock"/>
    <s v="What I've Done"/>
    <d v="2007-05-14T00:00:00"/>
    <n v="1"/>
    <n v="5"/>
    <n v="3.4166666666666665"/>
    <n v="9.1999999999999998E-3"/>
    <x v="46"/>
  </r>
  <r>
    <n v="0.79500000000000004"/>
    <n v="790"/>
    <n v="0.80100000000000005"/>
    <x v="24"/>
    <n v="0.754"/>
    <s v="Portugal. The Man"/>
    <n v="81"/>
    <s v="Feel Good Indie Rock"/>
    <s v="Feel It Still"/>
    <d v="2017-06-16T00:00:00"/>
    <n v="0"/>
    <n v="1"/>
    <n v="2.7166666666666668"/>
    <n v="4.1700000000000001E-2"/>
    <x v="48"/>
  </r>
  <r>
    <n v="0.76700000000000002"/>
    <n v="964"/>
    <n v="0.59199999999999997"/>
    <x v="24"/>
    <n v="0.32800000000000001"/>
    <s v="Red Hot Chili Peppers"/>
    <n v="81"/>
    <s v="Rock Classics"/>
    <s v="Californication"/>
    <d v="1999-06-08T00:00:00"/>
    <n v="0"/>
    <n v="9"/>
    <n v="5.4833333333333334"/>
    <n v="2.0999999999999999E-3"/>
    <x v="6"/>
  </r>
  <r>
    <n v="0.76700000000000002"/>
    <n v="964"/>
    <n v="0.59199999999999997"/>
    <x v="24"/>
    <n v="0.32800000000000001"/>
    <s v="Red Hot Chili Peppers"/>
    <n v="81"/>
    <s v="Alternative Rock"/>
    <s v="Californication"/>
    <d v="1999-06-08T00:00:00"/>
    <n v="0"/>
    <n v="9"/>
    <n v="5.4833333333333334"/>
    <n v="2.0999999999999999E-3"/>
    <x v="46"/>
  </r>
  <r>
    <n v="0.79500000000000004"/>
    <n v="123"/>
    <n v="0.45800000000000002"/>
    <x v="24"/>
    <n v="0.51300000000000001"/>
    <s v="Red Hot Chili Peppers"/>
    <n v="81"/>
    <s v="Alternative Rock"/>
    <s v="Otherside"/>
    <d v="1999-06-08T00:00:00"/>
    <n v="1"/>
    <n v="0"/>
    <n v="4.25"/>
    <n v="3.16E-3"/>
    <x v="46"/>
  </r>
  <r>
    <n v="0.93799999999999994"/>
    <n v="914"/>
    <n v="0.61799999999999999"/>
    <x v="24"/>
    <n v="0.875"/>
    <s v="Red Hot Chili Peppers"/>
    <n v="81"/>
    <s v="Alternative Rock"/>
    <s v="Can't Stop"/>
    <d v="2002-07-09T00:00:00"/>
    <n v="1"/>
    <n v="9"/>
    <n v="4.4833333333333334"/>
    <n v="1.7899999999999999E-2"/>
    <x v="46"/>
  </r>
  <r>
    <n v="0.79500000000000004"/>
    <n v="158"/>
    <n v="0.46400000000000002"/>
    <x v="24"/>
    <n v="0.61199999999999999"/>
    <s v="The Rolling Stones"/>
    <n v="81"/>
    <s v="Rock Classics"/>
    <s v="Paint It, Black"/>
    <d v="1966-04-15T00:00:00"/>
    <n v="1"/>
    <n v="1"/>
    <n v="3.3666666666666667"/>
    <n v="4.9299999999999997E-2"/>
    <x v="6"/>
  </r>
  <r>
    <n v="0.83399999999999996"/>
    <n v="139"/>
    <n v="0.50900000000000001"/>
    <x v="24"/>
    <n v="0.77400000000000002"/>
    <s v="Bryan Adams"/>
    <n v="80"/>
    <s v="80s Rock Anthems"/>
    <s v="Summer Of '69"/>
    <d v="1984-11-05T00:00:00"/>
    <n v="1"/>
    <n v="2"/>
    <n v="3.6"/>
    <n v="1.83E-2"/>
    <x v="47"/>
  </r>
  <r>
    <n v="0.50900000000000001"/>
    <n v="119"/>
    <n v="0.57799999999999996"/>
    <x v="24"/>
    <n v="0.58599999999999997"/>
    <s v="Dominic Fike"/>
    <n v="80"/>
    <s v="Feel Good Indie Rock"/>
    <s v="misses"/>
    <d v="2024-05-03T00:00:00"/>
    <n v="1"/>
    <n v="2"/>
    <n v="12.383333333333333"/>
    <n v="0.13"/>
    <x v="48"/>
  </r>
  <r>
    <n v="0.66300000000000003"/>
    <n v="104"/>
    <n v="0.27700000000000002"/>
    <x v="24"/>
    <n v="0.52700000000000002"/>
    <s v="Franz Ferdinand"/>
    <n v="80"/>
    <s v="Alternative Rock"/>
    <s v="Take Me Out"/>
    <d v="2004-02-16T00:00:00"/>
    <n v="0"/>
    <n v="4"/>
    <n v="3.95"/>
    <n v="4.0900000000000002E-4"/>
    <x v="46"/>
  </r>
  <r>
    <n v="0.94299999999999995"/>
    <n v="850"/>
    <n v="0.442"/>
    <x v="24"/>
    <n v="0.78100000000000003"/>
    <s v="Green Day"/>
    <n v="80"/>
    <s v="Rock Classics"/>
    <s v="Basket Case"/>
    <d v="1994-02-01T00:00:00"/>
    <n v="1"/>
    <n v="3"/>
    <n v="3.0166666666666666"/>
    <n v="2.9299999999999999E-3"/>
    <x v="6"/>
  </r>
  <r>
    <n v="0.83599999999999997"/>
    <n v="113"/>
    <n v="0.74299999999999999"/>
    <x v="24"/>
    <n v="0.82"/>
    <s v="The Clash"/>
    <n v="80"/>
    <s v="Rock Classics"/>
    <s v="Should I Stay or Should I Go - Remastered"/>
    <d v="1905-06-04T00:00:00"/>
    <n v="1"/>
    <n v="2"/>
    <n v="3.1333333333333333"/>
    <n v="8.0399999999999999E-2"/>
    <x v="6"/>
  </r>
  <r>
    <n v="0.83599999999999997"/>
    <n v="113"/>
    <n v="0.74299999999999999"/>
    <x v="24"/>
    <n v="0.82"/>
    <s v="The Clash"/>
    <n v="80"/>
    <s v="80s Rock Anthems"/>
    <s v="Should I Stay or Should I Go - Remastered"/>
    <d v="1905-06-04T00:00:00"/>
    <n v="1"/>
    <n v="2"/>
    <n v="3.1333333333333333"/>
    <n v="8.0399999999999999E-2"/>
    <x v="47"/>
  </r>
  <r>
    <n v="0.71299999999999997"/>
    <n v="749"/>
    <n v="0.64500000000000002"/>
    <x v="24"/>
    <n v="0.56599999999999995"/>
    <s v="Twenty One Pilots"/>
    <n v="80"/>
    <s v="Alternative Rock"/>
    <s v="Ride"/>
    <d v="2015-05-15T00:00:00"/>
    <n v="1"/>
    <n v="6"/>
    <n v="3.5666666666666669"/>
    <n v="8.3499999999999998E-3"/>
    <x v="46"/>
  </r>
  <r>
    <n v="0.495"/>
    <n v="124"/>
    <n v="0.53200000000000003"/>
    <x v="24"/>
    <n v="0.308"/>
    <s v="Billy Joel"/>
    <n v="79"/>
    <s v="Rock Classics"/>
    <s v="Vienna"/>
    <d v="1905-05-30T00:00:00"/>
    <n v="1"/>
    <n v="10"/>
    <n v="3.5666666666666669"/>
    <n v="0.65900000000000003"/>
    <x v="6"/>
  </r>
  <r>
    <n v="0.53200000000000003"/>
    <n v="136"/>
    <n v="0.60099999999999998"/>
    <x v="24"/>
    <n v="0.34200000000000003"/>
    <s v="Elton John"/>
    <n v="79"/>
    <s v="Rock Classics"/>
    <s v="Rocket Man (I Think It's Going To Be A Long, Long Time)"/>
    <d v="1972-05-19T00:00:00"/>
    <n v="1"/>
    <n v="10"/>
    <n v="4.6833333333333336"/>
    <n v="0.433"/>
    <x v="6"/>
  </r>
  <r>
    <n v="0.48699999999999999"/>
    <n v="114"/>
    <n v="0.73"/>
    <x v="24"/>
    <n v="0.73099999999999998"/>
    <s v="Fleetwood Mac"/>
    <n v="79"/>
    <s v="Rock Classics"/>
    <s v="Everywhere - 2017 Remaster"/>
    <d v="1987-04-13T00:00:00"/>
    <n v="1"/>
    <n v="4"/>
    <n v="3.7666666666666666"/>
    <n v="0.25800000000000001"/>
    <x v="6"/>
  </r>
  <r>
    <n v="0.432"/>
    <n v="946"/>
    <n v="0.47499999999999998"/>
    <x v="24"/>
    <n v="0.64800000000000002"/>
    <s v="Green Day"/>
    <n v="79"/>
    <s v="Rock Classics"/>
    <s v="Good Riddance (Time of Your Life)"/>
    <d v="1997-10-14T00:00:00"/>
    <n v="1"/>
    <n v="7"/>
    <n v="2.5499999999999998"/>
    <n v="0.183"/>
    <x v="6"/>
  </r>
  <r>
    <n v="0.62"/>
    <n v="117"/>
    <n v="0.74099999999999999"/>
    <x v="24"/>
    <n v="0.93400000000000005"/>
    <s v="Hozier"/>
    <n v="79"/>
    <s v="Feel Good Indie Rock"/>
    <s v="Too Sweet"/>
    <d v="2024-03-22T00:00:00"/>
    <n v="1"/>
    <n v="10"/>
    <n v="4.1833333333333336"/>
    <n v="2.9499999999999998E-2"/>
    <x v="48"/>
  </r>
  <r>
    <n v="0.62"/>
    <n v="117"/>
    <n v="0.74099999999999999"/>
    <x v="24"/>
    <n v="0.93400000000000005"/>
    <s v="Hozier"/>
    <n v="79"/>
    <s v="Alternative Rock"/>
    <s v="Too Sweet"/>
    <d v="2024-03-22T00:00:00"/>
    <n v="1"/>
    <n v="10"/>
    <n v="4.1833333333333336"/>
    <n v="2.9499999999999998E-2"/>
    <x v="46"/>
  </r>
  <r>
    <n v="0.32200000000000001"/>
    <n v="935"/>
    <n v="0.47499999999999998"/>
    <x v="24"/>
    <n v="0.38700000000000001"/>
    <s v="Kansas"/>
    <n v="79"/>
    <s v="Rock Classics"/>
    <s v="Dust in the Wind"/>
    <d v="1905-05-30T00:00:00"/>
    <n v="1"/>
    <n v="7"/>
    <n v="3.4333333333333331"/>
    <n v="0.36699999999999999"/>
    <x v="6"/>
  </r>
  <r>
    <n v="0.94499999999999995"/>
    <n v="919"/>
    <n v="0.51"/>
    <x v="24"/>
    <n v="0.32300000000000001"/>
    <s v="Linkin Park"/>
    <n v="79"/>
    <s v="Rock This"/>
    <s v="Two Faced"/>
    <d v="2024-11-15T00:00:00"/>
    <n v="1"/>
    <n v="1"/>
    <n v="3.05"/>
    <n v="6.5799999999999995E-4"/>
    <x v="5"/>
  </r>
  <r>
    <n v="0.872"/>
    <n v="184"/>
    <n v="0.46600000000000003"/>
    <x v="24"/>
    <n v="0.80600000000000005"/>
    <s v="Linkin Park"/>
    <n v="79"/>
    <s v="Rock This"/>
    <s v="The Emptiness Machine"/>
    <d v="2024-11-15T00:00:00"/>
    <n v="1"/>
    <n v="7"/>
    <n v="3.1666666666666665"/>
    <n v="1.5599999999999999E-2"/>
    <x v="5"/>
  </r>
  <r>
    <n v="0.64100000000000001"/>
    <n v="203"/>
    <n v="0.25600000000000001"/>
    <x v="24"/>
    <n v="0.38200000000000001"/>
    <s v="Nirvana"/>
    <n v="79"/>
    <s v="Rock Classics"/>
    <s v="Heart-Shaped Box"/>
    <d v="1993-09-21T00:00:00"/>
    <n v="1"/>
    <n v="1"/>
    <n v="4.6833333333333336"/>
    <n v="0.19900000000000001"/>
    <x v="6"/>
  </r>
  <r>
    <n v="0.71199999999999997"/>
    <n v="113"/>
    <n v="0.67100000000000004"/>
    <x v="24"/>
    <n v="0.46200000000000002"/>
    <s v="Queen, David Bowie"/>
    <n v="79"/>
    <s v="80s Rock Anthems"/>
    <s v="Under Pressure - Remastered 2011"/>
    <d v="1982-05-03T00:00:00"/>
    <n v="1"/>
    <n v="2"/>
    <n v="4.1333333333333337"/>
    <n v="0.42899999999999999"/>
    <x v="47"/>
  </r>
  <r>
    <n v="0.91700000000000004"/>
    <n v="171"/>
    <n v="0.35599999999999998"/>
    <x v="24"/>
    <n v="0.51800000000000002"/>
    <s v="The Verve"/>
    <n v="79"/>
    <s v="Rock Classics"/>
    <s v="Bitter Sweet Symphony - Remastered 2016"/>
    <d v="1997-09-29T00:00:00"/>
    <n v="1"/>
    <n v="9"/>
    <n v="5.95"/>
    <n v="3.3500000000000002E-2"/>
    <x v="6"/>
  </r>
  <r>
    <n v="0.78900000000000003"/>
    <n v="129"/>
    <n v="0.67400000000000004"/>
    <x v="24"/>
    <n v="0.91800000000000004"/>
    <s v="Blur"/>
    <n v="78"/>
    <s v="Rock Classics"/>
    <s v="Song 2 - 2012 Remaster"/>
    <d v="1997-02-10T00:00:00"/>
    <n v="1"/>
    <n v="8"/>
    <n v="2.0166666666666666"/>
    <n v="1.7799999999999999E-3"/>
    <x v="6"/>
  </r>
  <r>
    <n v="0.59299999999999997"/>
    <n v="120"/>
    <n v="0.56499999999999995"/>
    <x v="24"/>
    <n v="0.42899999999999999"/>
    <s v="d4vd"/>
    <n v="78"/>
    <s v="Feel Good Indie Rock"/>
    <s v="Feel It - From The Original Series ‚ÄúInvincible‚Äù"/>
    <d v="2024-03-28T00:00:00"/>
    <n v="1"/>
    <n v="8"/>
    <n v="2.6166666666666667"/>
    <n v="2.8799999999999999E-2"/>
    <x v="48"/>
  </r>
  <r>
    <n v="0.93600000000000005"/>
    <n v="172"/>
    <n v="0.59399999999999997"/>
    <x v="24"/>
    <n v="0.39"/>
    <s v="Hombres G"/>
    <n v="78"/>
    <s v="Spanish Rock Classics"/>
    <s v="Devu√©lveme a mi chica"/>
    <d v="1905-06-07T00:00:00"/>
    <n v="0"/>
    <n v="9"/>
    <n v="3.2333333333333334"/>
    <n v="2.24E-2"/>
    <x v="49"/>
  </r>
  <r>
    <n v="0.64300000000000002"/>
    <n v="103"/>
    <n v="0.63300000000000001"/>
    <x v="24"/>
    <n v="0.47199999999999998"/>
    <s v="juju&lt;3"/>
    <n v="78"/>
    <s v="Feel Good Indie Rock"/>
    <s v="Wasted Summers"/>
    <d v="2023-07-12T00:00:00"/>
    <n v="1"/>
    <n v="0"/>
    <n v="2.1666666666666665"/>
    <n v="0.106"/>
    <x v="48"/>
  </r>
  <r>
    <n v="0.60599999999999998"/>
    <n v="977"/>
    <n v="0.59599999999999997"/>
    <x v="24"/>
    <n v="0.88600000000000001"/>
    <s v="Lynyrd Skynyrd"/>
    <n v="78"/>
    <s v="Southern Rock"/>
    <s v="Sweet Home Alabama"/>
    <d v="1974-04-15T00:00:00"/>
    <n v="1"/>
    <n v="7"/>
    <n v="4.7166666666666668"/>
    <n v="0.18099999999999999"/>
    <x v="50"/>
  </r>
  <r>
    <n v="0.92100000000000004"/>
    <n v="120"/>
    <n v="0.66800000000000004"/>
    <x v="24"/>
    <n v="0.78200000000000003"/>
    <s v="Muse"/>
    <n v="78"/>
    <s v="Alternative Rock"/>
    <s v="Supermassive Black Hole"/>
    <d v="2006-06-19T00:00:00"/>
    <n v="1"/>
    <n v="7"/>
    <n v="3.5333333333333332"/>
    <n v="4.9200000000000001E-2"/>
    <x v="46"/>
  </r>
  <r>
    <n v="0.83299999999999996"/>
    <n v="887"/>
    <n v="0.46600000000000003"/>
    <x v="24"/>
    <n v="0.66100000000000003"/>
    <s v="Rage Against The Machine"/>
    <n v="78"/>
    <s v="Rock Classics"/>
    <s v="Killing In The Name"/>
    <d v="1905-06-14T00:00:00"/>
    <n v="1"/>
    <n v="7"/>
    <n v="5.2166666666666668"/>
    <n v="2.6599999999999999E-2"/>
    <x v="6"/>
  </r>
  <r>
    <n v="0.56799999999999995"/>
    <n v="107"/>
    <n v="0.61399999999999999"/>
    <x v="24"/>
    <n v="0.51600000000000001"/>
    <s v="Audioslave"/>
    <n v="77"/>
    <s v="Alternative Rock"/>
    <s v="Like a Stone"/>
    <d v="2002-11-17T00:00:00"/>
    <n v="0"/>
    <n v="7"/>
    <n v="4.8833333333333337"/>
    <n v="7.9699999999999997E-3"/>
    <x v="46"/>
  </r>
  <r>
    <n v="0.59199999999999997"/>
    <n v="170"/>
    <n v="0.33200000000000002"/>
    <x v="24"/>
    <n v="0.31"/>
    <s v="Camila"/>
    <n v="77"/>
    <s v="Spanish Rock Classics"/>
    <s v="Mientes"/>
    <d v="2010-02-09T00:00:00"/>
    <n v="1"/>
    <n v="1"/>
    <n v="3.4166666666666665"/>
    <n v="8.2400000000000001E-2"/>
    <x v="49"/>
  </r>
  <r>
    <n v="0.51800000000000002"/>
    <n v="151"/>
    <n v="0.81499999999999995"/>
    <x v="24"/>
    <n v="0.877"/>
    <s v="Dominic Fike"/>
    <n v="77"/>
    <s v="Feel Good Indie Rock"/>
    <s v="3 Nights"/>
    <d v="2018-10-16T00:00:00"/>
    <n v="0"/>
    <n v="7"/>
    <n v="2.95"/>
    <n v="0.223"/>
    <x v="48"/>
  </r>
  <r>
    <n v="0.71599999999999997"/>
    <n v="943"/>
    <n v="0.53500000000000003"/>
    <x v="24"/>
    <n v="0.90100000000000002"/>
    <s v="Joan Jett &amp; the Blackhearts"/>
    <n v="77"/>
    <s v="Rock Classics"/>
    <s v="I Love Rock 'N Roll"/>
    <d v="1981-11-18T00:00:00"/>
    <n v="1"/>
    <n v="4"/>
    <n v="2.9166666666666665"/>
    <n v="0.32600000000000001"/>
    <x v="6"/>
  </r>
  <r>
    <n v="0.71599999999999997"/>
    <n v="943"/>
    <n v="0.53500000000000003"/>
    <x v="24"/>
    <n v="0.90100000000000002"/>
    <s v="Joan Jett &amp; the Blackhearts"/>
    <n v="77"/>
    <s v="80s Rock Anthems"/>
    <s v="I Love Rock 'N Roll"/>
    <d v="1981-11-18T00:00:00"/>
    <n v="1"/>
    <n v="4"/>
    <n v="2.9166666666666665"/>
    <n v="0.32600000000000001"/>
    <x v="47"/>
  </r>
  <r>
    <n v="0.75800000000000001"/>
    <n v="129"/>
    <n v="0.69599999999999995"/>
    <x v="24"/>
    <n v="0.85799999999999998"/>
    <s v="Juanes"/>
    <n v="77"/>
    <s v="Spanish Rock Classics"/>
    <s v="Es Por Ti"/>
    <d v="2002-01-01T00:00:00"/>
    <n v="1"/>
    <n v="4"/>
    <n v="4.166666666666667"/>
    <n v="0.17199999999999999"/>
    <x v="49"/>
  </r>
  <r>
    <n v="0.73499999999999999"/>
    <n v="123"/>
    <n v="0.71399999999999997"/>
    <x v="24"/>
    <n v="0.68"/>
    <s v="Los Enanitos Verdes"/>
    <n v="77"/>
    <s v="Spanish Rock Classics"/>
    <s v="Lamento Boliviano"/>
    <d v="1994-01-01T00:00:00"/>
    <n v="0"/>
    <n v="4"/>
    <n v="3.7"/>
    <n v="0.17599999999999999"/>
    <x v="49"/>
  </r>
  <r>
    <n v="0.94399999999999995"/>
    <n v="105"/>
    <n v="0.39400000000000002"/>
    <x v="24"/>
    <n v="0.26500000000000001"/>
    <s v="Pearl Jam"/>
    <n v="77"/>
    <s v="Rock Classics"/>
    <s v="Even Flow"/>
    <d v="1991-08-27T00:00:00"/>
    <n v="0"/>
    <n v="10"/>
    <n v="4.8666666666666663"/>
    <n v="1.7799999999999999E-3"/>
    <x v="6"/>
  </r>
  <r>
    <n v="0.94399999999999995"/>
    <n v="105"/>
    <n v="0.39400000000000002"/>
    <x v="24"/>
    <n v="0.26500000000000001"/>
    <s v="Pearl Jam"/>
    <n v="77"/>
    <s v="Alternative Rock"/>
    <s v="Even Flow"/>
    <d v="1991-08-27T00:00:00"/>
    <n v="0"/>
    <n v="10"/>
    <n v="4.8666666666666663"/>
    <n v="1.7799999999999999E-3"/>
    <x v="46"/>
  </r>
  <r>
    <n v="0.9"/>
    <n v="104"/>
    <n v="0.42699999999999999"/>
    <x v="24"/>
    <n v="0.59899999999999998"/>
    <s v="Red Hot Chili Peppers"/>
    <n v="77"/>
    <s v="Alternative Rock"/>
    <s v="Snow (Hey Oh)"/>
    <d v="2006-05-09T00:00:00"/>
    <n v="1"/>
    <n v="11"/>
    <n v="5.5666666666666664"/>
    <n v="0.11600000000000001"/>
    <x v="46"/>
  </r>
  <r>
    <n v="0.91300000000000003"/>
    <n v="961"/>
    <n v="0.55600000000000005"/>
    <x v="24"/>
    <n v="0.73"/>
    <s v="Red Hot Chili Peppers"/>
    <n v="77"/>
    <s v="Alternative Rock"/>
    <s v="Dani California"/>
    <d v="2006-05-09T00:00:00"/>
    <n v="1"/>
    <n v="0"/>
    <n v="4.7"/>
    <n v="1.9300000000000001E-2"/>
    <x v="46"/>
  </r>
  <r>
    <n v="0.748"/>
    <n v="134"/>
    <n v="0.61799999999999999"/>
    <x v="24"/>
    <n v="0.66300000000000003"/>
    <s v="The Police"/>
    <n v="77"/>
    <s v="Rock Classics"/>
    <s v="Roxanne"/>
    <d v="1978-11-02T00:00:00"/>
    <n v="1"/>
    <n v="0"/>
    <n v="3.1833333333333331"/>
    <n v="3.8399999999999997E-2"/>
    <x v="6"/>
  </r>
  <r>
    <n v="0.78700000000000003"/>
    <n v="126"/>
    <n v="0.76700000000000002"/>
    <x v="24"/>
    <n v="0.96399999999999997"/>
    <s v="The Smashing Pumpkins"/>
    <n v="77"/>
    <s v="Rock Classics"/>
    <s v="1979 - Remastered 2012"/>
    <d v="1905-06-17T00:00:00"/>
    <n v="1"/>
    <n v="3"/>
    <n v="4.4333333333333336"/>
    <n v="1.6299999999999999E-2"/>
    <x v="6"/>
  </r>
  <r>
    <n v="0.84599999999999997"/>
    <n v="103"/>
    <n v="0.61099999999999999"/>
    <x v="24"/>
    <n v="0.751"/>
    <s v="The Smiths"/>
    <n v="77"/>
    <s v="Feel Good Indie Rock"/>
    <s v="This Charming Man - 2011 Remaster"/>
    <d v="1984-02-20T00:00:00"/>
    <n v="1"/>
    <n v="11"/>
    <n v="2.7"/>
    <n v="5.0899999999999999E-3"/>
    <x v="48"/>
  </r>
  <r>
    <n v="0.749"/>
    <n v="164"/>
    <n v="0.59299999999999997"/>
    <x v="24"/>
    <n v="0.64900000000000002"/>
    <s v="The Strokes"/>
    <n v="77"/>
    <s v="Feel Good Indie Rock"/>
    <s v="The Adults Are Talking"/>
    <d v="2020-04-10T00:00:00"/>
    <n v="1"/>
    <n v="5"/>
    <n v="5.15"/>
    <n v="1.1299999999999999E-2"/>
    <x v="48"/>
  </r>
  <r>
    <n v="0.82799999999999996"/>
    <n v="112"/>
    <n v="0.65400000000000003"/>
    <x v="24"/>
    <n v="0.79"/>
    <s v="Arctic Monkeys"/>
    <n v="76"/>
    <s v="Feel Good Indie Rock"/>
    <s v="Fluorescent Adolescent"/>
    <d v="2007-04-22T00:00:00"/>
    <n v="0"/>
    <n v="1"/>
    <n v="3.05"/>
    <n v="1.4599999999999999E-3"/>
    <x v="48"/>
  </r>
  <r>
    <n v="0.51900000000000002"/>
    <n v="988"/>
    <n v="0.65300000000000002"/>
    <x v="24"/>
    <n v="0.82199999999999995"/>
    <s v="Buffalo Springfield"/>
    <n v="76"/>
    <s v="Rock Classics"/>
    <s v="For What It's Worth"/>
    <d v="1966-12-05T00:00:00"/>
    <n v="1"/>
    <n v="2"/>
    <n v="2.5499999999999998"/>
    <n v="0.40600000000000003"/>
    <x v="6"/>
  </r>
  <r>
    <n v="0.84899999999999998"/>
    <n v="156"/>
    <n v="0.63600000000000001"/>
    <x v="24"/>
    <n v="0.91700000000000004"/>
    <s v="Cage The Elephant"/>
    <n v="76"/>
    <s v="Alternative Rock"/>
    <s v="Ain't No Rest for the Wicked"/>
    <d v="2009-03-24T00:00:00"/>
    <n v="1"/>
    <n v="0"/>
    <n v="2.9166666666666665"/>
    <n v="4.3799999999999999E-2"/>
    <x v="46"/>
  </r>
  <r>
    <n v="0.44900000000000001"/>
    <n v="100"/>
    <n v="0.48599999999999999"/>
    <x v="24"/>
    <n v="0.54900000000000004"/>
    <s v="David Bowie"/>
    <n v="76"/>
    <s v="Rock Classics"/>
    <s v="Starman - 2012 Remaster"/>
    <d v="1972-06-06T00:00:00"/>
    <n v="1"/>
    <n v="5"/>
    <n v="4.2333333333333334"/>
    <n v="0.16600000000000001"/>
    <x v="6"/>
  </r>
  <r>
    <n v="0.33800000000000002"/>
    <n v="177"/>
    <n v="0.38800000000000001"/>
    <x v="24"/>
    <n v="0.47799999999999998"/>
    <s v="Electric Light Orchestra"/>
    <n v="76"/>
    <s v="Rock Classics"/>
    <s v="Mr. Blue Sky"/>
    <d v="1905-05-30T00:00:00"/>
    <n v="1"/>
    <n v="10"/>
    <n v="5.05"/>
    <n v="0.65200000000000002"/>
    <x v="6"/>
  </r>
  <r>
    <n v="0.71499999999999997"/>
    <n v="137"/>
    <n v="0.27600000000000002"/>
    <x v="24"/>
    <n v="0.17299999999999999"/>
    <s v="Kings of Leon"/>
    <n v="76"/>
    <s v="Alternative Rock"/>
    <s v="Use Somebody"/>
    <d v="2008-09-23T00:00:00"/>
    <n v="1"/>
    <n v="0"/>
    <n v="3.8333333333333335"/>
    <n v="5.5199999999999997E-3"/>
    <x v="46"/>
  </r>
  <r>
    <n v="0.97199999999999998"/>
    <n v="110"/>
    <n v="0.58499999999999996"/>
    <x v="24"/>
    <n v="0.58499999999999996"/>
    <s v="Linkin Park"/>
    <n v="76"/>
    <s v="Alternative Rock"/>
    <s v="BURN IT DOWN"/>
    <d v="2012-06-19T00:00:00"/>
    <n v="0"/>
    <n v="9"/>
    <n v="3.8333333333333335"/>
    <n v="1.43E-2"/>
    <x v="46"/>
  </r>
  <r>
    <n v="0.82399999999999995"/>
    <n v="120"/>
    <n v="0.5"/>
    <x v="24"/>
    <n v="0.53900000000000003"/>
    <s v="Nirvana"/>
    <n v="76"/>
    <s v="Rock Classics"/>
    <s v="Come As You Are"/>
    <d v="1991-09-26T00:00:00"/>
    <n v="0"/>
    <n v="4"/>
    <n v="3.6333333333333333"/>
    <n v="1.6000000000000001E-4"/>
    <x v="6"/>
  </r>
  <r>
    <n v="0.91200000000000003"/>
    <n v="116"/>
    <n v="0.502"/>
    <x v="24"/>
    <n v="0.72"/>
    <s v="Nirvana"/>
    <n v="76"/>
    <s v="Rock Classics"/>
    <s v="Smells Like Teen Spirit"/>
    <d v="1991-09-26T00:00:00"/>
    <n v="1"/>
    <n v="1"/>
    <n v="5.0166666666666666"/>
    <n v="2.55E-5"/>
    <x v="6"/>
  </r>
  <r>
    <n v="0.23899999999999999"/>
    <n v="189"/>
    <n v="0.44600000000000001"/>
    <x v="24"/>
    <n v="0.29799999999999999"/>
    <s v="Phil Collins"/>
    <n v="76"/>
    <s v="Rock Classics"/>
    <s v="In The Air Tonight - 2015 Remastered"/>
    <d v="1981-01-01T00:00:00"/>
    <n v="1"/>
    <n v="0"/>
    <n v="5.6"/>
    <n v="0.55100000000000005"/>
    <x v="6"/>
  </r>
  <r>
    <n v="0.441"/>
    <n v="813"/>
    <n v="0.51900000000000002"/>
    <x v="24"/>
    <n v="0.25"/>
    <s v="Pixies"/>
    <n v="76"/>
    <s v="Rock Classics"/>
    <s v="Where Is My Mind? - 2007 Remaster"/>
    <d v="1988-03-21T00:00:00"/>
    <n v="1"/>
    <n v="4"/>
    <n v="3.9"/>
    <n v="2.0400000000000001E-2"/>
    <x v="6"/>
  </r>
  <r>
    <n v="0.92400000000000004"/>
    <n v="168"/>
    <n v="0.59799999999999998"/>
    <x v="24"/>
    <n v="0.61099999999999999"/>
    <s v="Royel Otis"/>
    <n v="76"/>
    <s v="Feel Good Indie Rock"/>
    <s v="Oysters In My Pocket"/>
    <d v="2022-03-10T00:00:00"/>
    <n v="0"/>
    <n v="6"/>
    <n v="2.7"/>
    <n v="2.0500000000000001E-2"/>
    <x v="48"/>
  </r>
  <r>
    <n v="0.82799999999999996"/>
    <n v="105"/>
    <n v="0.35"/>
    <x v="24"/>
    <n v="0.14699999999999999"/>
    <s v="Soundgarden"/>
    <n v="76"/>
    <s v="Rock Classics"/>
    <s v="Black Hole Sun"/>
    <d v="1994-03-09T00:00:00"/>
    <n v="1"/>
    <n v="6"/>
    <n v="5.3"/>
    <n v="2.1699999999999999E-4"/>
    <x v="6"/>
  </r>
  <r>
    <n v="0.52100000000000002"/>
    <n v="123"/>
    <n v="0.72099999999999997"/>
    <x v="24"/>
    <n v="0.94199999999999995"/>
    <s v="Talking Heads"/>
    <n v="76"/>
    <s v="Rock Classics"/>
    <s v="Psycho Killer - 2005 Remaster"/>
    <d v="1977-09-16T00:00:00"/>
    <n v="1"/>
    <n v="2"/>
    <n v="4.3499999999999996"/>
    <n v="7.0800000000000002E-2"/>
    <x v="6"/>
  </r>
  <r>
    <n v="0.86299999999999999"/>
    <n v="136"/>
    <n v="0.72299999999999998"/>
    <x v="24"/>
    <n v="0.93100000000000005"/>
    <s v="The Rolling Stones"/>
    <n v="76"/>
    <s v="Rock Classics"/>
    <s v="(I Can't Get No) Satisfaction - Mono Version"/>
    <d v="1965-07-30T00:00:00"/>
    <n v="1"/>
    <n v="2"/>
    <n v="3.7"/>
    <n v="3.8300000000000001E-2"/>
    <x v="6"/>
  </r>
  <r>
    <n v="0.93200000000000005"/>
    <n v="122"/>
    <n v="0.63100000000000001"/>
    <x v="24"/>
    <n v="0.97099999999999997"/>
    <s v="The Rolling Stones"/>
    <n v="76"/>
    <s v="80s Rock Anthems"/>
    <s v="Start Me Up - Remastered 2009"/>
    <d v="1981-08-24T00:00:00"/>
    <n v="1"/>
    <n v="5"/>
    <n v="3.55"/>
    <n v="4.2900000000000001E-2"/>
    <x v="47"/>
  </r>
  <r>
    <n v="0.92700000000000005"/>
    <n v="141"/>
    <n v="0.33300000000000002"/>
    <x v="24"/>
    <n v="0.38500000000000001"/>
    <s v="Bluester Cult"/>
    <n v="75"/>
    <s v="Rock Classics"/>
    <s v="(Don't Fear) The Reaper"/>
    <d v="1905-05-29T00:00:00"/>
    <n v="0"/>
    <n v="9"/>
    <n v="5.1333333333333337"/>
    <n v="2.8999999999999998E-3"/>
    <x v="6"/>
  </r>
  <r>
    <n v="0.52300000000000002"/>
    <n v="173"/>
    <n v="0.45200000000000001"/>
    <x v="24"/>
    <n v="0.36299999999999999"/>
    <s v="Camila"/>
    <n v="75"/>
    <s v="Spanish Rock Classics"/>
    <s v="Todo Cambi√≥"/>
    <d v="1905-06-28T00:00:00"/>
    <n v="1"/>
    <n v="5"/>
    <n v="3.2166666666666668"/>
    <n v="0.56299999999999994"/>
    <x v="49"/>
  </r>
  <r>
    <n v="0.58899999999999997"/>
    <n v="124"/>
    <n v="0.45500000000000002"/>
    <x v="24"/>
    <n v="0.254"/>
    <s v="Guns N' Roses"/>
    <n v="75"/>
    <s v="Rock Classics"/>
    <s v="Don't Cry (Original)"/>
    <d v="1991-09-17T00:00:00"/>
    <n v="1"/>
    <n v="11"/>
    <n v="4.7166666666666668"/>
    <n v="1.8400000000000001E-3"/>
    <x v="6"/>
  </r>
  <r>
    <n v="0.93200000000000005"/>
    <n v="112"/>
    <n v="0.56399999999999995"/>
    <x v="24"/>
    <n v="0.61899999999999999"/>
    <s v="Led Zeppelin"/>
    <n v="75"/>
    <s v="Rock Classics"/>
    <s v="Immigrant Song - Remaster"/>
    <d v="1905-05-23T00:00:00"/>
    <n v="1"/>
    <n v="11"/>
    <n v="2.4333333333333331"/>
    <n v="1.2999999999999999E-2"/>
    <x v="6"/>
  </r>
  <r>
    <n v="0.83399999999999996"/>
    <n v="118"/>
    <n v="0.249"/>
    <x v="24"/>
    <n v="0.33700000000000002"/>
    <s v="Lynyrd Skynyrd"/>
    <n v="75"/>
    <s v="Southern Rock"/>
    <s v="Free Bird"/>
    <d v="1973-01-01T00:00:00"/>
    <n v="1"/>
    <n v="0"/>
    <n v="9.1166666666666671"/>
    <n v="7.4200000000000002E-2"/>
    <x v="50"/>
  </r>
  <r>
    <n v="0.90500000000000003"/>
    <n v="128"/>
    <n v="0.60199999999999998"/>
    <x v="24"/>
    <n v="0.41099999999999998"/>
    <s v="Muse"/>
    <n v="75"/>
    <s v="Rock Classics"/>
    <s v="Uprising"/>
    <d v="2009-09-10T00:00:00"/>
    <n v="1"/>
    <n v="2"/>
    <n v="5.0666666666666664"/>
    <n v="2.02E-4"/>
    <x v="6"/>
  </r>
  <r>
    <n v="0.90500000000000003"/>
    <n v="128"/>
    <n v="0.60199999999999998"/>
    <x v="24"/>
    <n v="0.41099999999999998"/>
    <s v="Muse"/>
    <n v="75"/>
    <s v="Alternative Rock"/>
    <s v="Uprising"/>
    <d v="2009-09-10T00:00:00"/>
    <n v="1"/>
    <n v="2"/>
    <n v="5.0666666666666664"/>
    <n v="2.02E-4"/>
    <x v="46"/>
  </r>
  <r>
    <n v="0.26200000000000001"/>
    <n v="122"/>
    <n v="0.48099999999999998"/>
    <x v="24"/>
    <n v="0.375"/>
    <s v="Pink Floyd"/>
    <n v="75"/>
    <s v="Rock Classics"/>
    <s v="Wish You Were Here"/>
    <d v="1975-09-12T00:00:00"/>
    <n v="1"/>
    <n v="7"/>
    <n v="5.5666666666666664"/>
    <n v="0.73499999999999999"/>
    <x v="6"/>
  </r>
  <r>
    <n v="0.376"/>
    <n v="164"/>
    <n v="0.53"/>
    <x v="24"/>
    <n v="0.188"/>
    <s v="The Beatles"/>
    <n v="75"/>
    <s v="Rock Classics"/>
    <s v="Come Together - Remastered 2009"/>
    <d v="1969-09-26T00:00:00"/>
    <n v="0"/>
    <n v="9"/>
    <n v="4.3166666666666664"/>
    <n v="3.04E-2"/>
    <x v="6"/>
  </r>
  <r>
    <n v="0.80800000000000005"/>
    <n v="151"/>
    <n v="0.57699999999999996"/>
    <x v="24"/>
    <n v="0.86899999999999999"/>
    <s v="The Police"/>
    <n v="75"/>
    <s v="Rock Classics"/>
    <s v="Message In A Bottle"/>
    <d v="1979-10-02T00:00:00"/>
    <n v="0"/>
    <n v="1"/>
    <n v="4.833333333333333"/>
    <n v="3.3799999999999997E-2"/>
    <x v="6"/>
  </r>
  <r>
    <n v="0.44900000000000001"/>
    <n v="843"/>
    <n v="0.623"/>
    <x v="24"/>
    <n v="0.57299999999999995"/>
    <s v="Tom Petty"/>
    <n v="75"/>
    <s v="Rock Classics"/>
    <s v="Free Fallin'"/>
    <d v="1989-01-01T00:00:00"/>
    <n v="1"/>
    <n v="5"/>
    <n v="4.2666666666666666"/>
    <n v="0.21199999999999999"/>
    <x v="6"/>
  </r>
  <r>
    <n v="0.44900000000000001"/>
    <n v="843"/>
    <n v="0.623"/>
    <x v="24"/>
    <n v="0.57299999999999995"/>
    <s v="Tom Petty"/>
    <n v="75"/>
    <s v="80s Rock Anthems"/>
    <s v="Free Fallin'"/>
    <d v="1989-01-01T00:00:00"/>
    <n v="1"/>
    <n v="5"/>
    <n v="4.2666666666666666"/>
    <n v="0.21199999999999999"/>
    <x v="47"/>
  </r>
  <r>
    <n v="0.83499999999999996"/>
    <n v="129"/>
    <n v="0.57199999999999995"/>
    <x v="24"/>
    <n v="0.79500000000000004"/>
    <s v="Van Halen"/>
    <n v="75"/>
    <s v="80s Rock Anthems"/>
    <s v="Jump - 2015 Remaster"/>
    <d v="1984-01-04T00:00:00"/>
    <n v="1"/>
    <n v="0"/>
    <n v="4.0166666666666666"/>
    <n v="0.17100000000000001"/>
    <x v="47"/>
  </r>
  <r>
    <n v="0.94099999999999995"/>
    <n v="119"/>
    <n v="0.502"/>
    <x v="24"/>
    <n v="0.124"/>
    <s v="Yeah Yeah Yeahs"/>
    <n v="75"/>
    <s v="Alternative Rock"/>
    <s v="Maps"/>
    <d v="2003-04-29T00:00:00"/>
    <n v="1"/>
    <n v="7"/>
    <n v="3.65"/>
    <n v="3.4600000000000001E-4"/>
    <x v="46"/>
  </r>
  <r>
    <n v="0.73099999999999998"/>
    <n v="149"/>
    <n v="0.58299999999999996"/>
    <x v="24"/>
    <n v="0.44600000000000001"/>
    <s v="Cafie Tacvba"/>
    <n v="74"/>
    <s v="Spanish Rock Classics"/>
    <s v="Eres"/>
    <d v="2003-07-01T00:00:00"/>
    <n v="0"/>
    <n v="9"/>
    <n v="4.45"/>
    <n v="1.0699999999999999E-2"/>
    <x v="49"/>
  </r>
  <r>
    <n v="0.58799999999999997"/>
    <n v="144"/>
    <n v="0.42399999999999999"/>
    <x v="24"/>
    <n v="0.193"/>
    <s v="Coldplay"/>
    <n v="74"/>
    <s v="Alternative Rock"/>
    <s v="In My Place"/>
    <d v="2002-08-27T00:00:00"/>
    <n v="1"/>
    <n v="9"/>
    <n v="3.7666666666666666"/>
    <n v="5.5300000000000002E-2"/>
    <x v="46"/>
  </r>
  <r>
    <n v="0.58499999999999996"/>
    <n v="109"/>
    <n v="0.77500000000000002"/>
    <x v="24"/>
    <n v="0.51800000000000002"/>
    <s v="Daft Punk, Julian Casablancas"/>
    <n v="74"/>
    <s v="Indie Rock Roadtrip"/>
    <s v="Instant Crush (feat. Julian Casablancas)"/>
    <d v="2013-05-20T00:00:00"/>
    <n v="0"/>
    <n v="10"/>
    <n v="5.6166666666666663"/>
    <n v="4.2200000000000001E-2"/>
    <x v="17"/>
  </r>
  <r>
    <n v="0.48199999999999998"/>
    <n v="138"/>
    <n v="0.52900000000000003"/>
    <x v="24"/>
    <n v="0.49199999999999999"/>
    <s v="Don McLean"/>
    <n v="74"/>
    <s v="Rock Classics"/>
    <s v="American Pie"/>
    <d v="1905-05-24T00:00:00"/>
    <n v="0"/>
    <n v="4"/>
    <n v="8.6"/>
    <n v="0.7"/>
    <x v="6"/>
  </r>
  <r>
    <n v="0.84299999999999997"/>
    <n v="117"/>
    <n v="0.52900000000000003"/>
    <x v="24"/>
    <n v="0.188"/>
    <s v="Europe"/>
    <n v="74"/>
    <s v="80s Rock Anthems"/>
    <s v="The Final Countdown"/>
    <d v="1905-06-08T00:00:00"/>
    <n v="0"/>
    <n v="6"/>
    <n v="5.166666666666667"/>
    <n v="6.2799999999999995E-2"/>
    <x v="47"/>
  </r>
  <r>
    <n v="0.93899999999999995"/>
    <n v="106"/>
    <n v="0.64400000000000002"/>
    <x v="24"/>
    <n v="0.86099999999999999"/>
    <s v="Finger Eleven"/>
    <n v="74"/>
    <s v="Alternative Rock"/>
    <s v="Paralyzer"/>
    <d v="2007-01-01T00:00:00"/>
    <n v="0"/>
    <n v="11"/>
    <n v="3.4666666666666668"/>
    <n v="0.157"/>
    <x v="46"/>
  </r>
  <r>
    <n v="0.74199999999999999"/>
    <n v="159"/>
    <n v="0.26800000000000002"/>
    <x v="24"/>
    <n v="0.41599999999999998"/>
    <s v="Green Day"/>
    <n v="74"/>
    <s v="Alternative Rock"/>
    <s v="21 Guns"/>
    <d v="2009-05-15T00:00:00"/>
    <n v="1"/>
    <n v="5"/>
    <n v="5.35"/>
    <n v="5.1799999999999999E-2"/>
    <x v="46"/>
  </r>
  <r>
    <n v="0.69099999999999995"/>
    <n v="137"/>
    <n v="0.54800000000000004"/>
    <x v="24"/>
    <n v="0.66700000000000004"/>
    <s v="Heart"/>
    <n v="74"/>
    <s v="Rock Classics"/>
    <s v="Barracuda"/>
    <d v="1977-05-14T00:00:00"/>
    <n v="0"/>
    <n v="4"/>
    <n v="4.3499999999999996"/>
    <n v="1.4999999999999999E-2"/>
    <x v="6"/>
  </r>
  <r>
    <n v="0.86499999999999999"/>
    <n v="100"/>
    <n v="0.57999999999999996"/>
    <x v="24"/>
    <n v="0.58699999999999997"/>
    <s v="Linkin Park"/>
    <n v="74"/>
    <s v="Alternative Rock"/>
    <s v="Breaking the Habit"/>
    <d v="2003-09-16T00:00:00"/>
    <n v="0"/>
    <n v="4"/>
    <n v="3.2666666666666666"/>
    <n v="0.105"/>
    <x v="46"/>
  </r>
  <r>
    <n v="0.91100000000000003"/>
    <n v="108"/>
    <n v="0.61499999999999999"/>
    <x v="24"/>
    <n v="0.68500000000000005"/>
    <s v="Linkin Park"/>
    <n v="74"/>
    <s v="Alternative Rock"/>
    <s v="CASTLE OF GLASS"/>
    <d v="2012-06-19T00:00:00"/>
    <n v="0"/>
    <n v="1"/>
    <n v="3.4166666666666665"/>
    <n v="6.8599999999999994E-2"/>
    <x v="46"/>
  </r>
  <r>
    <n v="0.318"/>
    <n v="104"/>
    <n v="0.57499999999999996"/>
    <x v="24"/>
    <n v="0.38500000000000001"/>
    <s v="Lou Reed"/>
    <n v="74"/>
    <s v="Rock Classics"/>
    <s v="Walk On the Wild Side"/>
    <d v="1972-12-01T00:00:00"/>
    <n v="1"/>
    <n v="0"/>
    <n v="4.2333333333333334"/>
    <n v="0.68300000000000005"/>
    <x v="6"/>
  </r>
  <r>
    <n v="0.85399999999999998"/>
    <n v="148"/>
    <n v="0.63400000000000001"/>
    <x v="24"/>
    <n v="0.56399999999999995"/>
    <s v="Mani°"/>
    <n v="74"/>
    <s v="Spanish Rock Classics"/>
    <s v="Clavado en Un Bar"/>
    <d v="1905-06-19T00:00:00"/>
    <n v="1"/>
    <n v="11"/>
    <n v="5.166666666666667"/>
    <n v="7.3699999999999998E-3"/>
    <x v="49"/>
  </r>
  <r>
    <n v="0.79600000000000004"/>
    <n v="169"/>
    <n v="0.28899999999999998"/>
    <x v="24"/>
    <n v="0.33"/>
    <s v="My Chemical Romance"/>
    <n v="74"/>
    <s v="Alternative Rock"/>
    <s v="I Don't Love You"/>
    <d v="2006-10-23T00:00:00"/>
    <n v="1"/>
    <n v="0"/>
    <n v="3.9666666666666668"/>
    <n v="8.3700000000000007E-3"/>
    <x v="46"/>
  </r>
  <r>
    <n v="0.90100000000000002"/>
    <n v="113"/>
    <n v="0.621"/>
    <x v="24"/>
    <n v="0.74399999999999999"/>
    <s v="New Radicals"/>
    <n v="74"/>
    <s v="Feel Good Indie Rock"/>
    <s v="You Get What You Give"/>
    <d v="1998-01-01T00:00:00"/>
    <n v="1"/>
    <n v="2"/>
    <n v="5"/>
    <n v="0.17"/>
    <x v="48"/>
  </r>
  <r>
    <n v="0.90100000000000002"/>
    <n v="113"/>
    <n v="0.621"/>
    <x v="24"/>
    <n v="0.74399999999999999"/>
    <s v="New Radicals"/>
    <n v="74"/>
    <s v="Alternative Rock"/>
    <s v="You Get What You Give"/>
    <d v="1998-01-01T00:00:00"/>
    <n v="1"/>
    <n v="2"/>
    <n v="5"/>
    <n v="0.17"/>
    <x v="46"/>
  </r>
  <r>
    <n v="0.39400000000000002"/>
    <n v="104"/>
    <n v="0.69299999999999995"/>
    <x v="24"/>
    <n v="0.72099999999999997"/>
    <s v="Pink Floyd"/>
    <n v="74"/>
    <s v="Rock Classics"/>
    <s v="Another Brick in the Wall, Pt. 2"/>
    <d v="1979-11-30T00:00:00"/>
    <n v="1"/>
    <n v="0"/>
    <n v="3.9666666666666668"/>
    <n v="7.8200000000000006E-2"/>
    <x v="6"/>
  </r>
  <r>
    <n v="0.97"/>
    <n v="122"/>
    <n v="0.45100000000000001"/>
    <x v="24"/>
    <n v="0.19800000000000001"/>
    <s v="Red Hot Chili Peppers"/>
    <n v="74"/>
    <s v="Alternative Rock"/>
    <s v="By the Way"/>
    <d v="2002-07-09T00:00:00"/>
    <n v="1"/>
    <n v="0"/>
    <n v="3.6"/>
    <n v="2.64E-2"/>
    <x v="46"/>
  </r>
  <r>
    <n v="0.50900000000000001"/>
    <n v="119"/>
    <n v="0.89800000000000002"/>
    <x v="24"/>
    <n v="0.72699999999999998"/>
    <s v="Rex Orange County"/>
    <n v="74"/>
    <s v="Feel Good Indie Rock"/>
    <s v="THE SHADE"/>
    <d v="2022-03-11T00:00:00"/>
    <n v="1"/>
    <n v="5"/>
    <n v="3.0166666666666666"/>
    <n v="0.39100000000000001"/>
    <x v="48"/>
  </r>
  <r>
    <n v="0.873"/>
    <n v="106"/>
    <n v="0.38900000000000001"/>
    <x v="24"/>
    <n v="0.30299999999999999"/>
    <s v="AC/DC"/>
    <n v="73"/>
    <s v="80s Rock Anthems"/>
    <s v="Hells Bells"/>
    <d v="1980-07-25T00:00:00"/>
    <n v="0"/>
    <n v="4"/>
    <n v="5.2"/>
    <n v="5.3200000000000001E-3"/>
    <x v="47"/>
  </r>
  <r>
    <n v="0.83899999999999997"/>
    <n v="143"/>
    <n v="0.57199999999999995"/>
    <x v="24"/>
    <n v="0.46500000000000002"/>
    <s v="Beach Weather"/>
    <n v="73"/>
    <s v="Alternative Rock"/>
    <s v="Sex, Drugs, Etc."/>
    <d v="2016-11-04T00:00:00"/>
    <n v="0"/>
    <n v="4"/>
    <n v="3.2666666666666666"/>
    <n v="1.2999999999999999E-2"/>
    <x v="46"/>
  </r>
  <r>
    <n v="0.57199999999999995"/>
    <n v="131"/>
    <n v="0.63600000000000001"/>
    <x v="24"/>
    <n v="0.66"/>
    <s v="Big Thief"/>
    <n v="73"/>
    <s v="Feel Good Indie Rock"/>
    <s v="Vampire Empire"/>
    <d v="2023-07-19T00:00:00"/>
    <n v="1"/>
    <n v="9"/>
    <n v="3.2"/>
    <n v="0.28699999999999998"/>
    <x v="48"/>
  </r>
  <r>
    <n v="0.47599999999999998"/>
    <n v="148"/>
    <n v="0.38900000000000001"/>
    <x v="24"/>
    <n v="0.56599999999999995"/>
    <s v="Blind Melon"/>
    <n v="73"/>
    <s v="Rock Classics"/>
    <s v="No Rain"/>
    <d v="1992-01-01T00:00:00"/>
    <n v="1"/>
    <n v="9"/>
    <n v="3.6166666666666667"/>
    <n v="0.61899999999999999"/>
    <x v="6"/>
  </r>
  <r>
    <n v="0.55300000000000005"/>
    <n v="126"/>
    <n v="0.48699999999999999"/>
    <x v="24"/>
    <n v="0.69899999999999995"/>
    <s v="Caifanes"/>
    <n v="73"/>
    <s v="Spanish Rock Classics"/>
    <s v="Afuera"/>
    <d v="1905-06-16T00:00:00"/>
    <n v="0"/>
    <n v="6"/>
    <n v="4.8"/>
    <n v="0.20899999999999999"/>
    <x v="49"/>
  </r>
  <r>
    <n v="0.54900000000000004"/>
    <n v="176"/>
    <n v="0.51600000000000001"/>
    <x v="24"/>
    <n v="0.90700000000000003"/>
    <s v="Don Henley"/>
    <n v="73"/>
    <s v="Rock Classics"/>
    <s v="The Boys Of Summer"/>
    <d v="1984-11-19T00:00:00"/>
    <n v="1"/>
    <n v="6"/>
    <n v="4.8"/>
    <n v="0.501"/>
    <x v="6"/>
  </r>
  <r>
    <n v="0.54900000000000004"/>
    <n v="176"/>
    <n v="0.51600000000000001"/>
    <x v="24"/>
    <n v="0.90700000000000003"/>
    <s v="Don Henley"/>
    <n v="73"/>
    <s v="80s Rock Anthems"/>
    <s v="The Boys Of Summer"/>
    <d v="1984-11-19T00:00:00"/>
    <n v="1"/>
    <n v="6"/>
    <n v="4.8"/>
    <n v="0.501"/>
    <x v="47"/>
  </r>
  <r>
    <n v="0.91900000000000004"/>
    <n v="135"/>
    <n v="0.46500000000000002"/>
    <x v="24"/>
    <n v="0.53700000000000003"/>
    <s v="Foo Fighters"/>
    <n v="73"/>
    <s v="Rock Classics"/>
    <s v="Learn to Fly"/>
    <d v="1999-11-02T00:00:00"/>
    <n v="1"/>
    <n v="4"/>
    <n v="3.9166666666666665"/>
    <n v="1.8300000000000001E-5"/>
    <x v="6"/>
  </r>
  <r>
    <n v="0.78600000000000003"/>
    <n v="126"/>
    <n v="0.48199999999999998"/>
    <x v="24"/>
    <n v="0.79300000000000004"/>
    <s v="Kansas"/>
    <n v="73"/>
    <s v="Rock Classics"/>
    <s v="Carry on Wayward Son"/>
    <d v="1905-05-29T00:00:00"/>
    <n v="1"/>
    <n v="7"/>
    <n v="5.3833333333333337"/>
    <n v="3.2100000000000002E-3"/>
    <x v="6"/>
  </r>
  <r>
    <n v="0.83899999999999997"/>
    <n v="940"/>
    <n v="0.51700000000000002"/>
    <x v="24"/>
    <n v="0.41599999999999998"/>
    <s v="Keane"/>
    <n v="73"/>
    <s v="Alternative Rock"/>
    <s v="Everybody's Changing"/>
    <d v="2004-05-10T00:00:00"/>
    <n v="1"/>
    <n v="0"/>
    <n v="3.5833333333333335"/>
    <n v="1.4E-3"/>
    <x v="46"/>
  </r>
  <r>
    <n v="0.872"/>
    <n v="159"/>
    <n v="0.58699999999999997"/>
    <x v="24"/>
    <n v="0.73499999999999999"/>
    <s v="Lenny Kravitz"/>
    <n v="73"/>
    <s v="Rock Classics"/>
    <s v="Fly Away"/>
    <d v="1998-05-12T00:00:00"/>
    <n v="1"/>
    <n v="7"/>
    <n v="3.6833333333333331"/>
    <n v="1.7999999999999999E-2"/>
    <x v="6"/>
  </r>
  <r>
    <n v="0.752"/>
    <n v="120"/>
    <n v="0.42199999999999999"/>
    <x v="24"/>
    <n v="0.40400000000000003"/>
    <s v="Lynyrd Skynyrd"/>
    <n v="73"/>
    <s v="Southern Rock"/>
    <s v="Simple Man"/>
    <d v="1973-01-01T00:00:00"/>
    <n v="1"/>
    <n v="6"/>
    <n v="5.9333333333333336"/>
    <n v="3.6600000000000001E-2"/>
    <x v="50"/>
  </r>
  <r>
    <n v="0.94"/>
    <n v="100"/>
    <n v="0.438"/>
    <x v="24"/>
    <n v="0.42099999999999999"/>
    <s v="MGMT"/>
    <n v="73"/>
    <s v="Indie Rock Roadtrip"/>
    <s v="Time to Pretend"/>
    <d v="2007-12-14T00:00:00"/>
    <n v="1"/>
    <n v="2"/>
    <n v="4.3499999999999996"/>
    <n v="8.7399999999999997E-5"/>
    <x v="17"/>
  </r>
  <r>
    <n v="0.94"/>
    <n v="100"/>
    <n v="0.438"/>
    <x v="24"/>
    <n v="0.42099999999999999"/>
    <s v="MGMT"/>
    <n v="73"/>
    <s v="Feel Good Indie Rock"/>
    <s v="Time to Pretend"/>
    <d v="2007-12-14T00:00:00"/>
    <n v="1"/>
    <n v="2"/>
    <n v="4.3499999999999996"/>
    <n v="8.7399999999999997E-5"/>
    <x v="48"/>
  </r>
  <r>
    <n v="0.875"/>
    <n v="750"/>
    <n v="0.28399999999999997"/>
    <x v="24"/>
    <n v="0.59499999999999997"/>
    <s v="Pearl Jam"/>
    <n v="73"/>
    <s v="Rock Classics"/>
    <s v="Alive"/>
    <d v="1991-08-27T00:00:00"/>
    <n v="0"/>
    <n v="11"/>
    <n v="5.666666666666667"/>
    <n v="7.5199999999999998E-3"/>
    <x v="6"/>
  </r>
  <r>
    <n v="0.68400000000000005"/>
    <n v="771"/>
    <n v="0.36"/>
    <x v="24"/>
    <n v="0.2"/>
    <s v="Pearl Jam"/>
    <n v="73"/>
    <s v="Alternative Rock"/>
    <s v="Black"/>
    <d v="1991-08-27T00:00:00"/>
    <n v="0"/>
    <n v="4"/>
    <n v="5.7"/>
    <n v="0.32300000000000001"/>
    <x v="46"/>
  </r>
  <r>
    <n v="0.60299999999999998"/>
    <n v="102"/>
    <n v="0.66"/>
    <x v="24"/>
    <n v="0.52700000000000002"/>
    <s v="The American Dawn"/>
    <n v="73"/>
    <s v="Feel Good Indie Rock"/>
    <s v="Her"/>
    <d v="2024-07-26T00:00:00"/>
    <n v="0"/>
    <n v="3"/>
    <n v="3.5666666666666669"/>
    <n v="5.6600000000000001E-3"/>
    <x v="48"/>
  </r>
  <r>
    <n v="0.94"/>
    <n v="151"/>
    <n v="0.437"/>
    <x v="24"/>
    <n v="0.48"/>
    <s v="The Cure"/>
    <n v="73"/>
    <s v="Alternative Rock"/>
    <s v="Just Like Heaven"/>
    <d v="1987-01-01T00:00:00"/>
    <n v="1"/>
    <n v="9"/>
    <n v="3.5333333333333332"/>
    <n v="5.2400000000000002E-2"/>
    <x v="46"/>
  </r>
  <r>
    <n v="0.76800000000000002"/>
    <n v="819"/>
    <n v="0.55800000000000005"/>
    <x v="24"/>
    <n v="0.42899999999999999"/>
    <s v="The Police"/>
    <n v="73"/>
    <s v="80s Rock Anthems"/>
    <s v="Every Little Thing She Does Is Magic"/>
    <d v="1981-10-02T00:00:00"/>
    <n v="1"/>
    <n v="2"/>
    <n v="4.333333333333333"/>
    <n v="0.121"/>
    <x v="47"/>
  </r>
  <r>
    <n v="0.72"/>
    <n v="121"/>
    <n v="0.40400000000000003"/>
    <x v="24"/>
    <n v="0.47499999999999998"/>
    <s v="The Smashing Pumpkins"/>
    <n v="73"/>
    <s v="Rock Classics"/>
    <s v="Bullet With Butterfly Wings - Remastered 2012"/>
    <d v="1905-06-17T00:00:00"/>
    <n v="0"/>
    <n v="10"/>
    <n v="4.3"/>
    <n v="5.5899999999999997E-5"/>
    <x v="6"/>
  </r>
  <r>
    <n v="0.47799999999999998"/>
    <n v="114"/>
    <n v="0.76600000000000001"/>
    <x v="24"/>
    <n v="0.96499999999999997"/>
    <s v="Tom Petty"/>
    <n v="73"/>
    <s v="80s Rock Anthems"/>
    <s v="I Won't Back Down"/>
    <d v="1989-01-01T00:00:00"/>
    <n v="1"/>
    <n v="7"/>
    <n v="2.9666666666666668"/>
    <n v="5.1299999999999998E-2"/>
    <x v="47"/>
  </r>
  <r>
    <n v="0.84199999999999997"/>
    <n v="100"/>
    <n v="0.29699999999999999"/>
    <x v="24"/>
    <n v="0.58599999999999997"/>
    <s v="Alice In Chains"/>
    <n v="72"/>
    <s v="Rock Classics"/>
    <s v="Would? (2022 Remaster)"/>
    <d v="1992-09-29T00:00:00"/>
    <n v="1"/>
    <n v="6"/>
    <n v="3.4333333333333331"/>
    <n v="2.8600000000000001E-4"/>
    <x v="6"/>
  </r>
  <r>
    <n v="0.84199999999999997"/>
    <n v="100"/>
    <n v="0.29699999999999999"/>
    <x v="24"/>
    <n v="0.58599999999999997"/>
    <s v="Alice In Chains"/>
    <n v="72"/>
    <s v="Alternative Rock"/>
    <s v="Would? (2022 Remaster)"/>
    <d v="1992-09-29T00:00:00"/>
    <n v="1"/>
    <n v="6"/>
    <n v="3.4333333333333331"/>
    <n v="2.8600000000000001E-4"/>
    <x v="46"/>
  </r>
  <r>
    <n v="0.89900000000000002"/>
    <n v="152"/>
    <n v="0.47499999999999998"/>
    <x v="24"/>
    <n v="0.60299999999999998"/>
    <s v="Bon Jovi"/>
    <n v="72"/>
    <s v="Rock Classics"/>
    <s v="Runaway"/>
    <d v="1984-01-23T00:00:00"/>
    <n v="0"/>
    <n v="9"/>
    <n v="3.8333333333333335"/>
    <n v="3.7499999999999999E-3"/>
    <x v="6"/>
  </r>
  <r>
    <n v="0.80300000000000005"/>
    <n v="150"/>
    <n v="0.253"/>
    <x v="24"/>
    <n v="0.25800000000000001"/>
    <s v="Bon Jovi"/>
    <n v="72"/>
    <s v="80s Rock Anthems"/>
    <s v="Wanted Dead Or Alive"/>
    <d v="1986-08-16T00:00:00"/>
    <n v="1"/>
    <n v="7"/>
    <n v="5.1333333333333337"/>
    <n v="0.129"/>
    <x v="47"/>
  </r>
  <r>
    <n v="0.89900000000000002"/>
    <n v="152"/>
    <n v="0.47499999999999998"/>
    <x v="24"/>
    <n v="0.60299999999999998"/>
    <s v="Bon Jovi"/>
    <n v="72"/>
    <s v="80s Rock Anthems"/>
    <s v="Runaway"/>
    <d v="1984-01-23T00:00:00"/>
    <n v="0"/>
    <n v="9"/>
    <n v="3.8333333333333335"/>
    <n v="3.7499999999999999E-3"/>
    <x v="47"/>
  </r>
  <r>
    <n v="0.79800000000000004"/>
    <n v="126"/>
    <n v="0.502"/>
    <x v="24"/>
    <n v="0.307"/>
    <s v="boygenius, Julien Baker, Phoebe Bridgers, Lucy Dacus"/>
    <n v="72"/>
    <s v="Feel Good Indie Rock"/>
    <s v="Not Strong Enough"/>
    <d v="2023-03-31T00:00:00"/>
    <n v="1"/>
    <n v="1"/>
    <n v="3.9"/>
    <n v="2.9099999999999998E-3"/>
    <x v="48"/>
  </r>
  <r>
    <n v="0.95199999999999996"/>
    <n v="122"/>
    <n v="0.39800000000000002"/>
    <x v="24"/>
    <n v="0.58399999999999996"/>
    <s v="Bruce Springsteen"/>
    <n v="72"/>
    <s v="Rock Classics"/>
    <s v="Born in the U.S.A."/>
    <d v="1984-06-04T00:00:00"/>
    <n v="1"/>
    <n v="4"/>
    <n v="4.6333333333333337"/>
    <n v="3.7300000000000001E-4"/>
    <x v="6"/>
  </r>
  <r>
    <n v="0.95199999999999996"/>
    <n v="122"/>
    <n v="0.39800000000000002"/>
    <x v="24"/>
    <n v="0.58399999999999996"/>
    <s v="Bruce Springsteen"/>
    <n v="72"/>
    <s v="80s Rock Anthems"/>
    <s v="Born in the U.S.A."/>
    <d v="1984-06-04T00:00:00"/>
    <n v="1"/>
    <n v="4"/>
    <n v="4.6333333333333337"/>
    <n v="3.7300000000000001E-4"/>
    <x v="47"/>
  </r>
  <r>
    <n v="0.47899999999999998"/>
    <n v="123"/>
    <n v="0.42499999999999999"/>
    <x v="24"/>
    <n v="0.27900000000000003"/>
    <s v="Caifanes"/>
    <n v="72"/>
    <s v="Spanish Rock Classics"/>
    <s v="La Celula Que Explota"/>
    <d v="1990-06-19T00:00:00"/>
    <n v="1"/>
    <n v="2"/>
    <n v="3.5833333333333335"/>
    <n v="0.44"/>
    <x v="49"/>
  </r>
  <r>
    <n v="0.75800000000000001"/>
    <n v="112"/>
    <n v="0.48899999999999999"/>
    <x v="24"/>
    <n v="0.435"/>
    <s v="David Bowie"/>
    <n v="72"/>
    <s v="Rock Classics"/>
    <s v="Heroes - 2017 Remaster"/>
    <d v="1905-05-30T00:00:00"/>
    <n v="1"/>
    <n v="7"/>
    <n v="6.1833333333333336"/>
    <n v="6.78E-4"/>
    <x v="6"/>
  </r>
  <r>
    <n v="0.75800000000000001"/>
    <n v="112"/>
    <n v="0.48899999999999999"/>
    <x v="24"/>
    <n v="0.435"/>
    <s v="David Bowie"/>
    <n v="72"/>
    <s v="80s Rock Anthems"/>
    <s v="Heroes - 2017 Remaster"/>
    <d v="1905-05-30T00:00:00"/>
    <n v="1"/>
    <n v="7"/>
    <n v="6.1833333333333336"/>
    <n v="6.78E-4"/>
    <x v="47"/>
  </r>
  <r>
    <n v="0.95299999999999996"/>
    <n v="849"/>
    <n v="0.26700000000000002"/>
    <x v="24"/>
    <n v="0.56799999999999995"/>
    <s v="Def Leppard"/>
    <n v="72"/>
    <s v="Rock Classics"/>
    <s v="Pour Some Sugar On Me - Remastered 2017"/>
    <d v="1987-08-03T00:00:00"/>
    <n v="0"/>
    <n v="1"/>
    <n v="4.45"/>
    <n v="2.1099999999999999E-3"/>
    <x v="6"/>
  </r>
  <r>
    <n v="0.95299999999999996"/>
    <n v="849"/>
    <n v="0.26700000000000002"/>
    <x v="24"/>
    <n v="0.56799999999999995"/>
    <s v="Def Leppard"/>
    <n v="72"/>
    <s v="80s Rock Anthems"/>
    <s v="Pour Some Sugar On Me - Remastered 2017"/>
    <d v="1987-08-03T00:00:00"/>
    <n v="0"/>
    <n v="1"/>
    <n v="4.45"/>
    <n v="2.1099999999999999E-3"/>
    <x v="47"/>
  </r>
  <r>
    <n v="0.95699999999999996"/>
    <n v="105"/>
    <n v="0.60599999999999998"/>
    <x v="24"/>
    <n v="0.60299999999999998"/>
    <s v="Jet"/>
    <n v="72"/>
    <s v="Indie Rock Roadtrip"/>
    <s v="Are You Gonna Be My Girl"/>
    <d v="1905-06-25T00:00:00"/>
    <n v="1"/>
    <n v="2"/>
    <n v="3.55"/>
    <n v="1.17E-3"/>
    <x v="17"/>
  </r>
  <r>
    <n v="0.80500000000000005"/>
    <n v="113"/>
    <n v="0.438"/>
    <x v="24"/>
    <n v="0.56399999999999995"/>
    <s v="Jimi Hendrix"/>
    <n v="72"/>
    <s v="Rock Classics"/>
    <s v="All Along the Watchtower"/>
    <d v="1968-10-25T00:00:00"/>
    <n v="1"/>
    <n v="8"/>
    <n v="4"/>
    <n v="2.5500000000000002E-3"/>
    <x v="6"/>
  </r>
  <r>
    <n v="0.80200000000000005"/>
    <n v="119"/>
    <n v="0.49099999999999999"/>
    <x v="24"/>
    <n v="0.47199999999999998"/>
    <s v="Journey"/>
    <n v="72"/>
    <s v="80s Rock Anthems"/>
    <s v="Don't Stop Believin'"/>
    <d v="2001-10-16T00:00:00"/>
    <n v="1"/>
    <n v="4"/>
    <n v="4.1333333333333337"/>
    <n v="0.25"/>
    <x v="47"/>
  </r>
  <r>
    <n v="0.73099999999999998"/>
    <n v="970"/>
    <n v="0.751"/>
    <x v="24"/>
    <n v="0.97299999999999998"/>
    <s v="Juanes"/>
    <n v="72"/>
    <s v="Spanish Rock Classics"/>
    <s v="La Camisa Negra"/>
    <d v="2004-01-01T00:00:00"/>
    <n v="0"/>
    <n v="6"/>
    <n v="3.6"/>
    <n v="8.3799999999999999E-2"/>
    <x v="49"/>
  </r>
  <r>
    <n v="0.84"/>
    <n v="970"/>
    <n v="0.67300000000000004"/>
    <x v="24"/>
    <n v="0.94"/>
    <s v="Juanes"/>
    <n v="72"/>
    <s v="Spanish Rock Classics"/>
    <s v="A Dios Le Pido"/>
    <d v="2002-01-01T00:00:00"/>
    <n v="1"/>
    <n v="7"/>
    <n v="3.4166666666666665"/>
    <n v="6.83E-2"/>
    <x v="49"/>
  </r>
  <r>
    <n v="0.90200000000000002"/>
    <n v="897"/>
    <n v="0.41199999999999998"/>
    <x v="24"/>
    <n v="0.42199999999999999"/>
    <s v="Led Zeppelin"/>
    <n v="72"/>
    <s v="Rock Classics"/>
    <s v="Whole Lotta Love - 1990 Remaster"/>
    <d v="1969-10-22T00:00:00"/>
    <n v="1"/>
    <n v="9"/>
    <n v="5.55"/>
    <n v="4.8399999999999999E-2"/>
    <x v="6"/>
  </r>
  <r>
    <n v="0.442"/>
    <n v="812"/>
    <n v="0.51300000000000001"/>
    <x v="24"/>
    <n v="0.24299999999999999"/>
    <s v="Pixies"/>
    <n v="72"/>
    <s v="Alternative Rock"/>
    <s v="Where Is My Mind?"/>
    <d v="1997-10-06T00:00:00"/>
    <n v="1"/>
    <n v="4"/>
    <n v="3.8166666666666669"/>
    <n v="7.3099999999999997E-3"/>
    <x v="46"/>
  </r>
  <r>
    <n v="0.93600000000000005"/>
    <n v="915"/>
    <n v="0.66600000000000004"/>
    <x v="24"/>
    <n v="0.77600000000000002"/>
    <s v="Red Hot Chili Peppers"/>
    <n v="72"/>
    <s v="Rock Classics"/>
    <s v="Give It Away"/>
    <d v="1991-09-24T00:00:00"/>
    <n v="1"/>
    <n v="7"/>
    <n v="4.7"/>
    <n v="2.4399999999999999E-3"/>
    <x v="6"/>
  </r>
  <r>
    <n v="0.92700000000000005"/>
    <n v="170"/>
    <n v="0.215"/>
    <x v="24"/>
    <n v="0.49"/>
    <s v="Stone Temple Pilots"/>
    <n v="72"/>
    <s v="Rock Classics"/>
    <s v="Interstate Love Song - 2019 Remaster"/>
    <d v="1994-06-07T00:00:00"/>
    <n v="1"/>
    <n v="9"/>
    <n v="3.2333333333333334"/>
    <n v="2.7300000000000002E-4"/>
    <x v="6"/>
  </r>
  <r>
    <n v="0.751"/>
    <n v="898"/>
    <n v="0.42099999999999999"/>
    <x v="24"/>
    <n v="0.78900000000000003"/>
    <s v="The Doors"/>
    <n v="72"/>
    <s v="Rock Classics"/>
    <s v="Break on Through (To the Other Side)"/>
    <d v="1967-01-04T00:00:00"/>
    <n v="1"/>
    <n v="9"/>
    <n v="2.4166666666666665"/>
    <n v="0.2"/>
    <x v="6"/>
  </r>
  <r>
    <n v="0.97799999999999998"/>
    <n v="141"/>
    <n v="0.52600000000000002"/>
    <x v="24"/>
    <n v="0.45100000000000001"/>
    <s v="Van Halen"/>
    <n v="72"/>
    <s v="Rock Classics"/>
    <s v="Panama - 2015 Remaster"/>
    <d v="1984-01-04T00:00:00"/>
    <n v="1"/>
    <n v="8"/>
    <n v="3.5"/>
    <n v="1.2199999999999999E-3"/>
    <x v="6"/>
  </r>
  <r>
    <n v="0.97799999999999998"/>
    <n v="141"/>
    <n v="0.52600000000000002"/>
    <x v="24"/>
    <n v="0.45100000000000001"/>
    <s v="Van Halen"/>
    <n v="72"/>
    <s v="80s Rock Anthems"/>
    <s v="Panama - 2015 Remaster"/>
    <d v="1984-01-04T00:00:00"/>
    <n v="1"/>
    <n v="8"/>
    <n v="3.5"/>
    <n v="1.2199999999999999E-3"/>
    <x v="47"/>
  </r>
  <r>
    <n v="0.68400000000000005"/>
    <n v="209"/>
    <n v="0.63300000000000001"/>
    <x v="24"/>
    <n v="0.72499999999999998"/>
    <s v="Bakar"/>
    <n v="71"/>
    <s v="Feel Good Indie Rock"/>
    <s v="Hell N Back"/>
    <d v="2019-08-15T00:00:00"/>
    <n v="0"/>
    <n v="10"/>
    <n v="3.55"/>
    <n v="0.314"/>
    <x v="48"/>
  </r>
  <r>
    <n v="0.93799999999999994"/>
    <n v="168"/>
    <n v="0.32400000000000001"/>
    <x v="24"/>
    <n v="0.54300000000000004"/>
    <s v="Beastie Boys"/>
    <n v="71"/>
    <s v="Rock Classics"/>
    <s v="Sabotage"/>
    <d v="1994-05-23T00:00:00"/>
    <n v="0"/>
    <n v="6"/>
    <n v="2.9666666666666668"/>
    <n v="3.2000000000000001E-2"/>
    <x v="6"/>
  </r>
  <r>
    <n v="0.81100000000000005"/>
    <n v="126"/>
    <n v="0.56100000000000005"/>
    <x v="24"/>
    <n v="0.63500000000000001"/>
    <s v="Bryan Adams"/>
    <n v="71"/>
    <s v="80s Rock Anthems"/>
    <s v="Run To You"/>
    <d v="1984-11-05T00:00:00"/>
    <n v="1"/>
    <n v="4"/>
    <n v="3.8833333333333333"/>
    <n v="5.1500000000000001E-3"/>
    <x v="47"/>
  </r>
  <r>
    <n v="0.35099999999999998"/>
    <n v="870"/>
    <n v="0.66500000000000004"/>
    <x v="24"/>
    <n v="0.45100000000000001"/>
    <s v="Crumb"/>
    <n v="71"/>
    <s v="Feel Good Indie Rock"/>
    <s v="Ghostride"/>
    <d v="2019-06-14T00:00:00"/>
    <n v="1"/>
    <n v="2"/>
    <n v="2.1"/>
    <n v="0.51600000000000001"/>
    <x v="48"/>
  </r>
  <r>
    <n v="0.81200000000000006"/>
    <n v="127"/>
    <n v="0.69099999999999995"/>
    <x v="24"/>
    <n v="0.68500000000000005"/>
    <s v="Duran Duran"/>
    <n v="71"/>
    <s v="80s Rock Anthems"/>
    <s v="Hungry Like the Wolf - 2009 Remaster"/>
    <d v="1982-05-10T00:00:00"/>
    <n v="1"/>
    <n v="0"/>
    <n v="3.6666666666666665"/>
    <n v="4.3299999999999998E-2"/>
    <x v="47"/>
  </r>
  <r>
    <n v="0.90800000000000003"/>
    <n v="159"/>
    <n v="0.28499999999999998"/>
    <x v="24"/>
    <n v="0.66900000000000004"/>
    <s v="Iron Maiden"/>
    <n v="71"/>
    <s v="80s Rock Anthems"/>
    <s v="The Trooper - 2015 Remaster"/>
    <d v="1905-06-05T00:00:00"/>
    <n v="0"/>
    <n v="4"/>
    <n v="4.2"/>
    <n v="3.1800000000000002E-2"/>
    <x v="47"/>
  </r>
  <r>
    <n v="0.67"/>
    <n v="129"/>
    <n v="0.61899999999999999"/>
    <x v="24"/>
    <n v="0.77700000000000002"/>
    <s v="Lenny Kravitz"/>
    <n v="71"/>
    <s v="Rock Classics"/>
    <s v="Are You Gonna Go My Way"/>
    <d v="1993-03-09T00:00:00"/>
    <n v="0"/>
    <n v="11"/>
    <n v="3.5166666666666666"/>
    <n v="1.65E-3"/>
    <x v="6"/>
  </r>
  <r>
    <n v="0.63700000000000001"/>
    <n v="804"/>
    <n v="0.51400000000000001"/>
    <x v="24"/>
    <n v="0.18"/>
    <s v="Linkin Park"/>
    <n v="71"/>
    <s v="Alternative Rock"/>
    <s v="Leave Out All The Rest"/>
    <d v="2007-05-14T00:00:00"/>
    <n v="1"/>
    <n v="0"/>
    <n v="3.4833333333333334"/>
    <n v="0.21299999999999999"/>
    <x v="46"/>
  </r>
  <r>
    <n v="0.87"/>
    <n v="164"/>
    <n v="0.28000000000000003"/>
    <x v="24"/>
    <n v="0.28399999999999997"/>
    <s v="Paramore"/>
    <n v="71"/>
    <s v="Alternative Rock"/>
    <s v="Decode"/>
    <d v="2008-11-04T00:00:00"/>
    <n v="0"/>
    <n v="10"/>
    <n v="4.3499999999999996"/>
    <n v="6.8599999999999998E-4"/>
    <x v="46"/>
  </r>
  <r>
    <n v="0.36599999999999999"/>
    <n v="127"/>
    <n v="0.47199999999999998"/>
    <x v="24"/>
    <n v="0.17100000000000001"/>
    <s v="Pink Floyd"/>
    <n v="71"/>
    <s v="Rock Classics"/>
    <s v="Comfortably Numb"/>
    <d v="1979-11-30T00:00:00"/>
    <n v="0"/>
    <n v="11"/>
    <n v="6.3666666666666663"/>
    <n v="0.15"/>
    <x v="6"/>
  </r>
  <r>
    <n v="0.52800000000000002"/>
    <n v="109"/>
    <n v="0.93200000000000005"/>
    <x v="24"/>
    <n v="0.75700000000000001"/>
    <s v="Queen"/>
    <n v="71"/>
    <s v="Rock Classics"/>
    <s v="Another One Bites The Dust - Remastered 2011"/>
    <d v="1980-06-27T00:00:00"/>
    <n v="0"/>
    <n v="5"/>
    <n v="3.5666666666666669"/>
    <n v="0.115"/>
    <x v="6"/>
  </r>
  <r>
    <n v="0.52800000000000002"/>
    <n v="109"/>
    <n v="0.93200000000000005"/>
    <x v="24"/>
    <n v="0.75700000000000001"/>
    <s v="Queen"/>
    <n v="71"/>
    <s v="80s Rock Anthems"/>
    <s v="Another One Bites The Dust - Remastered 2011"/>
    <d v="1980-06-27T00:00:00"/>
    <n v="0"/>
    <n v="5"/>
    <n v="3.5666666666666669"/>
    <n v="0.115"/>
    <x v="47"/>
  </r>
  <r>
    <n v="0.94199999999999995"/>
    <n v="979"/>
    <n v="0.51100000000000001"/>
    <x v="24"/>
    <n v="0.498"/>
    <s v="Tears For Fears"/>
    <n v="71"/>
    <s v="80s Rock Anthems"/>
    <s v="Shout"/>
    <d v="1985-02-25T00:00:00"/>
    <n v="1"/>
    <n v="0"/>
    <n v="6.55"/>
    <n v="0.17399999999999999"/>
    <x v="47"/>
  </r>
  <r>
    <n v="0.872"/>
    <n v="129"/>
    <n v="0.79700000000000004"/>
    <x v="24"/>
    <n v="0.86599999999999999"/>
    <s v="The Clash"/>
    <n v="71"/>
    <s v="80s Rock Anthems"/>
    <s v="Rock the Casbah - Remastered"/>
    <d v="1905-06-04T00:00:00"/>
    <n v="0"/>
    <n v="9"/>
    <n v="3.7"/>
    <n v="0.29099999999999998"/>
    <x v="47"/>
  </r>
  <r>
    <n v="0.79600000000000004"/>
    <n v="105"/>
    <n v="0.6"/>
    <x v="24"/>
    <n v="0.75"/>
    <s v="The Rasmus"/>
    <n v="71"/>
    <s v="Alternative Rock"/>
    <s v="In the Shadows"/>
    <d v="2003-03-24T00:00:00"/>
    <n v="1"/>
    <n v="2"/>
    <n v="4.2833333333333332"/>
    <n v="1.0900000000000001E-4"/>
    <x v="46"/>
  </r>
  <r>
    <n v="0.93"/>
    <n v="190"/>
    <n v="0.39800000000000002"/>
    <x v="24"/>
    <n v="0.72499999999999998"/>
    <s v="The Smiths"/>
    <n v="71"/>
    <s v="80s Rock Anthems"/>
    <s v="How Soon Is Now? - 2011 Remaster"/>
    <d v="1905-06-06T00:00:00"/>
    <n v="1"/>
    <n v="11"/>
    <n v="6.8"/>
    <n v="8.5400000000000005E-4"/>
    <x v="47"/>
  </r>
  <r>
    <n v="0.81399999999999995"/>
    <n v="147"/>
    <n v="0.67300000000000004"/>
    <x v="24"/>
    <n v="0.72799999999999998"/>
    <s v="Billy Idol"/>
    <n v="70"/>
    <s v="Rock Classics"/>
    <s v="White Wedding - Pt. 1"/>
    <d v="1982-01-01T00:00:00"/>
    <n v="1"/>
    <n v="9"/>
    <n v="4.2"/>
    <n v="1.34E-2"/>
    <x v="6"/>
  </r>
  <r>
    <n v="0.94399999999999995"/>
    <n v="146"/>
    <n v="0.27"/>
    <x v="24"/>
    <n v="0.60599999999999998"/>
    <s v="Bruce Springsteen"/>
    <n v="70"/>
    <s v="Rock Classics"/>
    <s v="Born to Run"/>
    <d v="1975-08-25T00:00:00"/>
    <n v="1"/>
    <n v="4"/>
    <n v="4.4833333333333334"/>
    <n v="5.0099999999999997E-3"/>
    <x v="6"/>
  </r>
  <r>
    <n v="0.96"/>
    <n v="117"/>
    <n v="0.57399999999999995"/>
    <x v="24"/>
    <n v="0.97799999999999998"/>
    <s v="Bruce Springsteen"/>
    <n v="70"/>
    <s v="80s Rock Anthems"/>
    <s v="Glory Days"/>
    <d v="1984-06-04T00:00:00"/>
    <n v="1"/>
    <n v="9"/>
    <n v="4.2333333333333334"/>
    <n v="4.5699999999999998E-2"/>
    <x v="47"/>
  </r>
  <r>
    <n v="0.96"/>
    <n v="131"/>
    <n v="0.46899999999999997"/>
    <x v="24"/>
    <n v="0.37"/>
    <s v="Journey"/>
    <n v="70"/>
    <s v="80s Rock Anthems"/>
    <s v="Separate Ways (Worlds Apart) [2023 Remaster]"/>
    <d v="1983-02-01T00:00:00"/>
    <n v="0"/>
    <n v="4"/>
    <n v="5.3833333333333337"/>
    <n v="0.14099999999999999"/>
    <x v="47"/>
  </r>
  <r>
    <n v="0.64300000000000002"/>
    <n v="769"/>
    <n v="0.60099999999999998"/>
    <x v="24"/>
    <n v="0.38700000000000001"/>
    <s v="Juanes"/>
    <n v="70"/>
    <s v="Spanish Rock Classics"/>
    <s v="Nada Valgo Sin Tu Amor"/>
    <d v="2004-01-01T00:00:00"/>
    <n v="1"/>
    <n v="0"/>
    <n v="3.2666666666666666"/>
    <n v="0.155"/>
    <x v="49"/>
  </r>
  <r>
    <n v="0.80800000000000005"/>
    <n v="117"/>
    <n v="0.49299999999999999"/>
    <x v="24"/>
    <n v="0.38"/>
    <s v="Linkin Park"/>
    <n v="70"/>
    <s v="Alternative Rock"/>
    <s v="New Divide"/>
    <d v="2009-06-12T00:00:00"/>
    <n v="0"/>
    <n v="5"/>
    <n v="4.4666666666666668"/>
    <n v="2.3499999999999999E-4"/>
    <x v="46"/>
  </r>
  <r>
    <n v="0.44700000000000001"/>
    <n v="121"/>
    <n v="0.65700000000000003"/>
    <x v="24"/>
    <n v="0.52300000000000002"/>
    <s v="Los Enanitos Verdes"/>
    <n v="70"/>
    <s v="Spanish Rock Classics"/>
    <s v="Luz De Dia"/>
    <d v="1999-01-01T00:00:00"/>
    <n v="1"/>
    <n v="0"/>
    <n v="4.4666666666666668"/>
    <n v="0.47799999999999998"/>
    <x v="49"/>
  </r>
  <r>
    <n v="0.82799999999999996"/>
    <n v="105"/>
    <n v="0.53900000000000003"/>
    <x v="24"/>
    <n v="0.56200000000000006"/>
    <s v="Metallica"/>
    <n v="70"/>
    <s v="Rock Classics"/>
    <s v="Master of Puppets (Remastered)"/>
    <d v="1986-03-03T00:00:00"/>
    <n v="0"/>
    <n v="4"/>
    <n v="8.5833333333333339"/>
    <n v="6.7000000000000002E-4"/>
    <x v="6"/>
  </r>
  <r>
    <n v="0.57999999999999996"/>
    <n v="127"/>
    <n v="0.74099999999999999"/>
    <x v="24"/>
    <n v="0.94399999999999995"/>
    <s v="Pat Benatar"/>
    <n v="70"/>
    <s v="Rock Classics"/>
    <s v="Hit Me With Your Best Shot"/>
    <d v="1980-08-05T00:00:00"/>
    <n v="1"/>
    <n v="4"/>
    <n v="2.85"/>
    <n v="0.11700000000000001"/>
    <x v="6"/>
  </r>
  <r>
    <n v="0.57999999999999996"/>
    <n v="127"/>
    <n v="0.74099999999999999"/>
    <x v="24"/>
    <n v="0.94399999999999995"/>
    <s v="Pat Benatar"/>
    <n v="70"/>
    <s v="80s Rock Anthems"/>
    <s v="Hit Me With Your Best Shot"/>
    <d v="1980-08-05T00:00:00"/>
    <n v="1"/>
    <n v="4"/>
    <n v="2.85"/>
    <n v="0.11700000000000001"/>
    <x v="47"/>
  </r>
  <r>
    <n v="0.77700000000000002"/>
    <n v="123"/>
    <n v="0.64900000000000002"/>
    <x v="24"/>
    <n v="0.66700000000000004"/>
    <s v="Reik"/>
    <n v="70"/>
    <s v="Spanish Rock Classics"/>
    <s v="Inolvidable"/>
    <d v="1905-06-30T00:00:00"/>
    <n v="1"/>
    <n v="7"/>
    <n v="3.7"/>
    <n v="7.3800000000000003E-3"/>
    <x v="49"/>
  </r>
  <r>
    <n v="0.34899999999999998"/>
    <n v="124"/>
    <n v="0.48899999999999999"/>
    <x v="24"/>
    <n v="0.622"/>
    <s v="Santana"/>
    <n v="70"/>
    <s v="Rock Classics"/>
    <s v="Black Magic Woman - Single Version"/>
    <d v="1994-07-01T00:00:00"/>
    <n v="0"/>
    <n v="2"/>
    <n v="3.2666666666666666"/>
    <n v="0.67600000000000005"/>
    <x v="6"/>
  </r>
  <r>
    <n v="0.65200000000000002"/>
    <n v="173"/>
    <n v="0.27400000000000002"/>
    <x v="24"/>
    <n v="0.1"/>
    <s v="STARSET"/>
    <n v="70"/>
    <s v="Alternative Rock"/>
    <s v="My Demons"/>
    <d v="1905-07-06T00:00:00"/>
    <n v="0"/>
    <n v="5"/>
    <n v="4.8"/>
    <n v="7.6800000000000002E-3"/>
    <x v="46"/>
  </r>
  <r>
    <n v="0.80100000000000005"/>
    <n v="133"/>
    <n v="0.65100000000000002"/>
    <x v="24"/>
    <n v="0.77600000000000002"/>
    <s v="The Clash"/>
    <n v="70"/>
    <s v="Rock Classics"/>
    <s v="London Calling - Remastered"/>
    <d v="1905-06-01T00:00:00"/>
    <n v="1"/>
    <n v="0"/>
    <n v="3.3333333333333335"/>
    <n v="0.123"/>
    <x v="6"/>
  </r>
  <r>
    <n v="0.72199999999999998"/>
    <n v="103"/>
    <n v="0.55000000000000004"/>
    <x v="24"/>
    <n v="0.71599999999999997"/>
    <s v="The Doors"/>
    <n v="70"/>
    <s v="Rock Classics"/>
    <s v="Riders on the Storm"/>
    <d v="1971-04-19T00:00:00"/>
    <n v="0"/>
    <n v="11"/>
    <n v="7.2333333333333334"/>
    <n v="0.25"/>
    <x v="6"/>
  </r>
  <r>
    <n v="0.70599999999999996"/>
    <n v="808"/>
    <n v="0.44500000000000001"/>
    <x v="24"/>
    <n v="0.76800000000000002"/>
    <s v="Thin Lizzy"/>
    <n v="70"/>
    <s v="Rock Classics"/>
    <s v="The Boys Are Back In Town"/>
    <d v="1905-05-29T00:00:00"/>
    <n v="1"/>
    <n v="8"/>
    <n v="4.4333333333333336"/>
    <n v="0.23400000000000001"/>
    <x v="6"/>
  </r>
  <r>
    <n v="0.81200000000000006"/>
    <n v="820"/>
    <n v="0.41699999999999998"/>
    <x v="24"/>
    <n v="0.41899999999999998"/>
    <s v="beabadoobee"/>
    <n v="69"/>
    <s v="Rock This"/>
    <s v="Beaches"/>
    <d v="2024-08-09T00:00:00"/>
    <n v="1"/>
    <n v="10"/>
    <n v="3.8333333333333335"/>
    <n v="1.54E-2"/>
    <x v="5"/>
  </r>
  <r>
    <n v="0.61099999999999999"/>
    <n v="853"/>
    <n v="0.65400000000000003"/>
    <x v="24"/>
    <n v="0.78600000000000003"/>
    <s v="Beck"/>
    <n v="69"/>
    <s v="Rock Classics"/>
    <s v="Loser"/>
    <d v="1994-03-01T00:00:00"/>
    <n v="1"/>
    <n v="2"/>
    <n v="3.9166666666666665"/>
    <n v="3.3700000000000001E-2"/>
    <x v="6"/>
  </r>
  <r>
    <n v="0.83299999999999996"/>
    <n v="142"/>
    <n v="0.55300000000000005"/>
    <x v="24"/>
    <n v="0.77300000000000002"/>
    <s v="Blondie"/>
    <n v="69"/>
    <s v="80s Rock Anthems"/>
    <s v="Call Me"/>
    <d v="2004-01-01T00:00:00"/>
    <n v="0"/>
    <n v="2"/>
    <n v="3.5333333333333332"/>
    <n v="6.4599999999999998E-4"/>
    <x v="47"/>
  </r>
  <r>
    <n v="0.75900000000000001"/>
    <n v="124"/>
    <n v="0.79100000000000004"/>
    <x v="24"/>
    <n v="0.91700000000000004"/>
    <s v="Cafie Tacvba"/>
    <n v="69"/>
    <s v="Spanish Rock Classics"/>
    <s v="Como te extra√±o mi amor"/>
    <d v="1905-06-18T00:00:00"/>
    <n v="1"/>
    <n v="9"/>
    <n v="3.5666666666666669"/>
    <n v="8.2299999999999998E-2"/>
    <x v="49"/>
  </r>
  <r>
    <n v="0.76300000000000001"/>
    <n v="148"/>
    <n v="0.36499999999999999"/>
    <x v="24"/>
    <n v="0.34200000000000003"/>
    <s v="Danzig"/>
    <n v="69"/>
    <s v="80s Rock Anthems"/>
    <s v="Mother"/>
    <d v="1988-01-01T00:00:00"/>
    <n v="0"/>
    <n v="11"/>
    <n v="3.4"/>
    <n v="7.26E-3"/>
    <x v="47"/>
  </r>
  <r>
    <n v="0.84599999999999997"/>
    <n v="107"/>
    <n v="0.65900000000000003"/>
    <x v="24"/>
    <n v="0.65900000000000003"/>
    <s v="Def Leppard"/>
    <n v="69"/>
    <s v="80s Rock Anthems"/>
    <s v="Hysteria"/>
    <d v="1987-08-03T00:00:00"/>
    <n v="1"/>
    <n v="7"/>
    <n v="5.9"/>
    <n v="3.1800000000000002E-2"/>
    <x v="47"/>
  </r>
  <r>
    <n v="0.86199999999999999"/>
    <n v="980"/>
    <n v="0.51100000000000001"/>
    <x v="24"/>
    <n v="0.36099999999999999"/>
    <s v="Fontaines D.C."/>
    <n v="69"/>
    <s v="Rock This"/>
    <s v="Starburster"/>
    <d v="2024-08-23T00:00:00"/>
    <n v="1"/>
    <n v="10"/>
    <n v="3.6833333333333331"/>
    <n v="6.5600000000000006E-2"/>
    <x v="5"/>
  </r>
  <r>
    <n v="0.73699999999999999"/>
    <n v="125"/>
    <n v="0.78500000000000003"/>
    <x v="24"/>
    <n v="0.97099999999999997"/>
    <s v="John Mellencamp"/>
    <n v="69"/>
    <s v="80s Rock Anthems"/>
    <s v="Hurts So Good"/>
    <d v="1905-06-04T00:00:00"/>
    <n v="1"/>
    <n v="9"/>
    <n v="3.6333333333333333"/>
    <n v="4.2000000000000003E-2"/>
    <x v="47"/>
  </r>
  <r>
    <n v="0.86399999999999999"/>
    <n v="813"/>
    <n v="0.437"/>
    <x v="24"/>
    <n v="0.749"/>
    <s v="Led Zeppelin"/>
    <n v="69"/>
    <s v="Rock Classics"/>
    <s v="Black Dog - Remaster"/>
    <d v="1971-11-08T00:00:00"/>
    <n v="0"/>
    <n v="4"/>
    <n v="4.916666666666667"/>
    <n v="0.39600000000000002"/>
    <x v="6"/>
  </r>
  <r>
    <n v="0.42699999999999999"/>
    <n v="119"/>
    <n v="0.753"/>
    <x v="24"/>
    <n v="0.29499999999999998"/>
    <s v="Midnight Oil"/>
    <n v="69"/>
    <s v="80s Rock Anthems"/>
    <s v="Beds Are Burning - Remastered"/>
    <d v="1987-10-02T00:00:00"/>
    <n v="1"/>
    <n v="0"/>
    <n v="4.25"/>
    <n v="7.8700000000000003E-3"/>
    <x v="47"/>
  </r>
  <r>
    <n v="0.58399999999999996"/>
    <n v="170"/>
    <n v="0.50900000000000001"/>
    <x v="24"/>
    <n v="0.68500000000000005"/>
    <s v="Queens of the Stone Age"/>
    <n v="69"/>
    <s v="Rock Classics"/>
    <s v="No One Knows"/>
    <d v="2002-01-01T00:00:00"/>
    <n v="1"/>
    <n v="0"/>
    <n v="4.6333333333333337"/>
    <n v="3.6799999999999999E-2"/>
    <x v="6"/>
  </r>
  <r>
    <n v="0.58399999999999996"/>
    <n v="170"/>
    <n v="0.50900000000000001"/>
    <x v="24"/>
    <n v="0.68500000000000005"/>
    <s v="Queens of the Stone Age"/>
    <n v="69"/>
    <s v="Alternative Rock"/>
    <s v="No One Knows"/>
    <d v="2002-01-01T00:00:00"/>
    <n v="1"/>
    <n v="0"/>
    <n v="4.6333333333333337"/>
    <n v="3.6799999999999999E-2"/>
    <x v="46"/>
  </r>
  <r>
    <n v="0.80400000000000005"/>
    <n v="111"/>
    <n v="0.59099999999999997"/>
    <x v="24"/>
    <n v="0.65800000000000003"/>
    <s v="Stevie Nicks"/>
    <n v="69"/>
    <s v="80s Rock Anthems"/>
    <s v="Edge of Seventeen - 2016 Remaster"/>
    <d v="1981-07-27T00:00:00"/>
    <n v="1"/>
    <n v="0"/>
    <n v="5.4833333333333334"/>
    <n v="0.32700000000000001"/>
    <x v="47"/>
  </r>
  <r>
    <n v="0.57899999999999996"/>
    <n v="127"/>
    <n v="0.62"/>
    <x v="24"/>
    <n v="0.69099999999999995"/>
    <s v="The Cars"/>
    <n v="69"/>
    <s v="Rock Classics"/>
    <s v="Just What I Needed"/>
    <d v="1978-06-06T00:00:00"/>
    <n v="1"/>
    <n v="4"/>
    <n v="3.75"/>
    <n v="1.52E-2"/>
    <x v="6"/>
  </r>
  <r>
    <n v="0.91200000000000003"/>
    <n v="117"/>
    <n v="0.57499999999999996"/>
    <x v="24"/>
    <n v="0.84299999999999997"/>
    <s v="The Doobie Brothers"/>
    <n v="69"/>
    <s v="Rock Classics"/>
    <s v="Long Train Runnin'"/>
    <d v="1905-05-26T00:00:00"/>
    <n v="0"/>
    <n v="7"/>
    <n v="3.45"/>
    <n v="9.1600000000000001E-2"/>
    <x v="6"/>
  </r>
  <r>
    <n v="0.7"/>
    <n v="147"/>
    <n v="0.58599999999999997"/>
    <x v="24"/>
    <n v="0.89700000000000002"/>
    <s v="The Knack"/>
    <n v="69"/>
    <s v="Rock Classics"/>
    <s v="My Sharona"/>
    <d v="1979-01-01T00:00:00"/>
    <n v="1"/>
    <n v="0"/>
    <n v="4.916666666666667"/>
    <n v="5.8900000000000001E-2"/>
    <x v="6"/>
  </r>
  <r>
    <n v="0.50600000000000001"/>
    <n v="140"/>
    <n v="0.79900000000000004"/>
    <x v="24"/>
    <n v="0.51800000000000002"/>
    <s v="The Police"/>
    <n v="69"/>
    <s v="80s Rock Anthems"/>
    <s v="Don't Stand So Close To Me"/>
    <d v="1980-10-03T00:00:00"/>
    <n v="1"/>
    <n v="2"/>
    <n v="4.0333333333333332"/>
    <n v="4.53E-2"/>
    <x v="47"/>
  </r>
  <r>
    <n v="0.52100000000000002"/>
    <n v="106"/>
    <n v="0.53900000000000003"/>
    <x v="24"/>
    <n v="0.67900000000000005"/>
    <s v="The Strokes"/>
    <n v="69"/>
    <s v="Feel Good Indie Rock"/>
    <s v="Someday"/>
    <d v="2001-07-30T00:00:00"/>
    <n v="1"/>
    <n v="9"/>
    <n v="3.05"/>
    <n v="4.2500000000000003E-3"/>
    <x v="48"/>
  </r>
  <r>
    <n v="0.73699999999999999"/>
    <n v="103"/>
    <n v="0.66200000000000003"/>
    <x v="24"/>
    <n v="0.74399999999999999"/>
    <s v="Tina Turner"/>
    <n v="69"/>
    <s v="Rock Classics"/>
    <s v="The Best"/>
    <d v="1989-09-13T00:00:00"/>
    <n v="1"/>
    <n v="0"/>
    <n v="5.4833333333333334"/>
    <n v="0.108"/>
    <x v="6"/>
  </r>
  <r>
    <n v="0.54400000000000004"/>
    <n v="121"/>
    <n v="0.82299999999999995"/>
    <x v="24"/>
    <n v="0.82599999999999996"/>
    <s v="Vansire"/>
    <n v="69"/>
    <s v="Feel Good Indie Rock"/>
    <s v="Metamodernity"/>
    <d v="2019-06-11T00:00:00"/>
    <n v="1"/>
    <n v="5"/>
    <n v="2.7"/>
    <n v="0.38900000000000001"/>
    <x v="48"/>
  </r>
  <r>
    <n v="0.65800000000000003"/>
    <n v="150"/>
    <n v="0.61499999999999999"/>
    <x v="24"/>
    <n v="0.29299999999999998"/>
    <s v="alt-J"/>
    <n v="68"/>
    <s v="Feel Good Indie Rock"/>
    <s v="Breezeblocks"/>
    <d v="2012-09-18T00:00:00"/>
    <n v="1"/>
    <n v="5"/>
    <n v="3.7833333333333332"/>
    <n v="9.6000000000000002E-2"/>
    <x v="48"/>
  </r>
  <r>
    <n v="0.85799999999999998"/>
    <n v="133"/>
    <n v="0.503"/>
    <x v="24"/>
    <n v="0.41899999999999998"/>
    <s v="Beastie Boys"/>
    <n v="68"/>
    <s v="80s Rock Anthems"/>
    <s v="Fight For Your Right"/>
    <d v="1986-11-15T00:00:00"/>
    <n v="1"/>
    <n v="8"/>
    <n v="3.4666666666666668"/>
    <n v="7.5700000000000003E-3"/>
    <x v="47"/>
  </r>
  <r>
    <n v="0.64500000000000002"/>
    <n v="895"/>
    <n v="0.55200000000000005"/>
    <x v="24"/>
    <n v="0.58799999999999997"/>
    <s v="Candlebox"/>
    <n v="68"/>
    <s v="Alternative Rock"/>
    <s v="Far Behind"/>
    <d v="1993-07-16T00:00:00"/>
    <n v="1"/>
    <n v="7"/>
    <n v="4.9833333333333334"/>
    <n v="1.8699999999999999E-3"/>
    <x v="46"/>
  </r>
  <r>
    <n v="0.755"/>
    <n v="109"/>
    <n v="0.66700000000000004"/>
    <x v="24"/>
    <n v="0.88300000000000001"/>
    <s v="Eagles"/>
    <n v="68"/>
    <s v="Rock Classics"/>
    <s v="Life in the Fast Lane - 2013 Remaster"/>
    <d v="1976-12-08T00:00:00"/>
    <n v="1"/>
    <n v="9"/>
    <n v="4.7666666666666666"/>
    <n v="9.6600000000000005E-2"/>
    <x v="6"/>
  </r>
  <r>
    <n v="0.48599999999999999"/>
    <n v="119"/>
    <n v="0.55600000000000005"/>
    <x v="24"/>
    <n v="0.24299999999999999"/>
    <s v="Green Day"/>
    <n v="68"/>
    <s v="Alternative Rock"/>
    <s v="Last Night on Earth"/>
    <d v="2009-05-15T00:00:00"/>
    <n v="1"/>
    <n v="2"/>
    <n v="3.9333333333333331"/>
    <n v="3.7100000000000001E-2"/>
    <x v="46"/>
  </r>
  <r>
    <n v="0.85"/>
    <n v="125"/>
    <n v="0.374"/>
    <x v="24"/>
    <n v="0.34799999999999998"/>
    <s v="Heroes Del Silencio"/>
    <n v="68"/>
    <s v="Spanish Rock Classics"/>
    <s v="Maldito duende"/>
    <d v="1905-06-12T00:00:00"/>
    <n v="0"/>
    <n v="4"/>
    <n v="4.2166666666666668"/>
    <n v="9.0399999999999994E-2"/>
    <x v="49"/>
  </r>
  <r>
    <n v="0.63100000000000001"/>
    <n v="112"/>
    <n v="0.78100000000000003"/>
    <x v="24"/>
    <n v="0.90900000000000003"/>
    <s v="Hombres G"/>
    <n v="68"/>
    <s v="Spanish Rock Classics"/>
    <s v="Te quiero"/>
    <d v="1905-06-18T00:00:00"/>
    <n v="1"/>
    <n v="2"/>
    <n v="3.75"/>
    <n v="5.33E-2"/>
    <x v="49"/>
  </r>
  <r>
    <n v="0.65900000000000003"/>
    <n v="106"/>
    <n v="0.64800000000000002"/>
    <x v="24"/>
    <n v="0.53200000000000003"/>
    <s v="Jaguares"/>
    <n v="68"/>
    <s v="Spanish Rock Classics"/>
    <s v="Te Lo Pido por Favor"/>
    <d v="2002-10-22T00:00:00"/>
    <n v="1"/>
    <n v="2"/>
    <n v="3.4333333333333331"/>
    <n v="0.115"/>
    <x v="49"/>
  </r>
  <r>
    <n v="0.35799999999999998"/>
    <n v="145"/>
    <n v="0.71499999999999997"/>
    <x v="24"/>
    <n v="0.74199999999999999"/>
    <s v="Jarabe De Palo"/>
    <n v="68"/>
    <s v="Spanish Rock Classics"/>
    <s v="Agua"/>
    <d v="1905-06-20T00:00:00"/>
    <n v="1"/>
    <n v="5"/>
    <n v="4.2333333333333334"/>
    <n v="0.74299999999999999"/>
    <x v="49"/>
  </r>
  <r>
    <n v="0.71499999999999997"/>
    <n v="840"/>
    <n v="0.48699999999999999"/>
    <x v="24"/>
    <n v="0.63800000000000001"/>
    <s v="Juanes, Nelly Furtado"/>
    <n v="68"/>
    <s v="Spanish Rock Classics"/>
    <s v="Fotografia"/>
    <d v="2002-01-01T00:00:00"/>
    <n v="1"/>
    <n v="7"/>
    <n v="3.9666666666666668"/>
    <n v="0.29399999999999998"/>
    <x v="49"/>
  </r>
  <r>
    <n v="0.59499999999999997"/>
    <n v="129"/>
    <n v="0.51900000000000002"/>
    <x v="24"/>
    <n v="0.23699999999999999"/>
    <s v="Mi•neskin"/>
    <n v="68"/>
    <s v="Alternative Rock"/>
    <s v="THE LONELIEST"/>
    <d v="2022-10-07T00:00:00"/>
    <n v="1"/>
    <n v="2"/>
    <n v="4.1166666666666663"/>
    <n v="1.5100000000000001E-3"/>
    <x v="46"/>
  </r>
  <r>
    <n v="0.501"/>
    <n v="134"/>
    <n v="0.78100000000000003"/>
    <x v="24"/>
    <n v="0.96099999999999997"/>
    <s v="Mk.gee"/>
    <n v="68"/>
    <s v="Feel Good Indie Rock"/>
    <s v="ROCKMAN"/>
    <d v="2024-10-18T00:00:00"/>
    <n v="1"/>
    <n v="3"/>
    <n v="2.95"/>
    <n v="0.66"/>
    <x v="48"/>
  </r>
  <r>
    <n v="0.63200000000000001"/>
    <n v="140"/>
    <n v="0.53100000000000003"/>
    <x v="24"/>
    <n v="0.29399999999999998"/>
    <s v="Poison"/>
    <n v="68"/>
    <s v="80s Rock Anthems"/>
    <s v="Every Rose Has Its Thorn - 2003 Remaster"/>
    <d v="1988-03-21T00:00:00"/>
    <n v="1"/>
    <n v="6"/>
    <n v="4.333333333333333"/>
    <n v="0.16"/>
    <x v="47"/>
  </r>
  <r>
    <n v="0.94599999999999995"/>
    <n v="138"/>
    <n v="0.45400000000000001"/>
    <x v="24"/>
    <n v="0.64700000000000002"/>
    <s v="Van Halen"/>
    <n v="68"/>
    <s v="Rock Classics"/>
    <s v="You Really Got Me - 2015 Remaster"/>
    <d v="1978-02-10T00:00:00"/>
    <n v="0"/>
    <n v="1"/>
    <n v="2.6"/>
    <n v="2.23E-2"/>
    <x v="6"/>
  </r>
  <r>
    <n v="0.90300000000000002"/>
    <n v="132"/>
    <n v="0.56200000000000006"/>
    <x v="24"/>
    <n v="0.79100000000000004"/>
    <s v="Yeah Yeah Yeahs"/>
    <n v="68"/>
    <s v="Indie Rock Roadtrip"/>
    <s v="Heads Will Roll"/>
    <d v="2009-01-01T00:00:00"/>
    <n v="0"/>
    <n v="8"/>
    <n v="3.6833333333333331"/>
    <n v="1.8699999999999999E-4"/>
    <x v="17"/>
  </r>
  <r>
    <n v="0.60399999999999998"/>
    <n v="159"/>
    <n v="0.56100000000000005"/>
    <x v="25"/>
    <n v="0.24199999999999999"/>
    <s v="Teddy Swims"/>
    <n v="81"/>
    <s v="Soul Coffee"/>
    <s v="Lose Control"/>
    <d v="2023-06-23T00:00:00"/>
    <n v="1"/>
    <n v="9"/>
    <n v="3.5"/>
    <n v="0.19900000000000001"/>
    <x v="6"/>
  </r>
  <r>
    <n v="0.47299999999999998"/>
    <n v="152"/>
    <n v="0.59099999999999997"/>
    <x v="25"/>
    <n v="0.45100000000000001"/>
    <s v="Daniel Caesar"/>
    <n v="70"/>
    <s v="Soul Coffee"/>
    <s v="Let Me Go"/>
    <d v="2023-04-07T00:00:00"/>
    <n v="0"/>
    <n v="7"/>
    <n v="3.6"/>
    <n v="0.69399999999999995"/>
    <x v="6"/>
  </r>
  <r>
    <n v="0.32700000000000001"/>
    <n v="900"/>
    <n v="0.70699999999999996"/>
    <x v="26"/>
    <n v="0.18099999999999999"/>
    <s v="Semicenk"/>
    <n v="75"/>
    <s v="Turkish Pop"/>
    <s v="Onlar Anlamaz Halden"/>
    <d v="2024-08-09T00:00:00"/>
    <n v="0"/>
    <n v="0"/>
    <n v="2.9333333333333331"/>
    <n v="0.185"/>
    <x v="51"/>
  </r>
  <r>
    <n v="0.72899999999999998"/>
    <n v="980"/>
    <n v="0.629"/>
    <x v="26"/>
    <n v="0.42699999999999999"/>
    <s v="Semicenk"/>
    <n v="75"/>
    <s v="Turkish Pop"/>
    <s v="Ge√ßiyor Zaman"/>
    <d v="2024-08-09T00:00:00"/>
    <n v="0"/>
    <n v="7"/>
    <n v="2.5666666666666669"/>
    <n v="0.43099999999999999"/>
    <x v="51"/>
  </r>
  <r>
    <n v="0.91400000000000003"/>
    <n v="108"/>
    <n v="0.72599999999999998"/>
    <x v="26"/>
    <n v="0.83899999999999997"/>
    <s v="Simge"/>
    <n v="74"/>
    <s v="Turkish Pop"/>
    <s v="√ñn√ºm√ºz Yaz"/>
    <d v="2024-06-21T00:00:00"/>
    <n v="1"/>
    <n v="7"/>
    <n v="3.0166666666666666"/>
    <n v="7.5800000000000006E-2"/>
    <x v="51"/>
  </r>
  <r>
    <n v="0.60599999999999998"/>
    <n v="950"/>
    <n v="0.83099999999999996"/>
    <x v="26"/>
    <n v="0.88300000000000001"/>
    <s v="Semicenk, Doƒüu Swag"/>
    <n v="72"/>
    <s v="Turkish Pop"/>
    <s v="K√ºle D√∂nm√º≈üs√ºn"/>
    <d v="2024-06-14T00:00:00"/>
    <n v="0"/>
    <n v="8"/>
    <n v="2.4333333333333331"/>
    <n v="0.68400000000000005"/>
    <x v="51"/>
  </r>
  <r>
    <n v="0.65600000000000003"/>
    <n v="120"/>
    <n v="0.68500000000000005"/>
    <x v="26"/>
    <n v="0.55600000000000005"/>
    <s v="Semicenk"/>
    <n v="70"/>
    <s v="Turkish Pop"/>
    <s v="Kader Saƒü Olsun"/>
    <d v="2024-08-09T00:00:00"/>
    <n v="0"/>
    <n v="7"/>
    <n v="2.8666666666666667"/>
    <n v="0.70199999999999996"/>
    <x v="51"/>
  </r>
  <r>
    <n v="0.622"/>
    <n v="204"/>
    <n v="0.40600000000000003"/>
    <x v="26"/>
    <n v="0.56699999999999995"/>
    <s v="Zeynep Bastƒ±k"/>
    <n v="69"/>
    <s v="Turkish Pop"/>
    <s v="Lan"/>
    <d v="2024-03-08T00:00:00"/>
    <n v="0"/>
    <n v="3"/>
    <n v="3.2666666666666666"/>
    <n v="0.497"/>
    <x v="51"/>
  </r>
  <r>
    <n v="0.32100000000000001"/>
    <n v="110"/>
    <n v="0.68"/>
    <x v="27"/>
    <n v="0.41599999999999998"/>
    <s v="Ji≥sean Log"/>
    <n v="77"/>
    <s v="Tuvan Throat Singing"/>
    <s v="Chachach√°"/>
    <d v="2016-10-14T00:00:00"/>
    <n v="1"/>
    <n v="5"/>
    <n v="3.5833333333333335"/>
    <n v="0.79100000000000004"/>
    <x v="52"/>
  </r>
  <r>
    <n v="0.499"/>
    <n v="939"/>
    <n v="0.79600000000000004"/>
    <x v="27"/>
    <n v="0.79800000000000004"/>
    <s v="Los iÅngeles Azules, Natalia Lafourcade"/>
    <n v="71"/>
    <s v="Tuvan Throat Singing"/>
    <s v="Nunca Es Suficiente"/>
    <d v="2018-06-08T00:00:00"/>
    <n v="0"/>
    <n v="2"/>
    <n v="4.4333333333333336"/>
    <n v="0.39200000000000002"/>
    <x v="52"/>
  </r>
  <r>
    <n v="0.64500000000000002"/>
    <n v="850"/>
    <n v="0.71399999999999997"/>
    <x v="27"/>
    <n v="0.434"/>
    <s v="Bad Bunny"/>
    <n v="70"/>
    <s v="Tuvan Throat Singing"/>
    <s v="Me Fui de Vacaciones"/>
    <d v="2022-05-06T00:00:00"/>
    <n v="1"/>
    <n v="10"/>
    <n v="3"/>
    <n v="0.22900000000000001"/>
    <x v="52"/>
  </r>
  <r>
    <n v="0.58799999999999997"/>
    <n v="799"/>
    <n v="0.67500000000000004"/>
    <x v="27"/>
    <n v="0.879"/>
    <s v="Calle 13"/>
    <n v="69"/>
    <s v="Tuvan Throat Singing"/>
    <s v="Muerte En Hawaii"/>
    <d v="2010-11-22T00:00:00"/>
    <n v="1"/>
    <n v="3"/>
    <n v="3.15"/>
    <n v="0.78900000000000003"/>
    <x v="52"/>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n v="0.66718020334928163"/>
  </r>
  <r>
    <x v="1"/>
    <n v="0.65009629186602835"/>
  </r>
  <r>
    <x v="2"/>
    <n v="0.22162031309808583"/>
  </r>
  <r>
    <x v="3"/>
    <n v="0.524913157894736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3C1EC52-79A9-6942-9DC3-567D9458F68E}" name="TablaDinámica7" cacheId="4" applyNumberFormats="0" applyBorderFormats="0" applyFontFormats="0" applyPatternFormats="0" applyAlignmentFormats="0" applyWidthHeightFormats="1" dataCaption="Valores" updatedVersion="8" minRefreshableVersion="3" useAutoFormatting="1" rowGrandTotals="0" colGrandTotals="0" itemPrintTitles="1" createdVersion="8" indent="0" outline="1" outlineData="1" multipleFieldFilters="0" rowHeaderCaption="Variables">
  <location ref="L44:M48" firstHeaderRow="1" firstDataRow="1" firstDataCol="1"/>
  <pivotFields count="2">
    <pivotField axis="axisRow" showAll="0">
      <items count="5">
        <item x="2"/>
        <item x="1"/>
        <item x="0"/>
        <item x="3"/>
        <item t="default"/>
      </items>
    </pivotField>
    <pivotField dataField="1" numFmtId="9" showAll="0"/>
  </pivotFields>
  <rowFields count="1">
    <field x="0"/>
  </rowFields>
  <rowItems count="4">
    <i>
      <x/>
    </i>
    <i>
      <x v="1"/>
    </i>
    <i>
      <x v="2"/>
    </i>
    <i>
      <x v="3"/>
    </i>
  </rowItems>
  <colItems count="1">
    <i/>
  </colItems>
  <dataFields count="1">
    <dataField name="Promedios Generales" fld="1" baseField="0" baseItem="0" numFmtId="9"/>
  </dataFields>
  <pivotTableStyleInfo name="PivotStyleMedium11"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6D6CA18-853C-8645-9CA3-D59CD5B73765}" name="TablaDinámica6" cacheId="2"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6" rowHeaderCaption="Modos">
  <location ref="L27:M30" firstHeaderRow="1" firstDataRow="1" firstDataCol="1"/>
  <pivotFields count="9">
    <pivotField numFmtId="9" showAll="0"/>
    <pivotField showAll="0"/>
    <pivotField numFmtId="9" showAll="0"/>
    <pivotField numFmtId="9" showAll="0"/>
    <pivotField dataField="1" showAll="0"/>
    <pivotField axis="axisRow" showAll="0">
      <items count="3">
        <item x="0"/>
        <item x="1"/>
        <item t="default"/>
      </items>
    </pivotField>
    <pivotField showAll="0"/>
    <pivotField numFmtId="1" showAll="0"/>
    <pivotField numFmtId="9" showAll="0"/>
  </pivotFields>
  <rowFields count="1">
    <field x="5"/>
  </rowFields>
  <rowItems count="3">
    <i>
      <x/>
    </i>
    <i>
      <x v="1"/>
    </i>
    <i t="grand">
      <x/>
    </i>
  </rowItems>
  <colItems count="1">
    <i/>
  </colItems>
  <dataFields count="1">
    <dataField name="Suma de Track_popularity" fld="4" baseField="0" baseItem="0" numFmtId="3"/>
  </dataFields>
  <formats count="1">
    <format dxfId="2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Medium18"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0673E69-DF6A-7945-99F4-28B9EDADBC6B}" name="TablaDinámica5"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7" rowHeaderCaption="Tonalidad">
  <location ref="L9:M22" firstHeaderRow="1" firstDataRow="1" firstDataCol="1"/>
  <pivotFields count="3">
    <pivotField dataField="1" showAll="0"/>
    <pivotField showAll="0"/>
    <pivotField axis="axisRow" showAll="0">
      <items count="13">
        <item x="1"/>
        <item x="4"/>
        <item x="2"/>
        <item x="5"/>
        <item x="11"/>
        <item x="9"/>
        <item x="0"/>
        <item x="8"/>
        <item x="10"/>
        <item x="7"/>
        <item x="6"/>
        <item x="3"/>
        <item t="default"/>
      </items>
    </pivotField>
  </pivotFields>
  <rowFields count="1">
    <field x="2"/>
  </rowFields>
  <rowItems count="13">
    <i>
      <x/>
    </i>
    <i>
      <x v="1"/>
    </i>
    <i>
      <x v="2"/>
    </i>
    <i>
      <x v="3"/>
    </i>
    <i>
      <x v="4"/>
    </i>
    <i>
      <x v="5"/>
    </i>
    <i>
      <x v="6"/>
    </i>
    <i>
      <x v="7"/>
    </i>
    <i>
      <x v="8"/>
    </i>
    <i>
      <x v="9"/>
    </i>
    <i>
      <x v="10"/>
    </i>
    <i>
      <x v="11"/>
    </i>
    <i t="grand">
      <x/>
    </i>
  </rowItems>
  <colItems count="1">
    <i/>
  </colItems>
  <dataFields count="1">
    <dataField name="Suma de Track_popularity" fld="0" baseField="0" baseItem="0" numFmtId="3"/>
  </dataFields>
  <formats count="2">
    <format dxfId="22">
      <pivotArea collapsedLevelsAreSubtotals="1" fieldPosition="0">
        <references count="1">
          <reference field="2" count="0"/>
        </references>
      </pivotArea>
    </format>
    <format dxfId="2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Dark14"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90D003D-7B91-0F4B-BC56-7733B71B1BFB}" name="TablaDinámica3" cacheId="0" applyNumberFormats="0" applyBorderFormats="0" applyFontFormats="0" applyPatternFormats="0" applyAlignmentFormats="0" applyWidthHeightFormats="1" dataCaption="Valores" updatedVersion="8" minRefreshableVersion="3" useAutoFormatting="1" itemPrintTitles="1" createdVersion="8" indent="0" multipleFieldFilters="0" chartFormat="5" rowHeaderCaption="Playlists">
  <location ref="G7:H13" firstHeaderRow="1" firstDataRow="1" firstDataCol="1"/>
  <pivotFields count="3">
    <pivotField showAll="0"/>
    <pivotField axis="axisRow" showAll="0">
      <items count="74">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x="54"/>
        <item x="55"/>
        <item h="1" x="56"/>
        <item h="1" x="57"/>
        <item h="1" x="58"/>
        <item h="1" x="59"/>
        <item h="1" x="60"/>
        <item h="1" x="61"/>
        <item h="1" x="62"/>
        <item x="63"/>
        <item h="1" x="64"/>
        <item x="65"/>
        <item h="1" x="66"/>
        <item h="1" x="67"/>
        <item h="1" x="68"/>
        <item h="1" x="69"/>
        <item h="1" x="70"/>
        <item h="1" x="71"/>
        <item h="1" x="72"/>
        <item t="default"/>
      </items>
    </pivotField>
    <pivotField dataField="1" showAll="0">
      <items count="37">
        <item x="6"/>
        <item x="10"/>
        <item x="16"/>
        <item x="9"/>
        <item x="11"/>
        <item x="24"/>
        <item x="7"/>
        <item x="3"/>
        <item x="35"/>
        <item x="4"/>
        <item x="2"/>
        <item x="12"/>
        <item x="18"/>
        <item x="19"/>
        <item x="1"/>
        <item x="29"/>
        <item x="21"/>
        <item x="14"/>
        <item x="23"/>
        <item x="34"/>
        <item x="25"/>
        <item x="30"/>
        <item x="13"/>
        <item x="22"/>
        <item x="17"/>
        <item x="0"/>
        <item x="15"/>
        <item x="5"/>
        <item x="32"/>
        <item x="8"/>
        <item x="20"/>
        <item x="27"/>
        <item x="28"/>
        <item x="33"/>
        <item x="26"/>
        <item x="31"/>
        <item t="default"/>
      </items>
    </pivotField>
  </pivotFields>
  <rowFields count="1">
    <field x="1"/>
  </rowFields>
  <rowItems count="6">
    <i>
      <x v="27"/>
    </i>
    <i>
      <x v="54"/>
    </i>
    <i>
      <x v="55"/>
    </i>
    <i>
      <x v="63"/>
    </i>
    <i>
      <x v="65"/>
    </i>
    <i t="grand">
      <x/>
    </i>
  </rowItems>
  <colItems count="1">
    <i/>
  </colItems>
  <dataFields count="1">
    <dataField name="Suma Canciones por Playlist" fld="2"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Dark4"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9B2DF52-06E1-274A-9739-E11CCC23204E}" name="TablaDinámica1" cacheId="3"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7" rowHeaderCaption="Generos">
  <location ref="A7:B14" firstHeaderRow="1" firstDataRow="1" firstDataCol="1"/>
  <pivotFields count="15">
    <pivotField numFmtId="9" showAll="0"/>
    <pivotField showAll="0"/>
    <pivotField numFmtId="9" showAll="0"/>
    <pivotField axis="axisRow" dataField="1" showAll="0">
      <items count="29">
        <item h="1" x="0"/>
        <item h="1" x="1"/>
        <item h="1" x="2"/>
        <item h="1" x="3"/>
        <item h="1" x="4"/>
        <item h="1" x="5"/>
        <item h="1" x="6"/>
        <item x="7"/>
        <item h="1" x="8"/>
        <item x="9"/>
        <item x="10"/>
        <item h="1" x="11"/>
        <item h="1" x="12"/>
        <item h="1" x="13"/>
        <item h="1" x="14"/>
        <item h="1" x="15"/>
        <item h="1" x="16"/>
        <item x="17"/>
        <item h="1" x="18"/>
        <item h="1" x="19"/>
        <item x="20"/>
        <item h="1" x="21"/>
        <item h="1" x="22"/>
        <item h="1" x="23"/>
        <item x="24"/>
        <item h="1" x="25"/>
        <item h="1" x="26"/>
        <item h="1" x="27"/>
        <item t="default"/>
      </items>
    </pivotField>
    <pivotField numFmtId="9" showAll="0"/>
    <pivotField showAll="0"/>
    <pivotField showAll="0"/>
    <pivotField showAll="0"/>
    <pivotField showAll="0"/>
    <pivotField numFmtId="164" showAll="0"/>
    <pivotField showAll="0"/>
    <pivotField showAll="0"/>
    <pivotField numFmtId="1" showAll="0"/>
    <pivotField numFmtId="9" showAll="0"/>
    <pivotField showAll="0"/>
  </pivotFields>
  <rowFields count="1">
    <field x="3"/>
  </rowFields>
  <rowItems count="7">
    <i>
      <x v="7"/>
    </i>
    <i>
      <x v="9"/>
    </i>
    <i>
      <x v="10"/>
    </i>
    <i>
      <x v="17"/>
    </i>
    <i>
      <x v="20"/>
    </i>
    <i>
      <x v="24"/>
    </i>
    <i t="grand">
      <x/>
    </i>
  </rowItems>
  <colItems count="1">
    <i/>
  </colItems>
  <dataFields count="1">
    <dataField name="Suma de Canciones por Genero" fld="3" subtotal="count"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Dark4"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11F8447-DFDD-A44D-A2B2-FD0607FA151D}" name="TablaDinámica6" cacheId="3"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5" rowHeaderCaption="Subgenero">
  <location ref="D7:E12" firstHeaderRow="1" firstDataRow="1" firstDataCol="1"/>
  <pivotFields count="15">
    <pivotField numFmtId="9" showAll="0"/>
    <pivotField showAll="0"/>
    <pivotField numFmtId="9" showAll="0"/>
    <pivotField showAll="0"/>
    <pivotField numFmtId="9" showAll="0"/>
    <pivotField showAll="0"/>
    <pivotField showAll="0"/>
    <pivotField showAll="0"/>
    <pivotField showAll="0"/>
    <pivotField numFmtId="164" showAll="0"/>
    <pivotField showAll="0"/>
    <pivotField showAll="0"/>
    <pivotField numFmtId="1" showAll="0"/>
    <pivotField numFmtId="9" showAll="0"/>
    <pivotField axis="axisRow" dataField="1" showAll="0">
      <items count="54">
        <item h="1" x="47"/>
        <item h="1" x="24"/>
        <item h="1" x="2"/>
        <item h="1" x="1"/>
        <item h="1" x="12"/>
        <item h="1" x="33"/>
        <item h="1" x="46"/>
        <item h="1" x="18"/>
        <item h="1" x="30"/>
        <item h="1" x="29"/>
        <item h="1" x="42"/>
        <item h="1" x="26"/>
        <item h="1" x="27"/>
        <item h="1" x="4"/>
        <item x="6"/>
        <item h="1" x="34"/>
        <item h="1" x="36"/>
        <item h="1" x="15"/>
        <item h="1" x="21"/>
        <item h="1" x="31"/>
        <item h="1" x="25"/>
        <item h="1" x="8"/>
        <item h="1" x="48"/>
        <item h="1" x="13"/>
        <item h="1" x="7"/>
        <item h="1" x="45"/>
        <item h="1" x="16"/>
        <item h="1" x="20"/>
        <item h="1" x="39"/>
        <item h="1" x="37"/>
        <item h="1" x="35"/>
        <item h="1" x="17"/>
        <item h="1" x="38"/>
        <item h="1" x="3"/>
        <item h="1" x="23"/>
        <item x="5"/>
        <item h="1" x="9"/>
        <item h="1" x="0"/>
        <item h="1" x="19"/>
        <item h="1" x="51"/>
        <item h="1" x="44"/>
        <item x="32"/>
        <item h="1" x="43"/>
        <item h="1" x="41"/>
        <item h="1" x="50"/>
        <item h="1" x="49"/>
        <item h="1" x="11"/>
        <item h="1" x="52"/>
        <item x="40"/>
        <item h="1" x="22"/>
        <item h="1" x="10"/>
        <item h="1" x="14"/>
        <item h="1" x="28"/>
        <item t="default"/>
      </items>
    </pivotField>
  </pivotFields>
  <rowFields count="1">
    <field x="14"/>
  </rowFields>
  <rowItems count="5">
    <i>
      <x v="14"/>
    </i>
    <i>
      <x v="35"/>
    </i>
    <i>
      <x v="41"/>
    </i>
    <i>
      <x v="48"/>
    </i>
    <i t="grand">
      <x/>
    </i>
  </rowItems>
  <colItems count="1">
    <i/>
  </colItems>
  <dataFields count="1">
    <dataField name="Suma de Canciones por Subgenero" fld="14"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Dark4"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high_popularity_spotify_data" connectionId="1" xr16:uid="{519945CD-DF3D-0D4B-BF4F-C9BAFF411A1C}" autoFormatId="16" applyNumberFormats="0" applyBorderFormats="0" applyFontFormats="1" applyPatternFormats="1" applyAlignmentFormats="0" applyWidthHeightFormats="0"/>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playlist_name" xr10:uid="{FF9027C0-BB63-EE44-A455-5C0ABE018466}" sourceName="playlist_name">
  <pivotTables>
    <pivotTable tabId="9" name="TablaDinámica3"/>
  </pivotTables>
  <data>
    <tabular pivotCacheId="475658556">
      <items count="73">
        <i x="0"/>
        <i x="1"/>
        <i x="2"/>
        <i x="3"/>
        <i x="4"/>
        <i x="5"/>
        <i x="6"/>
        <i x="7"/>
        <i x="8"/>
        <i x="9"/>
        <i x="10"/>
        <i x="11"/>
        <i x="12"/>
        <i x="13"/>
        <i x="14"/>
        <i x="15"/>
        <i x="16"/>
        <i x="17"/>
        <i x="18"/>
        <i x="19"/>
        <i x="20"/>
        <i x="21"/>
        <i x="22"/>
        <i x="23"/>
        <i x="24"/>
        <i x="25"/>
        <i x="26"/>
        <i x="27" s="1"/>
        <i x="28"/>
        <i x="29"/>
        <i x="30"/>
        <i x="31"/>
        <i x="32"/>
        <i x="33"/>
        <i x="34"/>
        <i x="35"/>
        <i x="36"/>
        <i x="37"/>
        <i x="38"/>
        <i x="39"/>
        <i x="40"/>
        <i x="41"/>
        <i x="42"/>
        <i x="43"/>
        <i x="44"/>
        <i x="45"/>
        <i x="46"/>
        <i x="47"/>
        <i x="48"/>
        <i x="49"/>
        <i x="50"/>
        <i x="51"/>
        <i x="52"/>
        <i x="53"/>
        <i x="54" s="1"/>
        <i x="55" s="1"/>
        <i x="56"/>
        <i x="57"/>
        <i x="58"/>
        <i x="59"/>
        <i x="60"/>
        <i x="61"/>
        <i x="62"/>
        <i x="63" s="1"/>
        <i x="64"/>
        <i x="65" s="1"/>
        <i x="66"/>
        <i x="67"/>
        <i x="68"/>
        <i x="69"/>
        <i x="70"/>
        <i x="71"/>
        <i x="7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Playlist_subgenre2" xr10:uid="{A7D1F570-AD18-5E42-A349-038D017E81FE}" sourceName="Playlist_subgenre2">
  <pivotTables>
    <pivotTable tabId="9" name="TablaDinámica6"/>
  </pivotTables>
  <data>
    <tabular pivotCacheId="1771607931">
      <items count="53">
        <i x="47"/>
        <i x="24"/>
        <i x="2"/>
        <i x="1"/>
        <i x="12"/>
        <i x="33"/>
        <i x="46"/>
        <i x="18"/>
        <i x="30"/>
        <i x="29"/>
        <i x="42"/>
        <i x="26"/>
        <i x="27"/>
        <i x="4"/>
        <i x="6" s="1"/>
        <i x="34"/>
        <i x="36"/>
        <i x="15"/>
        <i x="21"/>
        <i x="31"/>
        <i x="25"/>
        <i x="8"/>
        <i x="48"/>
        <i x="13"/>
        <i x="7"/>
        <i x="45"/>
        <i x="16"/>
        <i x="20"/>
        <i x="39"/>
        <i x="37"/>
        <i x="35"/>
        <i x="17"/>
        <i x="38"/>
        <i x="3"/>
        <i x="23"/>
        <i x="5" s="1"/>
        <i x="9"/>
        <i x="0"/>
        <i x="19"/>
        <i x="51"/>
        <i x="44"/>
        <i x="32" s="1"/>
        <i x="43"/>
        <i x="41"/>
        <i x="50"/>
        <i x="49"/>
        <i x="11"/>
        <i x="52"/>
        <i x="40" s="1"/>
        <i x="22"/>
        <i x="10"/>
        <i x="14"/>
        <i x="28"/>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Playlist_genre21" xr10:uid="{9470917C-B8D4-1645-B402-D0F0BD9BC7C8}" sourceName="Playlist_genre2">
  <pivotTables>
    <pivotTable tabId="9" name="TablaDinámica1"/>
  </pivotTables>
  <data>
    <tabular pivotCacheId="1771607931">
      <items count="28">
        <i x="0"/>
        <i x="1"/>
        <i x="2"/>
        <i x="3"/>
        <i x="4"/>
        <i x="5"/>
        <i x="6"/>
        <i x="7" s="1"/>
        <i x="8"/>
        <i x="9" s="1"/>
        <i x="10" s="1"/>
        <i x="11"/>
        <i x="12"/>
        <i x="13"/>
        <i x="14"/>
        <i x="15"/>
        <i x="16"/>
        <i x="17" s="1"/>
        <i x="18"/>
        <i x="19"/>
        <i x="20" s="1"/>
        <i x="21"/>
        <i x="22"/>
        <i x="23"/>
        <i x="24" s="1"/>
        <i x="25"/>
        <i x="26"/>
        <i x="27"/>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Popularidad" xr10:uid="{9695096C-F371-A34C-8541-67D03FCD206B}" sourceName="Popularidad">
  <extLst>
    <x:ext xmlns:x15="http://schemas.microsoft.com/office/spreadsheetml/2010/11/main" uri="{2F2917AC-EB37-4324-AD4E-5DD8C200BD13}">
      <x15:tableSlicerCache tableId="4" column="10"/>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ylist_name 1" xr10:uid="{44770B46-6D58-824F-817B-EE7366CF685A}" cache="SegmentaciónDeDatos_playlist_name" caption="Playlist" startItem="5" style="SlicerStyleLight3" rowHeight="251883"/>
  <slicer name="Playlist_subgenre2 1" xr10:uid="{7905B4A4-C928-2C45-976B-B15C5D11F351}" cache="SegmentaciónDeDatos_Playlist_subgenre2" caption="Subgeneros" style="SlicerStyleLight3" rowHeight="251883"/>
  <slicer name="Playlist_genre2" xr10:uid="{8FAFD2AA-DFBE-3A48-BDF0-E490DBF062B5}" cache="SegmentaciónDeDatos_Playlist_genre21" caption="Generos" style="SlicerStyleLight3"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pularidad" xr10:uid="{BBBADE8A-6EF3-C942-805C-D693B348D5FB}" cache="SegmentaciónDeDatos_Popularidad" caption="Popularidad" style="SlicerStyleLight3"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ylist_name" xr10:uid="{AB1D900D-E288-534B-BB5E-3D3E0BAAF147}" cache="SegmentaciónDeDatos_playlist_name" caption="Playlist" startItem="20" style="SlicerStyleLight3" rowHeight="251883"/>
  <slicer name="Playlist_subgenre2" xr10:uid="{20613769-7E71-1B44-A277-564BF9F0133A}" cache="SegmentaciónDeDatos_Playlist_subgenre2" caption="Subgeneros" startItem="13" style="SlicerStyleLight3" rowHeight="251883"/>
  <slicer name="Generos Distri" xr10:uid="{2F6D9915-0B94-9B45-8244-882C4D9F6698}" cache="SegmentaciónDeDatos_Playlist_genre21" caption="Generos" startItem="8" style="SlicerStyleLight3"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9B60E45-47B4-3344-B701-0EB500E3E6F9}" name="Music_Data" displayName="Music_Data" ref="A1:O1675" totalsRowShown="0" headerRowDxfId="32">
  <autoFilter ref="A1:O1675" xr:uid="{39B60E45-47B4-3344-B701-0EB500E3E6F9}"/>
  <sortState xmlns:xlrd2="http://schemas.microsoft.com/office/spreadsheetml/2017/richdata2" ref="A2:O1675">
    <sortCondition ref="D1:D1675"/>
  </sortState>
  <tableColumns count="15">
    <tableColumn id="1" xr3:uid="{C6B78EF8-F573-0642-9435-0B99727B5AEB}" name="Energy" dataDxfId="31"/>
    <tableColumn id="2" xr3:uid="{4FE775F1-A54A-7744-A344-B563E447720F}" name="Tempo en  BPM" dataDxfId="30"/>
    <tableColumn id="3" xr3:uid="{5B458C58-3E1E-B945-B1CE-0EEAF0CE0408}" name="Danceability" dataDxfId="29" dataCellStyle="Porcentaje"/>
    <tableColumn id="4" xr3:uid="{DD3A1287-E2B1-0B43-A660-E61E65AB41BE}" name="Playlist_genre2" dataDxfId="28" dataCellStyle="Porcentaje">
      <calculatedColumnFormula>PROPER(Music_Data[[#This Row],[Playlist_genre2]])</calculatedColumnFormula>
    </tableColumn>
    <tableColumn id="5" xr3:uid="{E9776D68-C3B3-614A-ADF8-536F7141FAB6}" name="Valence" dataDxfId="27"/>
    <tableColumn id="6" xr3:uid="{333CB692-3EC5-3B41-9203-FAA74649E55F}" name="Track_artist"/>
    <tableColumn id="7" xr3:uid="{E7DAA482-46F9-F646-BE93-E95EE3966F67}" name="Track_popularity"/>
    <tableColumn id="8" xr3:uid="{FC074FF8-5D77-E241-85D4-72A33843F4FF}" name="Playlist_name"/>
    <tableColumn id="9" xr3:uid="{341D205D-14C5-4049-BF94-14187C945213}" name="Track_name"/>
    <tableColumn id="10" xr3:uid="{95467305-A5E1-5E42-BEEA-AFA3CDF6BAF8}" name="Track_album_release_date" dataDxfId="26"/>
    <tableColumn id="11" xr3:uid="{10E22D64-383F-CC48-B454-CB8709111B06}" name="Mode"/>
    <tableColumn id="12" xr3:uid="{5D1E22FB-D3E1-ED45-9BF3-5A77182B17FA}" name="Key"/>
    <tableColumn id="13" xr3:uid="{5CB53EEB-9D24-FF4D-9309-92AC24D83E0D}" name="Duration_minutes" dataDxfId="25">
      <calculatedColumnFormula>LEFT(Music_Data[[#This Row],[Duration_minutes]],3)/60</calculatedColumnFormula>
    </tableColumn>
    <tableColumn id="14" xr3:uid="{A5F9D12B-0FB8-0C4B-BA9C-8E89054B25CE}" name="Acousticness" dataDxfId="24"/>
    <tableColumn id="15" xr3:uid="{0AF5BBFA-1FA9-E64D-98E7-43EA98B91976}" name="Playlist_subgenre2" dataDxfId="23">
      <calculatedColumnFormula>PROPER(Music_Data[[#This Row],[Playlist_subgenre2]])</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ED660A9-C424-ED41-B358-58B012FAC470}" name="TB_Caracteristicas" displayName="TB_Caracteristicas" ref="A3:K1675" totalsRowShown="0" headerRowDxfId="19" tableBorderDxfId="18">
  <autoFilter ref="A3:K1675" xr:uid="{CED660A9-C424-ED41-B358-58B012FAC470}"/>
  <tableColumns count="11">
    <tableColumn id="1" xr3:uid="{6D490BF0-3D1F-194E-9571-F9D86DC88672}" name="Energy" dataDxfId="17"/>
    <tableColumn id="2" xr3:uid="{AB91BC99-7926-814D-B364-633B8A41A493}" name="Tempo"/>
    <tableColumn id="3" xr3:uid="{94EF718B-99D7-004B-8895-44F553B72C3A}" name="Danceability" dataDxfId="16" dataCellStyle="Porcentaje"/>
    <tableColumn id="4" xr3:uid="{66744EC6-7D03-384E-8291-A0360B76011D}" name="Valence" dataDxfId="15"/>
    <tableColumn id="5" xr3:uid="{295C61AE-E03C-0E43-AEF4-2E37F5613686}" name="Track_popularity" dataDxfId="14"/>
    <tableColumn id="6" xr3:uid="{0DF4E6F6-CAB8-EA41-936B-456C30E05AD5}" name="Mode" dataDxfId="13"/>
    <tableColumn id="7" xr3:uid="{5C38AF5F-75EF-074E-B49C-7CB6311BD66F}" name="Key" dataDxfId="12"/>
    <tableColumn id="8" xr3:uid="{A419B79A-F849-E94E-8100-89D38427A64E}" name="Duration_minutes" dataDxfId="11"/>
    <tableColumn id="9" xr3:uid="{F417826E-D4F1-8040-8974-2A70D98D7E45}" name="Acousticness" dataDxfId="10"/>
    <tableColumn id="10" xr3:uid="{E0733B26-9EAF-3C4F-9BA4-0870834CF784}" name="Popularidad" dataDxfId="9">
      <calculatedColumnFormula>IF(E4&gt;=94,"Muy Popular",IF(E4&gt;=86,"Popular",IF(E4&gt;=78,"No muy popular","Casi nada popular")))</calculatedColumnFormula>
    </tableColumn>
    <tableColumn id="11" xr3:uid="{A532D5B2-9C8B-2F4A-8242-353C60430778}" name="Track_album_release_date" dataDxfId="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89753A4-C851-3A4E-84A3-72575C314C55}" name="Tabla7" displayName="Tabla7" ref="L3:M7" totalsRowShown="0" headerRowDxfId="7" tableBorderDxfId="6">
  <autoFilter ref="L3:M7" xr:uid="{B89753A4-C851-3A4E-84A3-72575C314C55}"/>
  <tableColumns count="2">
    <tableColumn id="1" xr3:uid="{3DB9675A-D072-6D40-A4EB-B86560154E1A}" name="Variables"/>
    <tableColumn id="2" xr3:uid="{1A49FA10-5243-1E42-9DD1-B33C10094631}" name="Promedios de todas las cancione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AEE8470-D0A1-424B-94AC-9E717902C837}" name="Subgenero" displayName="Subgenero" ref="A1:C54" totalsRowShown="0">
  <autoFilter ref="A1:C54" xr:uid="{8AEE8470-D0A1-424B-94AC-9E717902C837}"/>
  <sortState xmlns:xlrd2="http://schemas.microsoft.com/office/spreadsheetml/2017/richdata2" ref="A2:C54">
    <sortCondition ref="A1:A54"/>
  </sortState>
  <tableColumns count="3">
    <tableColumn id="1" xr3:uid="{A6B4FF35-1C01-354E-9881-D58AD8601C73}" name="ID_playlist_subgenre" dataDxfId="5"/>
    <tableColumn id="2" xr3:uid="{8AACFA44-BDB7-A346-A615-71F3E2463001}" name="playlist_subgenre"/>
    <tableColumn id="3" xr3:uid="{411512B2-DCAE-DA4F-A946-9327E5583665}" name="Canciones por subgenero" dataDxfId="4"/>
  </tableColumns>
  <tableStyleInfo name="TableStyleLight2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0940C1-826C-3F4A-AC9A-F3962E20DBF1}" name="Generos" displayName="Generos" ref="N6:P34" totalsRowShown="0">
  <autoFilter ref="N6:P34" xr:uid="{7E0940C1-826C-3F4A-AC9A-F3962E20DBF1}"/>
  <sortState xmlns:xlrd2="http://schemas.microsoft.com/office/spreadsheetml/2017/richdata2" ref="N7:P34">
    <sortCondition ref="N6:N34"/>
  </sortState>
  <tableColumns count="3">
    <tableColumn id="1" xr3:uid="{19BBFF9E-81AB-A64F-A8D7-217F9715465F}" name="Playlist_Genre_ID" dataDxfId="1"/>
    <tableColumn id="2" xr3:uid="{2F5586A5-6096-4C46-B3F0-A4E08DF89633}" name="playlist_genre" dataDxfId="0"/>
    <tableColumn id="3" xr3:uid="{9CB2E318-F4D1-E54B-AAD1-DEBCE2CBE07E}" name="Cantidad de Canciones por genero"/>
  </tableColumns>
  <tableStyleInfo name="TableStyleLight2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919F758-B35D-1944-AD88-065F9D5A7E30}" name="Playlists" displayName="Playlists" ref="I1:K74" totalsRowShown="0">
  <autoFilter ref="I1:K74" xr:uid="{2919F758-B35D-1944-AD88-065F9D5A7E30}"/>
  <tableColumns count="3">
    <tableColumn id="1" xr3:uid="{802BE551-957A-1C43-9074-AAA8F09BD90C}" name="ID_playlist_name" dataDxfId="3"/>
    <tableColumn id="2" xr3:uid="{22243B33-2730-2F47-A7E5-AD4188D62AF0}" name="playlist_name" dataDxfId="2"/>
    <tableColumn id="3" xr3:uid="{42881E9A-FEFB-9849-A0E9-D06CBFFDBCA7}" name="Canciones por Playlist"/>
  </tableColumns>
  <tableStyleInfo name="TableStyleLight21"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table" Target="../tables/table3.xml"/><Relationship Id="rId5" Type="http://schemas.openxmlformats.org/officeDocument/2006/relationships/table" Target="../tables/table2.xml"/><Relationship Id="rId4"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microsoft.com/office/2007/relationships/slicer" Target="../slicers/slicer3.xml"/><Relationship Id="rId4"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E4D357-F99A-EC45-8428-90A2BF49ED84}">
  <dimension ref="A1:AC1687"/>
  <sheetViews>
    <sheetView workbookViewId="0">
      <selection activeCell="C2" sqref="C2:C1687"/>
    </sheetView>
  </sheetViews>
  <sheetFormatPr baseColWidth="10" defaultRowHeight="16" zeroHeight="1"/>
  <cols>
    <col min="1" max="2" width="7.6640625" bestFit="1" customWidth="1"/>
    <col min="3" max="3" width="11.1640625" bestFit="1" customWidth="1"/>
    <col min="4" max="4" width="12.33203125" bestFit="1" customWidth="1"/>
    <col min="5" max="5" width="8.33203125" bestFit="1" customWidth="1"/>
    <col min="6" max="6" width="7.6640625" bestFit="1" customWidth="1"/>
    <col min="7" max="7" width="7.5" bestFit="1" customWidth="1"/>
    <col min="8" max="8" width="66.1640625" bestFit="1" customWidth="1"/>
    <col min="9" max="9" width="13.1640625" bestFit="1" customWidth="1"/>
    <col min="10" max="10" width="11.1640625" bestFit="1" customWidth="1"/>
    <col min="11" max="11" width="14.33203125" bestFit="1" customWidth="1"/>
    <col min="12" max="12" width="55" bestFit="1" customWidth="1"/>
    <col min="13" max="13" width="37.83203125" bestFit="1" customWidth="1"/>
    <col min="14" max="14" width="73.83203125" bestFit="1" customWidth="1"/>
    <col min="15" max="15" width="19.83203125" bestFit="1" customWidth="1"/>
    <col min="16" max="16" width="61.83203125" bestFit="1" customWidth="1"/>
    <col min="17" max="17" width="27" bestFit="1" customWidth="1"/>
    <col min="18" max="18" width="73.83203125" bestFit="1" customWidth="1"/>
    <col min="19" max="19" width="22.83203125" bestFit="1" customWidth="1"/>
    <col min="20" max="20" width="15.1640625" bestFit="1" customWidth="1"/>
    <col min="21" max="21" width="26.6640625" bestFit="1" customWidth="1"/>
    <col min="22" max="22" width="5.6640625" bestFit="1" customWidth="1"/>
    <col min="23" max="23" width="3.83203125" bestFit="1" customWidth="1"/>
    <col min="24" max="24" width="11.1640625" bestFit="1" customWidth="1"/>
    <col min="25" max="25" width="11.83203125" bestFit="1" customWidth="1"/>
    <col min="26" max="26" width="27" bestFit="1" customWidth="1"/>
    <col min="27" max="27" width="15.1640625" bestFit="1" customWidth="1"/>
    <col min="28" max="28" width="13.1640625" bestFit="1" customWidth="1"/>
    <col min="29" max="29" width="26" bestFit="1" customWidth="1"/>
  </cols>
  <sheetData>
    <row r="1" spans="1:29" s="7" customFormat="1">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c r="X1" s="7" t="s">
        <v>23</v>
      </c>
      <c r="Y1" s="7" t="s">
        <v>24</v>
      </c>
      <c r="Z1" s="7" t="s">
        <v>25</v>
      </c>
      <c r="AA1" s="7" t="s">
        <v>26</v>
      </c>
      <c r="AB1" s="8" t="s">
        <v>27</v>
      </c>
      <c r="AC1" s="7" t="s">
        <v>28</v>
      </c>
    </row>
    <row r="2" spans="1:29">
      <c r="A2" t="s">
        <v>29</v>
      </c>
      <c r="B2" s="1">
        <v>157969</v>
      </c>
      <c r="C2" t="s">
        <v>30</v>
      </c>
      <c r="D2" t="s">
        <v>31</v>
      </c>
      <c r="E2" s="1">
        <v>-7777</v>
      </c>
      <c r="F2" t="s">
        <v>32</v>
      </c>
      <c r="G2" t="s">
        <v>33</v>
      </c>
      <c r="H2" t="s">
        <v>34</v>
      </c>
      <c r="I2">
        <v>3</v>
      </c>
      <c r="J2" t="s">
        <v>35</v>
      </c>
      <c r="K2">
        <v>100</v>
      </c>
      <c r="L2" t="s">
        <v>36</v>
      </c>
      <c r="M2" t="s">
        <v>37</v>
      </c>
      <c r="N2" t="s">
        <v>38</v>
      </c>
      <c r="O2" t="s">
        <v>39</v>
      </c>
      <c r="P2" t="s">
        <v>40</v>
      </c>
      <c r="Q2" t="s">
        <v>41</v>
      </c>
      <c r="R2" t="s">
        <v>38</v>
      </c>
      <c r="S2" s="2">
        <v>45520</v>
      </c>
      <c r="T2">
        <v>0</v>
      </c>
      <c r="U2" t="s">
        <v>42</v>
      </c>
      <c r="V2">
        <v>0</v>
      </c>
      <c r="W2">
        <v>6</v>
      </c>
      <c r="X2">
        <v>251668</v>
      </c>
      <c r="Y2" t="s">
        <v>43</v>
      </c>
      <c r="Z2" t="s">
        <v>41</v>
      </c>
      <c r="AA2" t="s">
        <v>44</v>
      </c>
      <c r="AB2" t="s">
        <v>45</v>
      </c>
      <c r="AC2" t="s">
        <v>46</v>
      </c>
    </row>
    <row r="3" spans="1:29">
      <c r="A3" t="s">
        <v>47</v>
      </c>
      <c r="B3" s="1">
        <v>104978</v>
      </c>
      <c r="C3" t="s">
        <v>48</v>
      </c>
      <c r="D3" t="s">
        <v>31</v>
      </c>
      <c r="E3" s="1">
        <v>-10171</v>
      </c>
      <c r="F3" t="s">
        <v>49</v>
      </c>
      <c r="G3" t="s">
        <v>50</v>
      </c>
      <c r="H3" t="s">
        <v>51</v>
      </c>
      <c r="I3">
        <v>4</v>
      </c>
      <c r="J3" t="s">
        <v>52</v>
      </c>
      <c r="K3">
        <v>97</v>
      </c>
      <c r="L3" t="s">
        <v>53</v>
      </c>
      <c r="M3" t="s">
        <v>54</v>
      </c>
      <c r="N3" t="s">
        <v>55</v>
      </c>
      <c r="O3" t="s">
        <v>39</v>
      </c>
      <c r="P3" t="s">
        <v>56</v>
      </c>
      <c r="Q3" t="s">
        <v>57</v>
      </c>
      <c r="R3" t="s">
        <v>58</v>
      </c>
      <c r="S3" s="2">
        <v>45429</v>
      </c>
      <c r="T3" t="s">
        <v>59</v>
      </c>
      <c r="U3" t="s">
        <v>60</v>
      </c>
      <c r="V3">
        <v>1</v>
      </c>
      <c r="W3">
        <v>2</v>
      </c>
      <c r="X3">
        <v>210373</v>
      </c>
      <c r="Y3" t="s">
        <v>61</v>
      </c>
      <c r="Z3" t="s">
        <v>57</v>
      </c>
      <c r="AA3" t="s">
        <v>44</v>
      </c>
      <c r="AB3" t="s">
        <v>45</v>
      </c>
      <c r="AC3" t="s">
        <v>46</v>
      </c>
    </row>
    <row r="4" spans="1:29">
      <c r="A4" t="s">
        <v>62</v>
      </c>
      <c r="B4" s="1">
        <v>108548</v>
      </c>
      <c r="C4" t="s">
        <v>63</v>
      </c>
      <c r="D4" t="s">
        <v>31</v>
      </c>
      <c r="E4" s="1">
        <v>-4169</v>
      </c>
      <c r="F4" t="s">
        <v>64</v>
      </c>
      <c r="G4" t="s">
        <v>65</v>
      </c>
      <c r="H4" t="s">
        <v>66</v>
      </c>
      <c r="I4">
        <v>4</v>
      </c>
      <c r="J4" t="s">
        <v>67</v>
      </c>
      <c r="K4">
        <v>93</v>
      </c>
      <c r="L4" t="s">
        <v>68</v>
      </c>
      <c r="M4" t="s">
        <v>69</v>
      </c>
      <c r="N4" t="s">
        <v>70</v>
      </c>
      <c r="O4" t="s">
        <v>39</v>
      </c>
      <c r="P4" t="s">
        <v>71</v>
      </c>
      <c r="Q4" t="s">
        <v>72</v>
      </c>
      <c r="R4" t="s">
        <v>73</v>
      </c>
      <c r="S4" s="2">
        <v>45583</v>
      </c>
      <c r="T4">
        <v>0</v>
      </c>
      <c r="U4" t="s">
        <v>74</v>
      </c>
      <c r="V4">
        <v>1</v>
      </c>
      <c r="W4">
        <v>1</v>
      </c>
      <c r="X4">
        <v>166300</v>
      </c>
      <c r="Y4" t="s">
        <v>75</v>
      </c>
      <c r="Z4" t="s">
        <v>72</v>
      </c>
      <c r="AA4" t="s">
        <v>44</v>
      </c>
      <c r="AB4" t="s">
        <v>45</v>
      </c>
      <c r="AC4" t="s">
        <v>46</v>
      </c>
    </row>
    <row r="5" spans="1:29">
      <c r="A5" t="s">
        <v>76</v>
      </c>
      <c r="B5" s="1">
        <v>112966</v>
      </c>
      <c r="C5" t="s">
        <v>77</v>
      </c>
      <c r="D5" t="s">
        <v>31</v>
      </c>
      <c r="E5" t="s">
        <v>78</v>
      </c>
      <c r="F5" t="s">
        <v>79</v>
      </c>
      <c r="G5" t="s">
        <v>80</v>
      </c>
      <c r="H5" t="s">
        <v>81</v>
      </c>
      <c r="I5">
        <v>4</v>
      </c>
      <c r="J5" t="s">
        <v>82</v>
      </c>
      <c r="K5">
        <v>81</v>
      </c>
      <c r="L5" t="s">
        <v>83</v>
      </c>
      <c r="M5" t="s">
        <v>84</v>
      </c>
      <c r="N5" t="s">
        <v>85</v>
      </c>
      <c r="O5" t="s">
        <v>39</v>
      </c>
      <c r="P5" t="s">
        <v>86</v>
      </c>
      <c r="Q5" t="s">
        <v>87</v>
      </c>
      <c r="R5" t="s">
        <v>88</v>
      </c>
      <c r="S5" s="2">
        <v>45527</v>
      </c>
      <c r="T5">
        <v>0</v>
      </c>
      <c r="U5" t="s">
        <v>89</v>
      </c>
      <c r="V5">
        <v>0</v>
      </c>
      <c r="W5">
        <v>0</v>
      </c>
      <c r="X5">
        <v>157280</v>
      </c>
      <c r="Y5" t="s">
        <v>90</v>
      </c>
      <c r="Z5" t="s">
        <v>87</v>
      </c>
      <c r="AA5" t="s">
        <v>44</v>
      </c>
      <c r="AB5" t="s">
        <v>45</v>
      </c>
      <c r="AC5" t="s">
        <v>46</v>
      </c>
    </row>
    <row r="6" spans="1:29">
      <c r="A6" t="s">
        <v>91</v>
      </c>
      <c r="B6" s="1">
        <v>149027</v>
      </c>
      <c r="C6" t="s">
        <v>92</v>
      </c>
      <c r="D6" t="s">
        <v>31</v>
      </c>
      <c r="E6" s="1">
        <v>-4477</v>
      </c>
      <c r="F6" t="s">
        <v>93</v>
      </c>
      <c r="G6" t="s">
        <v>94</v>
      </c>
      <c r="H6" t="s">
        <v>95</v>
      </c>
      <c r="I6">
        <v>4</v>
      </c>
      <c r="J6" t="s">
        <v>96</v>
      </c>
      <c r="K6">
        <v>98</v>
      </c>
      <c r="L6" t="s">
        <v>97</v>
      </c>
      <c r="M6" t="s">
        <v>98</v>
      </c>
      <c r="N6" t="s">
        <v>99</v>
      </c>
      <c r="O6" t="s">
        <v>39</v>
      </c>
      <c r="P6" t="s">
        <v>100</v>
      </c>
      <c r="Q6" t="s">
        <v>101</v>
      </c>
      <c r="R6" t="s">
        <v>99</v>
      </c>
      <c r="S6" s="2">
        <v>45583</v>
      </c>
      <c r="T6">
        <v>0</v>
      </c>
      <c r="U6" t="s">
        <v>102</v>
      </c>
      <c r="V6">
        <v>0</v>
      </c>
      <c r="W6">
        <v>0</v>
      </c>
      <c r="X6">
        <v>169917</v>
      </c>
      <c r="Y6" t="s">
        <v>103</v>
      </c>
      <c r="Z6" t="s">
        <v>101</v>
      </c>
      <c r="AA6" t="s">
        <v>44</v>
      </c>
      <c r="AB6" t="s">
        <v>45</v>
      </c>
      <c r="AC6" t="s">
        <v>46</v>
      </c>
    </row>
    <row r="7" spans="1:29">
      <c r="A7" t="s">
        <v>104</v>
      </c>
      <c r="B7" s="1">
        <v>116712</v>
      </c>
      <c r="C7" t="s">
        <v>105</v>
      </c>
      <c r="D7" t="s">
        <v>31</v>
      </c>
      <c r="E7" t="s">
        <v>106</v>
      </c>
      <c r="F7" t="s">
        <v>107</v>
      </c>
      <c r="G7" t="s">
        <v>108</v>
      </c>
      <c r="H7" t="s">
        <v>109</v>
      </c>
      <c r="I7">
        <v>4</v>
      </c>
      <c r="J7" t="s">
        <v>110</v>
      </c>
      <c r="K7">
        <v>94</v>
      </c>
      <c r="L7" t="s">
        <v>111</v>
      </c>
      <c r="M7" t="s">
        <v>112</v>
      </c>
      <c r="N7" t="s">
        <v>113</v>
      </c>
      <c r="O7" t="s">
        <v>39</v>
      </c>
      <c r="P7" t="s">
        <v>114</v>
      </c>
      <c r="Q7" t="s">
        <v>115</v>
      </c>
      <c r="R7" t="s">
        <v>113</v>
      </c>
      <c r="S7" s="2">
        <v>45387</v>
      </c>
      <c r="T7">
        <v>0</v>
      </c>
      <c r="U7" t="s">
        <v>116</v>
      </c>
      <c r="V7">
        <v>0</v>
      </c>
      <c r="W7">
        <v>11</v>
      </c>
      <c r="X7">
        <v>218424</v>
      </c>
      <c r="Y7" t="s">
        <v>117</v>
      </c>
      <c r="Z7" t="s">
        <v>115</v>
      </c>
      <c r="AA7" t="s">
        <v>44</v>
      </c>
      <c r="AB7" t="s">
        <v>45</v>
      </c>
      <c r="AC7" t="s">
        <v>46</v>
      </c>
    </row>
    <row r="8" spans="1:29">
      <c r="A8" t="s">
        <v>118</v>
      </c>
      <c r="B8" s="1">
        <v>150069</v>
      </c>
      <c r="C8" t="s">
        <v>119</v>
      </c>
      <c r="D8" t="s">
        <v>31</v>
      </c>
      <c r="E8" s="1">
        <v>-6538</v>
      </c>
      <c r="F8" t="s">
        <v>120</v>
      </c>
      <c r="G8" t="s">
        <v>121</v>
      </c>
      <c r="H8" t="s">
        <v>122</v>
      </c>
      <c r="I8">
        <v>4</v>
      </c>
      <c r="J8" t="s">
        <v>123</v>
      </c>
      <c r="K8">
        <v>88</v>
      </c>
      <c r="L8" t="s">
        <v>124</v>
      </c>
      <c r="M8" t="s">
        <v>125</v>
      </c>
      <c r="N8" t="s">
        <v>126</v>
      </c>
      <c r="O8" t="s">
        <v>39</v>
      </c>
      <c r="P8" t="s">
        <v>127</v>
      </c>
      <c r="Q8" t="s">
        <v>128</v>
      </c>
      <c r="R8" t="s">
        <v>126</v>
      </c>
      <c r="S8" s="2">
        <v>45513</v>
      </c>
      <c r="T8" t="s">
        <v>129</v>
      </c>
      <c r="U8" t="s">
        <v>130</v>
      </c>
      <c r="V8">
        <v>1</v>
      </c>
      <c r="W8">
        <v>10</v>
      </c>
      <c r="X8">
        <v>169698</v>
      </c>
      <c r="Y8" t="s">
        <v>131</v>
      </c>
      <c r="Z8" t="s">
        <v>128</v>
      </c>
      <c r="AA8" t="s">
        <v>44</v>
      </c>
      <c r="AB8" t="s">
        <v>45</v>
      </c>
      <c r="AC8" t="s">
        <v>46</v>
      </c>
    </row>
    <row r="9" spans="1:29">
      <c r="A9" t="s">
        <v>132</v>
      </c>
      <c r="B9" s="1">
        <v>148101</v>
      </c>
      <c r="C9" t="s">
        <v>133</v>
      </c>
      <c r="D9" t="s">
        <v>31</v>
      </c>
      <c r="E9" s="1">
        <v>-12002</v>
      </c>
      <c r="F9" t="s">
        <v>134</v>
      </c>
      <c r="G9" t="s">
        <v>135</v>
      </c>
      <c r="H9" t="s">
        <v>51</v>
      </c>
      <c r="I9">
        <v>4</v>
      </c>
      <c r="J9" t="s">
        <v>136</v>
      </c>
      <c r="K9">
        <v>93</v>
      </c>
      <c r="L9" t="s">
        <v>137</v>
      </c>
      <c r="M9" t="s">
        <v>138</v>
      </c>
      <c r="N9" t="s">
        <v>55</v>
      </c>
      <c r="O9" t="s">
        <v>39</v>
      </c>
      <c r="P9" t="s">
        <v>139</v>
      </c>
      <c r="Q9" t="s">
        <v>140</v>
      </c>
      <c r="R9" t="s">
        <v>141</v>
      </c>
      <c r="S9" s="2">
        <v>45429</v>
      </c>
      <c r="T9" t="s">
        <v>142</v>
      </c>
      <c r="U9" t="s">
        <v>60</v>
      </c>
      <c r="V9">
        <v>0</v>
      </c>
      <c r="W9">
        <v>6</v>
      </c>
      <c r="X9">
        <v>261467</v>
      </c>
      <c r="Y9" t="s">
        <v>143</v>
      </c>
      <c r="Z9" t="s">
        <v>140</v>
      </c>
      <c r="AA9" t="s">
        <v>44</v>
      </c>
      <c r="AB9" t="s">
        <v>45</v>
      </c>
      <c r="AC9" t="s">
        <v>46</v>
      </c>
    </row>
    <row r="10" spans="1:29">
      <c r="A10" t="s">
        <v>144</v>
      </c>
      <c r="B10" s="1">
        <v>94926</v>
      </c>
      <c r="C10" t="s">
        <v>145</v>
      </c>
      <c r="D10" t="s">
        <v>31</v>
      </c>
      <c r="E10" s="1">
        <v>-10439</v>
      </c>
      <c r="F10" t="s">
        <v>146</v>
      </c>
      <c r="G10" t="s">
        <v>147</v>
      </c>
      <c r="H10" t="s">
        <v>148</v>
      </c>
      <c r="I10">
        <v>4</v>
      </c>
      <c r="J10" t="s">
        <v>149</v>
      </c>
      <c r="K10">
        <v>71</v>
      </c>
      <c r="L10" t="s">
        <v>150</v>
      </c>
      <c r="M10" t="s">
        <v>151</v>
      </c>
      <c r="N10" t="s">
        <v>152</v>
      </c>
      <c r="O10" t="s">
        <v>39</v>
      </c>
      <c r="P10" t="s">
        <v>153</v>
      </c>
      <c r="Q10" t="s">
        <v>154</v>
      </c>
      <c r="R10" t="s">
        <v>152</v>
      </c>
      <c r="S10" s="2">
        <v>45499</v>
      </c>
      <c r="T10" t="s">
        <v>155</v>
      </c>
      <c r="U10" t="s">
        <v>156</v>
      </c>
      <c r="V10">
        <v>1</v>
      </c>
      <c r="W10">
        <v>11</v>
      </c>
      <c r="X10">
        <v>211979</v>
      </c>
      <c r="Y10" t="s">
        <v>157</v>
      </c>
      <c r="Z10" t="s">
        <v>154</v>
      </c>
      <c r="AA10" t="s">
        <v>44</v>
      </c>
      <c r="AB10" t="s">
        <v>45</v>
      </c>
      <c r="AC10" t="s">
        <v>46</v>
      </c>
    </row>
    <row r="11" spans="1:29">
      <c r="A11" t="s">
        <v>158</v>
      </c>
      <c r="B11" s="1">
        <v>119973</v>
      </c>
      <c r="C11" t="s">
        <v>159</v>
      </c>
      <c r="D11" t="s">
        <v>31</v>
      </c>
      <c r="E11" s="1">
        <v>-5485</v>
      </c>
      <c r="F11" t="s">
        <v>160</v>
      </c>
      <c r="G11" t="s">
        <v>161</v>
      </c>
      <c r="H11" t="s">
        <v>162</v>
      </c>
      <c r="I11">
        <v>4</v>
      </c>
      <c r="J11" t="s">
        <v>163</v>
      </c>
      <c r="K11">
        <v>92</v>
      </c>
      <c r="L11" t="s">
        <v>164</v>
      </c>
      <c r="M11" t="s">
        <v>165</v>
      </c>
      <c r="N11" t="s">
        <v>166</v>
      </c>
      <c r="O11" t="s">
        <v>39</v>
      </c>
      <c r="P11" t="s">
        <v>167</v>
      </c>
      <c r="Q11" t="s">
        <v>168</v>
      </c>
      <c r="R11" t="s">
        <v>169</v>
      </c>
      <c r="S11" s="2">
        <v>45562</v>
      </c>
      <c r="T11" t="s">
        <v>170</v>
      </c>
      <c r="U11" t="s">
        <v>171</v>
      </c>
      <c r="V11">
        <v>0</v>
      </c>
      <c r="W11">
        <v>11</v>
      </c>
      <c r="X11">
        <v>256000</v>
      </c>
      <c r="Y11" t="s">
        <v>172</v>
      </c>
      <c r="Z11" t="s">
        <v>168</v>
      </c>
      <c r="AA11" t="s">
        <v>44</v>
      </c>
      <c r="AB11" t="s">
        <v>45</v>
      </c>
      <c r="AC11" t="s">
        <v>46</v>
      </c>
    </row>
    <row r="12" spans="1:29">
      <c r="A12" t="s">
        <v>173</v>
      </c>
      <c r="B12" s="1">
        <v>130019</v>
      </c>
      <c r="C12" t="s">
        <v>174</v>
      </c>
      <c r="D12" t="s">
        <v>31</v>
      </c>
      <c r="E12" s="1">
        <v>-6622</v>
      </c>
      <c r="F12" t="s">
        <v>175</v>
      </c>
      <c r="G12" t="s">
        <v>176</v>
      </c>
      <c r="H12" t="s">
        <v>177</v>
      </c>
      <c r="I12">
        <v>4</v>
      </c>
      <c r="J12" t="s">
        <v>178</v>
      </c>
      <c r="K12">
        <v>85</v>
      </c>
      <c r="L12" t="s">
        <v>179</v>
      </c>
      <c r="M12" t="s">
        <v>180</v>
      </c>
      <c r="N12" t="s">
        <v>181</v>
      </c>
      <c r="O12" t="s">
        <v>39</v>
      </c>
      <c r="P12" t="s">
        <v>182</v>
      </c>
      <c r="Q12" t="s">
        <v>183</v>
      </c>
      <c r="R12" t="s">
        <v>184</v>
      </c>
      <c r="S12" s="2">
        <v>45505</v>
      </c>
      <c r="T12" t="s">
        <v>185</v>
      </c>
      <c r="U12" t="s">
        <v>186</v>
      </c>
      <c r="V12">
        <v>1</v>
      </c>
      <c r="W12">
        <v>7</v>
      </c>
      <c r="X12">
        <v>145219</v>
      </c>
      <c r="Y12" t="s">
        <v>187</v>
      </c>
      <c r="Z12" t="s">
        <v>183</v>
      </c>
      <c r="AA12" t="s">
        <v>44</v>
      </c>
      <c r="AB12" t="s">
        <v>45</v>
      </c>
      <c r="AC12" t="s">
        <v>46</v>
      </c>
    </row>
    <row r="13" spans="1:29">
      <c r="A13" t="s">
        <v>188</v>
      </c>
      <c r="B13" s="1">
        <v>107071</v>
      </c>
      <c r="C13" t="s">
        <v>119</v>
      </c>
      <c r="D13" t="s">
        <v>31</v>
      </c>
      <c r="E13" s="1">
        <v>-6073</v>
      </c>
      <c r="F13" t="s">
        <v>189</v>
      </c>
      <c r="G13" t="s">
        <v>190</v>
      </c>
      <c r="H13" t="s">
        <v>81</v>
      </c>
      <c r="I13">
        <v>4</v>
      </c>
      <c r="J13" t="s">
        <v>191</v>
      </c>
      <c r="K13">
        <v>88</v>
      </c>
      <c r="L13" t="s">
        <v>192</v>
      </c>
      <c r="M13" t="s">
        <v>193</v>
      </c>
      <c r="N13" t="s">
        <v>194</v>
      </c>
      <c r="O13" t="s">
        <v>39</v>
      </c>
      <c r="P13" t="s">
        <v>195</v>
      </c>
      <c r="Q13" t="s">
        <v>196</v>
      </c>
      <c r="R13" t="s">
        <v>194</v>
      </c>
      <c r="S13" s="2">
        <v>45449</v>
      </c>
      <c r="T13">
        <v>0</v>
      </c>
      <c r="U13" t="s">
        <v>197</v>
      </c>
      <c r="V13">
        <v>1</v>
      </c>
      <c r="W13">
        <v>9</v>
      </c>
      <c r="X13">
        <v>186365</v>
      </c>
      <c r="Y13" t="s">
        <v>198</v>
      </c>
      <c r="Z13" t="s">
        <v>196</v>
      </c>
      <c r="AA13" t="s">
        <v>44</v>
      </c>
      <c r="AB13" t="s">
        <v>45</v>
      </c>
      <c r="AC13" t="s">
        <v>46</v>
      </c>
    </row>
    <row r="14" spans="1:29">
      <c r="A14" t="s">
        <v>199</v>
      </c>
      <c r="B14" s="1">
        <v>104032</v>
      </c>
      <c r="C14" t="s">
        <v>200</v>
      </c>
      <c r="D14" t="s">
        <v>31</v>
      </c>
      <c r="E14" s="1">
        <v>-3443</v>
      </c>
      <c r="F14" t="s">
        <v>201</v>
      </c>
      <c r="G14" t="s">
        <v>202</v>
      </c>
      <c r="H14" t="s">
        <v>203</v>
      </c>
      <c r="I14">
        <v>4</v>
      </c>
      <c r="J14" t="s">
        <v>204</v>
      </c>
      <c r="K14">
        <v>79</v>
      </c>
      <c r="L14" t="s">
        <v>205</v>
      </c>
      <c r="M14" t="s">
        <v>206</v>
      </c>
      <c r="N14" t="s">
        <v>207</v>
      </c>
      <c r="O14" t="s">
        <v>39</v>
      </c>
      <c r="P14" t="s">
        <v>208</v>
      </c>
      <c r="Q14" t="s">
        <v>209</v>
      </c>
      <c r="R14" t="s">
        <v>207</v>
      </c>
      <c r="S14" s="2">
        <v>45610</v>
      </c>
      <c r="T14">
        <v>0</v>
      </c>
      <c r="U14" t="s">
        <v>210</v>
      </c>
      <c r="V14">
        <v>1</v>
      </c>
      <c r="W14">
        <v>1</v>
      </c>
      <c r="X14">
        <v>181821</v>
      </c>
      <c r="Y14" t="s">
        <v>211</v>
      </c>
      <c r="Z14" t="s">
        <v>209</v>
      </c>
      <c r="AA14" t="s">
        <v>44</v>
      </c>
      <c r="AB14" t="s">
        <v>45</v>
      </c>
      <c r="AC14" t="s">
        <v>46</v>
      </c>
    </row>
    <row r="15" spans="1:29">
      <c r="A15" t="s">
        <v>212</v>
      </c>
      <c r="B15" s="1">
        <v>81012</v>
      </c>
      <c r="C15" t="s">
        <v>158</v>
      </c>
      <c r="D15" t="s">
        <v>31</v>
      </c>
      <c r="E15" t="s">
        <v>213</v>
      </c>
      <c r="F15" t="s">
        <v>214</v>
      </c>
      <c r="G15" t="s">
        <v>215</v>
      </c>
      <c r="H15" t="s">
        <v>216</v>
      </c>
      <c r="I15">
        <v>4</v>
      </c>
      <c r="J15" t="s">
        <v>217</v>
      </c>
      <c r="K15">
        <v>86</v>
      </c>
      <c r="L15" t="s">
        <v>218</v>
      </c>
      <c r="M15" t="s">
        <v>219</v>
      </c>
      <c r="N15" t="s">
        <v>220</v>
      </c>
      <c r="O15" t="s">
        <v>39</v>
      </c>
      <c r="P15" t="s">
        <v>221</v>
      </c>
      <c r="Q15" t="s">
        <v>222</v>
      </c>
      <c r="R15" t="s">
        <v>220</v>
      </c>
      <c r="S15" s="2">
        <v>45394</v>
      </c>
      <c r="T15">
        <v>0</v>
      </c>
      <c r="U15" t="s">
        <v>223</v>
      </c>
      <c r="V15">
        <v>1</v>
      </c>
      <c r="W15">
        <v>9</v>
      </c>
      <c r="X15">
        <v>171292</v>
      </c>
      <c r="Y15" t="s">
        <v>224</v>
      </c>
      <c r="Z15" t="s">
        <v>222</v>
      </c>
      <c r="AA15" t="s">
        <v>44</v>
      </c>
      <c r="AB15" t="s">
        <v>45</v>
      </c>
      <c r="AC15" t="s">
        <v>46</v>
      </c>
    </row>
    <row r="16" spans="1:29">
      <c r="A16" t="s">
        <v>225</v>
      </c>
      <c r="B16" s="1">
        <v>139982</v>
      </c>
      <c r="C16" t="s">
        <v>226</v>
      </c>
      <c r="D16" t="s">
        <v>31</v>
      </c>
      <c r="E16" s="1">
        <v>-4981</v>
      </c>
      <c r="F16" t="s">
        <v>227</v>
      </c>
      <c r="G16" t="s">
        <v>228</v>
      </c>
      <c r="H16" t="s">
        <v>109</v>
      </c>
      <c r="I16">
        <v>4</v>
      </c>
      <c r="J16" t="s">
        <v>229</v>
      </c>
      <c r="K16">
        <v>88</v>
      </c>
      <c r="L16" t="s">
        <v>230</v>
      </c>
      <c r="M16" t="s">
        <v>231</v>
      </c>
      <c r="N16" t="s">
        <v>232</v>
      </c>
      <c r="O16" t="s">
        <v>39</v>
      </c>
      <c r="P16" t="s">
        <v>233</v>
      </c>
      <c r="Q16" t="s">
        <v>234</v>
      </c>
      <c r="R16" t="s">
        <v>235</v>
      </c>
      <c r="S16" s="2">
        <v>45191</v>
      </c>
      <c r="T16">
        <v>0</v>
      </c>
      <c r="U16" t="s">
        <v>236</v>
      </c>
      <c r="V16">
        <v>1</v>
      </c>
      <c r="W16">
        <v>6</v>
      </c>
      <c r="X16">
        <v>184841</v>
      </c>
      <c r="Y16" t="s">
        <v>237</v>
      </c>
      <c r="Z16" t="s">
        <v>234</v>
      </c>
      <c r="AA16" t="s">
        <v>44</v>
      </c>
      <c r="AB16" t="s">
        <v>45</v>
      </c>
      <c r="AC16" t="s">
        <v>46</v>
      </c>
    </row>
    <row r="17" spans="1:29">
      <c r="A17" t="s">
        <v>238</v>
      </c>
      <c r="B17" s="1">
        <v>100987</v>
      </c>
      <c r="C17" t="s">
        <v>239</v>
      </c>
      <c r="D17" t="s">
        <v>31</v>
      </c>
      <c r="E17" s="1">
        <v>-2768</v>
      </c>
      <c r="F17" t="s">
        <v>240</v>
      </c>
      <c r="G17" t="s">
        <v>241</v>
      </c>
      <c r="H17" t="s">
        <v>242</v>
      </c>
      <c r="I17">
        <v>4</v>
      </c>
      <c r="J17" t="s">
        <v>49</v>
      </c>
      <c r="K17">
        <v>86</v>
      </c>
      <c r="L17" t="s">
        <v>243</v>
      </c>
      <c r="M17" t="s">
        <v>244</v>
      </c>
      <c r="N17" t="s">
        <v>245</v>
      </c>
      <c r="O17" t="s">
        <v>39</v>
      </c>
      <c r="P17" t="s">
        <v>246</v>
      </c>
      <c r="Q17" t="s">
        <v>247</v>
      </c>
      <c r="R17" t="s">
        <v>245</v>
      </c>
      <c r="S17" s="2">
        <v>45590</v>
      </c>
      <c r="T17">
        <v>0</v>
      </c>
      <c r="U17" t="s">
        <v>248</v>
      </c>
      <c r="V17">
        <v>0</v>
      </c>
      <c r="W17">
        <v>11</v>
      </c>
      <c r="X17">
        <v>229997</v>
      </c>
      <c r="Y17" t="s">
        <v>249</v>
      </c>
      <c r="Z17" t="s">
        <v>247</v>
      </c>
      <c r="AA17" t="s">
        <v>44</v>
      </c>
      <c r="AB17" t="s">
        <v>45</v>
      </c>
      <c r="AC17" t="s">
        <v>46</v>
      </c>
    </row>
    <row r="18" spans="1:29">
      <c r="A18" t="s">
        <v>250</v>
      </c>
      <c r="B18" s="1">
        <v>109939</v>
      </c>
      <c r="C18" t="s">
        <v>251</v>
      </c>
      <c r="D18" t="s">
        <v>31</v>
      </c>
      <c r="E18" s="1">
        <v>-3951</v>
      </c>
      <c r="F18" t="s">
        <v>252</v>
      </c>
      <c r="G18" t="s">
        <v>253</v>
      </c>
      <c r="H18" t="s">
        <v>254</v>
      </c>
      <c r="I18">
        <v>4</v>
      </c>
      <c r="J18" t="s">
        <v>255</v>
      </c>
      <c r="K18">
        <v>82</v>
      </c>
      <c r="L18" t="s">
        <v>256</v>
      </c>
      <c r="M18" t="s">
        <v>257</v>
      </c>
      <c r="N18" t="s">
        <v>258</v>
      </c>
      <c r="O18" t="s">
        <v>39</v>
      </c>
      <c r="P18" t="s">
        <v>259</v>
      </c>
      <c r="Q18" t="s">
        <v>260</v>
      </c>
      <c r="R18" t="s">
        <v>258</v>
      </c>
      <c r="S18" s="2">
        <v>45573</v>
      </c>
      <c r="T18">
        <v>0</v>
      </c>
      <c r="U18" t="s">
        <v>261</v>
      </c>
      <c r="V18">
        <v>0</v>
      </c>
      <c r="W18">
        <v>5</v>
      </c>
      <c r="X18">
        <v>155757</v>
      </c>
      <c r="Y18" t="s">
        <v>135</v>
      </c>
      <c r="Z18" t="s">
        <v>260</v>
      </c>
      <c r="AA18" t="s">
        <v>44</v>
      </c>
      <c r="AB18" t="s">
        <v>45</v>
      </c>
      <c r="AC18" t="s">
        <v>46</v>
      </c>
    </row>
    <row r="19" spans="1:29">
      <c r="A19" t="s">
        <v>262</v>
      </c>
      <c r="B19" s="1">
        <v>122064</v>
      </c>
      <c r="C19" t="s">
        <v>263</v>
      </c>
      <c r="D19" t="s">
        <v>31</v>
      </c>
      <c r="E19" s="1">
        <v>-5348</v>
      </c>
      <c r="F19" t="s">
        <v>264</v>
      </c>
      <c r="G19" t="s">
        <v>265</v>
      </c>
      <c r="H19" t="s">
        <v>266</v>
      </c>
      <c r="I19">
        <v>4</v>
      </c>
      <c r="J19" t="s">
        <v>267</v>
      </c>
      <c r="K19">
        <v>86</v>
      </c>
      <c r="L19" t="s">
        <v>268</v>
      </c>
      <c r="M19" t="s">
        <v>269</v>
      </c>
      <c r="N19" t="s">
        <v>270</v>
      </c>
      <c r="O19" t="s">
        <v>39</v>
      </c>
      <c r="P19" t="s">
        <v>271</v>
      </c>
      <c r="Q19" t="s">
        <v>272</v>
      </c>
      <c r="R19" t="s">
        <v>270</v>
      </c>
      <c r="S19" s="2">
        <v>45583</v>
      </c>
      <c r="T19" t="s">
        <v>273</v>
      </c>
      <c r="U19" t="s">
        <v>274</v>
      </c>
      <c r="V19">
        <v>0</v>
      </c>
      <c r="W19">
        <v>5</v>
      </c>
      <c r="X19">
        <v>204829</v>
      </c>
      <c r="Y19" t="s">
        <v>275</v>
      </c>
      <c r="Z19" t="s">
        <v>272</v>
      </c>
      <c r="AA19" t="s">
        <v>44</v>
      </c>
      <c r="AB19" t="s">
        <v>45</v>
      </c>
      <c r="AC19" t="s">
        <v>46</v>
      </c>
    </row>
    <row r="20" spans="1:29">
      <c r="A20" t="s">
        <v>276</v>
      </c>
      <c r="B20" t="s">
        <v>277</v>
      </c>
      <c r="C20" t="s">
        <v>278</v>
      </c>
      <c r="D20" t="s">
        <v>31</v>
      </c>
      <c r="E20" s="1">
        <v>-7507</v>
      </c>
      <c r="F20" t="s">
        <v>279</v>
      </c>
      <c r="G20" t="s">
        <v>280</v>
      </c>
      <c r="H20" t="s">
        <v>66</v>
      </c>
      <c r="I20">
        <v>3</v>
      </c>
      <c r="J20" t="s">
        <v>281</v>
      </c>
      <c r="K20">
        <v>90</v>
      </c>
      <c r="L20" t="s">
        <v>282</v>
      </c>
      <c r="M20" t="s">
        <v>283</v>
      </c>
      <c r="N20" t="s">
        <v>284</v>
      </c>
      <c r="O20" t="s">
        <v>39</v>
      </c>
      <c r="P20" t="s">
        <v>285</v>
      </c>
      <c r="Q20" t="s">
        <v>286</v>
      </c>
      <c r="R20" t="s">
        <v>287</v>
      </c>
      <c r="S20" s="2">
        <v>45464</v>
      </c>
      <c r="T20">
        <v>0</v>
      </c>
      <c r="U20" t="s">
        <v>288</v>
      </c>
      <c r="V20">
        <v>1</v>
      </c>
      <c r="W20">
        <v>10</v>
      </c>
      <c r="X20">
        <v>157147</v>
      </c>
      <c r="Y20" t="s">
        <v>289</v>
      </c>
      <c r="Z20" t="s">
        <v>286</v>
      </c>
      <c r="AA20" t="s">
        <v>44</v>
      </c>
      <c r="AB20" t="s">
        <v>45</v>
      </c>
      <c r="AC20" t="s">
        <v>46</v>
      </c>
    </row>
    <row r="21" spans="1:29">
      <c r="A21" t="s">
        <v>290</v>
      </c>
      <c r="B21" s="1">
        <v>119992</v>
      </c>
      <c r="C21" t="s">
        <v>291</v>
      </c>
      <c r="D21" t="s">
        <v>31</v>
      </c>
      <c r="E21" s="1">
        <v>-8529</v>
      </c>
      <c r="F21" t="s">
        <v>292</v>
      </c>
      <c r="G21" t="s">
        <v>293</v>
      </c>
      <c r="H21" t="s">
        <v>294</v>
      </c>
      <c r="I21">
        <v>4</v>
      </c>
      <c r="J21" t="s">
        <v>295</v>
      </c>
      <c r="K21">
        <v>86</v>
      </c>
      <c r="L21" t="s">
        <v>296</v>
      </c>
      <c r="M21" t="s">
        <v>297</v>
      </c>
      <c r="N21" t="s">
        <v>298</v>
      </c>
      <c r="O21" t="s">
        <v>39</v>
      </c>
      <c r="P21" t="s">
        <v>299</v>
      </c>
      <c r="Q21" t="s">
        <v>300</v>
      </c>
      <c r="R21" t="s">
        <v>298</v>
      </c>
      <c r="S21" s="2">
        <v>45450</v>
      </c>
      <c r="T21" t="s">
        <v>301</v>
      </c>
      <c r="U21" t="s">
        <v>302</v>
      </c>
      <c r="V21">
        <v>0</v>
      </c>
      <c r="W21">
        <v>8</v>
      </c>
      <c r="X21">
        <v>177599</v>
      </c>
      <c r="Y21" t="s">
        <v>303</v>
      </c>
      <c r="Z21" t="s">
        <v>300</v>
      </c>
      <c r="AA21" t="s">
        <v>44</v>
      </c>
      <c r="AB21" t="s">
        <v>45</v>
      </c>
      <c r="AC21" t="s">
        <v>46</v>
      </c>
    </row>
    <row r="22" spans="1:29">
      <c r="A22" t="s">
        <v>304</v>
      </c>
      <c r="B22" t="s">
        <v>305</v>
      </c>
      <c r="C22" t="s">
        <v>306</v>
      </c>
      <c r="D22" t="s">
        <v>31</v>
      </c>
      <c r="E22" s="1">
        <v>-3986</v>
      </c>
      <c r="F22" t="s">
        <v>307</v>
      </c>
      <c r="G22" t="s">
        <v>308</v>
      </c>
      <c r="H22" t="s">
        <v>309</v>
      </c>
      <c r="I22">
        <v>4</v>
      </c>
      <c r="J22" t="s">
        <v>310</v>
      </c>
      <c r="K22">
        <v>88</v>
      </c>
      <c r="L22" t="s">
        <v>311</v>
      </c>
      <c r="M22" t="s">
        <v>312</v>
      </c>
      <c r="N22" t="s">
        <v>313</v>
      </c>
      <c r="O22" t="s">
        <v>39</v>
      </c>
      <c r="P22" t="s">
        <v>314</v>
      </c>
      <c r="Q22" t="s">
        <v>315</v>
      </c>
      <c r="R22" t="s">
        <v>316</v>
      </c>
      <c r="S22" s="2">
        <v>45593</v>
      </c>
      <c r="T22">
        <v>0</v>
      </c>
      <c r="U22" t="s">
        <v>317</v>
      </c>
      <c r="V22">
        <v>1</v>
      </c>
      <c r="W22">
        <v>1</v>
      </c>
      <c r="X22">
        <v>255916</v>
      </c>
      <c r="Y22" t="s">
        <v>318</v>
      </c>
      <c r="Z22" t="s">
        <v>315</v>
      </c>
      <c r="AA22" t="s">
        <v>44</v>
      </c>
      <c r="AB22" t="s">
        <v>45</v>
      </c>
      <c r="AC22" t="s">
        <v>46</v>
      </c>
    </row>
    <row r="23" spans="1:29">
      <c r="A23" t="s">
        <v>319</v>
      </c>
      <c r="B23" s="1">
        <v>103969</v>
      </c>
      <c r="C23" t="s">
        <v>320</v>
      </c>
      <c r="D23" t="s">
        <v>31</v>
      </c>
      <c r="E23" s="1">
        <v>-5478</v>
      </c>
      <c r="F23" t="s">
        <v>321</v>
      </c>
      <c r="G23" t="s">
        <v>322</v>
      </c>
      <c r="H23" t="s">
        <v>81</v>
      </c>
      <c r="I23">
        <v>4</v>
      </c>
      <c r="J23" t="s">
        <v>323</v>
      </c>
      <c r="K23">
        <v>90</v>
      </c>
      <c r="L23" t="s">
        <v>324</v>
      </c>
      <c r="M23" t="s">
        <v>325</v>
      </c>
      <c r="N23" t="s">
        <v>326</v>
      </c>
      <c r="O23" t="s">
        <v>39</v>
      </c>
      <c r="P23" t="s">
        <v>327</v>
      </c>
      <c r="Q23" t="s">
        <v>328</v>
      </c>
      <c r="R23" t="s">
        <v>326</v>
      </c>
      <c r="S23" s="2">
        <v>45394</v>
      </c>
      <c r="T23" t="s">
        <v>329</v>
      </c>
      <c r="U23" t="s">
        <v>330</v>
      </c>
      <c r="V23">
        <v>1</v>
      </c>
      <c r="W23">
        <v>0</v>
      </c>
      <c r="X23">
        <v>175459</v>
      </c>
      <c r="Y23" t="s">
        <v>331</v>
      </c>
      <c r="Z23" t="s">
        <v>328</v>
      </c>
      <c r="AA23" t="s">
        <v>44</v>
      </c>
      <c r="AB23" t="s">
        <v>45</v>
      </c>
      <c r="AC23" t="s">
        <v>46</v>
      </c>
    </row>
    <row r="24" spans="1:29">
      <c r="A24" t="s">
        <v>332</v>
      </c>
      <c r="B24" s="1">
        <v>116988</v>
      </c>
      <c r="C24" t="s">
        <v>333</v>
      </c>
      <c r="D24" t="s">
        <v>31</v>
      </c>
      <c r="E24" s="1">
        <v>-4984</v>
      </c>
      <c r="F24" t="s">
        <v>334</v>
      </c>
      <c r="G24" t="s">
        <v>335</v>
      </c>
      <c r="H24" t="s">
        <v>336</v>
      </c>
      <c r="I24">
        <v>4</v>
      </c>
      <c r="J24" t="s">
        <v>337</v>
      </c>
      <c r="K24">
        <v>89</v>
      </c>
      <c r="L24" t="s">
        <v>338</v>
      </c>
      <c r="M24" t="s">
        <v>339</v>
      </c>
      <c r="N24" t="s">
        <v>340</v>
      </c>
      <c r="O24" t="s">
        <v>39</v>
      </c>
      <c r="P24" t="s">
        <v>341</v>
      </c>
      <c r="Q24" t="s">
        <v>342</v>
      </c>
      <c r="R24" t="s">
        <v>340</v>
      </c>
      <c r="S24" s="2">
        <v>45575</v>
      </c>
      <c r="T24" t="s">
        <v>343</v>
      </c>
      <c r="U24" t="s">
        <v>344</v>
      </c>
      <c r="V24">
        <v>0</v>
      </c>
      <c r="W24">
        <v>10</v>
      </c>
      <c r="X24">
        <v>136627</v>
      </c>
      <c r="Y24" t="s">
        <v>345</v>
      </c>
      <c r="Z24" t="s">
        <v>342</v>
      </c>
      <c r="AA24" t="s">
        <v>44</v>
      </c>
      <c r="AB24" t="s">
        <v>45</v>
      </c>
      <c r="AC24" t="s">
        <v>46</v>
      </c>
    </row>
    <row r="25" spans="1:29">
      <c r="A25" t="s">
        <v>346</v>
      </c>
      <c r="B25" s="1">
        <v>105008</v>
      </c>
      <c r="C25" t="s">
        <v>347</v>
      </c>
      <c r="D25" t="s">
        <v>31</v>
      </c>
      <c r="E25" s="1">
        <v>-5593</v>
      </c>
      <c r="F25" t="s">
        <v>348</v>
      </c>
      <c r="G25" t="s">
        <v>349</v>
      </c>
      <c r="H25" t="s">
        <v>350</v>
      </c>
      <c r="I25">
        <v>4</v>
      </c>
      <c r="J25" t="s">
        <v>351</v>
      </c>
      <c r="K25">
        <v>82</v>
      </c>
      <c r="L25" t="s">
        <v>352</v>
      </c>
      <c r="M25" t="s">
        <v>353</v>
      </c>
      <c r="N25" t="s">
        <v>354</v>
      </c>
      <c r="O25" t="s">
        <v>39</v>
      </c>
      <c r="P25" t="s">
        <v>355</v>
      </c>
      <c r="Q25" t="s">
        <v>356</v>
      </c>
      <c r="R25" t="s">
        <v>357</v>
      </c>
      <c r="S25" s="2">
        <v>45611</v>
      </c>
      <c r="T25" t="s">
        <v>358</v>
      </c>
      <c r="U25" t="s">
        <v>359</v>
      </c>
      <c r="V25">
        <v>0</v>
      </c>
      <c r="W25">
        <v>4</v>
      </c>
      <c r="X25">
        <v>182857</v>
      </c>
      <c r="Y25" t="s">
        <v>360</v>
      </c>
      <c r="Z25" t="s">
        <v>356</v>
      </c>
      <c r="AA25" t="s">
        <v>44</v>
      </c>
      <c r="AB25" t="s">
        <v>45</v>
      </c>
      <c r="AC25" t="s">
        <v>46</v>
      </c>
    </row>
    <row r="26" spans="1:29">
      <c r="A26" t="s">
        <v>361</v>
      </c>
      <c r="B26" t="s">
        <v>362</v>
      </c>
      <c r="C26" t="s">
        <v>225</v>
      </c>
      <c r="D26" t="s">
        <v>31</v>
      </c>
      <c r="E26" s="1">
        <v>-6715</v>
      </c>
      <c r="F26" t="s">
        <v>363</v>
      </c>
      <c r="G26" t="s">
        <v>364</v>
      </c>
      <c r="H26" t="s">
        <v>365</v>
      </c>
      <c r="I26">
        <v>4</v>
      </c>
      <c r="J26" t="s">
        <v>366</v>
      </c>
      <c r="K26">
        <v>85</v>
      </c>
      <c r="L26" t="s">
        <v>367</v>
      </c>
      <c r="M26" t="s">
        <v>368</v>
      </c>
      <c r="N26" t="s">
        <v>369</v>
      </c>
      <c r="O26" t="s">
        <v>39</v>
      </c>
      <c r="P26" t="s">
        <v>370</v>
      </c>
      <c r="Q26" t="s">
        <v>371</v>
      </c>
      <c r="R26" t="s">
        <v>372</v>
      </c>
      <c r="S26" s="2">
        <v>45457</v>
      </c>
      <c r="T26" t="s">
        <v>373</v>
      </c>
      <c r="U26" t="s">
        <v>374</v>
      </c>
      <c r="V26">
        <v>0</v>
      </c>
      <c r="W26">
        <v>4</v>
      </c>
      <c r="X26">
        <v>217333</v>
      </c>
      <c r="Y26" t="s">
        <v>375</v>
      </c>
      <c r="Z26" t="s">
        <v>371</v>
      </c>
      <c r="AA26" t="s">
        <v>44</v>
      </c>
      <c r="AB26" t="s">
        <v>45</v>
      </c>
      <c r="AC26" t="s">
        <v>46</v>
      </c>
    </row>
    <row r="27" spans="1:29">
      <c r="A27" t="s">
        <v>376</v>
      </c>
      <c r="B27" s="1">
        <v>127986</v>
      </c>
      <c r="C27" t="s">
        <v>377</v>
      </c>
      <c r="D27" t="s">
        <v>31</v>
      </c>
      <c r="E27" t="s">
        <v>378</v>
      </c>
      <c r="F27" t="s">
        <v>379</v>
      </c>
      <c r="G27" t="s">
        <v>380</v>
      </c>
      <c r="H27" t="s">
        <v>381</v>
      </c>
      <c r="I27">
        <v>4</v>
      </c>
      <c r="J27" t="s">
        <v>382</v>
      </c>
      <c r="K27">
        <v>84</v>
      </c>
      <c r="L27" t="s">
        <v>383</v>
      </c>
      <c r="M27" t="s">
        <v>384</v>
      </c>
      <c r="N27" t="s">
        <v>385</v>
      </c>
      <c r="O27" t="s">
        <v>39</v>
      </c>
      <c r="P27" t="s">
        <v>386</v>
      </c>
      <c r="Q27" t="s">
        <v>387</v>
      </c>
      <c r="R27" t="s">
        <v>388</v>
      </c>
      <c r="S27" s="2">
        <v>45422</v>
      </c>
      <c r="T27">
        <v>0</v>
      </c>
      <c r="U27" t="s">
        <v>389</v>
      </c>
      <c r="V27">
        <v>1</v>
      </c>
      <c r="W27">
        <v>7</v>
      </c>
      <c r="X27">
        <v>178206</v>
      </c>
      <c r="Y27" t="s">
        <v>390</v>
      </c>
      <c r="Z27" t="s">
        <v>387</v>
      </c>
      <c r="AA27" t="s">
        <v>44</v>
      </c>
      <c r="AB27" t="s">
        <v>45</v>
      </c>
      <c r="AC27" t="s">
        <v>46</v>
      </c>
    </row>
    <row r="28" spans="1:29">
      <c r="A28" t="s">
        <v>391</v>
      </c>
      <c r="B28" s="1">
        <v>117038</v>
      </c>
      <c r="C28" t="s">
        <v>392</v>
      </c>
      <c r="D28" t="s">
        <v>31</v>
      </c>
      <c r="E28" s="1">
        <v>-5505</v>
      </c>
      <c r="F28" t="s">
        <v>393</v>
      </c>
      <c r="G28" t="s">
        <v>394</v>
      </c>
      <c r="H28" t="s">
        <v>395</v>
      </c>
      <c r="I28">
        <v>4</v>
      </c>
      <c r="J28" t="s">
        <v>396</v>
      </c>
      <c r="K28">
        <v>77</v>
      </c>
      <c r="L28" t="s">
        <v>397</v>
      </c>
      <c r="M28" t="s">
        <v>398</v>
      </c>
      <c r="N28" t="s">
        <v>399</v>
      </c>
      <c r="O28" t="s">
        <v>39</v>
      </c>
      <c r="P28" t="s">
        <v>400</v>
      </c>
      <c r="Q28" t="s">
        <v>401</v>
      </c>
      <c r="R28" t="s">
        <v>402</v>
      </c>
      <c r="S28" s="2">
        <v>45373</v>
      </c>
      <c r="T28" t="s">
        <v>403</v>
      </c>
      <c r="U28" t="s">
        <v>404</v>
      </c>
      <c r="V28">
        <v>1</v>
      </c>
      <c r="W28">
        <v>10</v>
      </c>
      <c r="X28">
        <v>251424</v>
      </c>
      <c r="Y28" t="s">
        <v>405</v>
      </c>
      <c r="Z28" t="s">
        <v>401</v>
      </c>
      <c r="AA28" t="s">
        <v>44</v>
      </c>
      <c r="AB28" t="s">
        <v>45</v>
      </c>
      <c r="AC28" t="s">
        <v>46</v>
      </c>
    </row>
    <row r="29" spans="1:29">
      <c r="A29" t="s">
        <v>406</v>
      </c>
      <c r="B29" s="1">
        <v>97989</v>
      </c>
      <c r="C29" t="s">
        <v>407</v>
      </c>
      <c r="D29" t="s">
        <v>31</v>
      </c>
      <c r="E29" s="1">
        <v>-10612</v>
      </c>
      <c r="F29" t="s">
        <v>408</v>
      </c>
      <c r="G29" t="s">
        <v>409</v>
      </c>
      <c r="H29" t="s">
        <v>410</v>
      </c>
      <c r="I29">
        <v>4</v>
      </c>
      <c r="J29" t="s">
        <v>411</v>
      </c>
      <c r="K29">
        <v>84</v>
      </c>
      <c r="L29" t="s">
        <v>412</v>
      </c>
      <c r="M29" t="s">
        <v>413</v>
      </c>
      <c r="N29" t="s">
        <v>414</v>
      </c>
      <c r="O29" t="s">
        <v>39</v>
      </c>
      <c r="P29" t="s">
        <v>415</v>
      </c>
      <c r="Q29" t="s">
        <v>416</v>
      </c>
      <c r="R29" t="s">
        <v>417</v>
      </c>
      <c r="S29" s="2">
        <v>45443</v>
      </c>
      <c r="T29" t="s">
        <v>418</v>
      </c>
      <c r="U29" t="s">
        <v>419</v>
      </c>
      <c r="V29">
        <v>1</v>
      </c>
      <c r="W29">
        <v>7</v>
      </c>
      <c r="X29">
        <v>236907</v>
      </c>
      <c r="Y29" t="s">
        <v>420</v>
      </c>
      <c r="Z29" t="s">
        <v>416</v>
      </c>
      <c r="AA29" t="s">
        <v>44</v>
      </c>
      <c r="AB29" t="s">
        <v>45</v>
      </c>
      <c r="AC29" t="s">
        <v>46</v>
      </c>
    </row>
    <row r="30" spans="1:29">
      <c r="A30" t="s">
        <v>421</v>
      </c>
      <c r="B30" s="1">
        <v>112648</v>
      </c>
      <c r="C30" t="s">
        <v>422</v>
      </c>
      <c r="D30" t="s">
        <v>31</v>
      </c>
      <c r="E30" s="1">
        <v>-6968</v>
      </c>
      <c r="F30" t="s">
        <v>423</v>
      </c>
      <c r="G30" t="s">
        <v>424</v>
      </c>
      <c r="H30" t="s">
        <v>425</v>
      </c>
      <c r="I30">
        <v>3</v>
      </c>
      <c r="J30" t="s">
        <v>426</v>
      </c>
      <c r="K30">
        <v>93</v>
      </c>
      <c r="L30" t="s">
        <v>427</v>
      </c>
      <c r="M30" t="s">
        <v>428</v>
      </c>
      <c r="N30" t="s">
        <v>429</v>
      </c>
      <c r="O30" t="s">
        <v>39</v>
      </c>
      <c r="P30" t="s">
        <v>430</v>
      </c>
      <c r="Q30" t="s">
        <v>431</v>
      </c>
      <c r="R30" t="s">
        <v>429</v>
      </c>
      <c r="S30" s="2">
        <v>45561</v>
      </c>
      <c r="T30" t="s">
        <v>432</v>
      </c>
      <c r="U30" t="s">
        <v>433</v>
      </c>
      <c r="V30">
        <v>1</v>
      </c>
      <c r="W30">
        <v>6</v>
      </c>
      <c r="X30">
        <v>225881</v>
      </c>
      <c r="Y30" t="s">
        <v>434</v>
      </c>
      <c r="Z30" t="s">
        <v>431</v>
      </c>
      <c r="AA30" t="s">
        <v>44</v>
      </c>
      <c r="AB30" t="s">
        <v>45</v>
      </c>
      <c r="AC30" t="s">
        <v>46</v>
      </c>
    </row>
    <row r="31" spans="1:29">
      <c r="A31" t="s">
        <v>435</v>
      </c>
      <c r="B31" s="1">
        <v>123994</v>
      </c>
      <c r="C31" t="s">
        <v>436</v>
      </c>
      <c r="D31" t="s">
        <v>31</v>
      </c>
      <c r="E31" s="1">
        <v>-6129</v>
      </c>
      <c r="F31" t="s">
        <v>437</v>
      </c>
      <c r="G31" t="s">
        <v>438</v>
      </c>
      <c r="H31" t="s">
        <v>439</v>
      </c>
      <c r="I31">
        <v>4</v>
      </c>
      <c r="J31" t="s">
        <v>405</v>
      </c>
      <c r="K31">
        <v>88</v>
      </c>
      <c r="L31" t="s">
        <v>440</v>
      </c>
      <c r="M31" t="s">
        <v>441</v>
      </c>
      <c r="N31" t="s">
        <v>442</v>
      </c>
      <c r="O31" t="s">
        <v>39</v>
      </c>
      <c r="P31" t="s">
        <v>443</v>
      </c>
      <c r="Q31" t="s">
        <v>444</v>
      </c>
      <c r="R31" t="s">
        <v>442</v>
      </c>
      <c r="S31" s="2">
        <v>45422</v>
      </c>
      <c r="T31">
        <v>0</v>
      </c>
      <c r="U31" t="s">
        <v>445</v>
      </c>
      <c r="V31">
        <v>0</v>
      </c>
      <c r="W31">
        <v>1</v>
      </c>
      <c r="X31">
        <v>172533</v>
      </c>
      <c r="Y31" t="s">
        <v>446</v>
      </c>
      <c r="Z31" t="s">
        <v>444</v>
      </c>
      <c r="AA31" t="s">
        <v>44</v>
      </c>
      <c r="AB31" t="s">
        <v>45</v>
      </c>
      <c r="AC31" t="s">
        <v>46</v>
      </c>
    </row>
    <row r="32" spans="1:29">
      <c r="A32" t="s">
        <v>447</v>
      </c>
      <c r="B32" s="1">
        <v>167029</v>
      </c>
      <c r="C32" t="s">
        <v>448</v>
      </c>
      <c r="D32" t="s">
        <v>31</v>
      </c>
      <c r="E32" s="1">
        <v>-4222</v>
      </c>
      <c r="F32" t="s">
        <v>449</v>
      </c>
      <c r="G32" t="s">
        <v>450</v>
      </c>
      <c r="H32" t="s">
        <v>451</v>
      </c>
      <c r="I32">
        <v>4</v>
      </c>
      <c r="J32" t="s">
        <v>452</v>
      </c>
      <c r="K32">
        <v>70</v>
      </c>
      <c r="L32" t="s">
        <v>453</v>
      </c>
      <c r="M32" t="s">
        <v>454</v>
      </c>
      <c r="N32" t="s">
        <v>455</v>
      </c>
      <c r="O32" t="s">
        <v>39</v>
      </c>
      <c r="P32" t="s">
        <v>456</v>
      </c>
      <c r="Q32" t="s">
        <v>457</v>
      </c>
      <c r="R32" t="s">
        <v>455</v>
      </c>
      <c r="S32" s="2">
        <v>45575</v>
      </c>
      <c r="T32">
        <v>0</v>
      </c>
      <c r="U32" t="s">
        <v>458</v>
      </c>
      <c r="V32">
        <v>1</v>
      </c>
      <c r="W32">
        <v>1</v>
      </c>
      <c r="X32">
        <v>149461</v>
      </c>
      <c r="Y32" t="s">
        <v>459</v>
      </c>
      <c r="Z32" t="s">
        <v>457</v>
      </c>
      <c r="AA32" t="s">
        <v>44</v>
      </c>
      <c r="AB32" t="s">
        <v>45</v>
      </c>
      <c r="AC32" t="s">
        <v>46</v>
      </c>
    </row>
    <row r="33" spans="1:29">
      <c r="A33" t="s">
        <v>460</v>
      </c>
      <c r="B33" s="1">
        <v>115842</v>
      </c>
      <c r="C33" t="s">
        <v>461</v>
      </c>
      <c r="D33" t="s">
        <v>31</v>
      </c>
      <c r="E33" s="1">
        <v>-8334</v>
      </c>
      <c r="F33" t="s">
        <v>462</v>
      </c>
      <c r="G33" t="s">
        <v>463</v>
      </c>
      <c r="H33" t="s">
        <v>464</v>
      </c>
      <c r="I33">
        <v>4</v>
      </c>
      <c r="J33" t="s">
        <v>465</v>
      </c>
      <c r="K33">
        <v>81</v>
      </c>
      <c r="L33" t="s">
        <v>466</v>
      </c>
      <c r="M33" t="s">
        <v>467</v>
      </c>
      <c r="N33" t="s">
        <v>468</v>
      </c>
      <c r="O33" t="s">
        <v>39</v>
      </c>
      <c r="P33" t="s">
        <v>469</v>
      </c>
      <c r="Q33" t="s">
        <v>470</v>
      </c>
      <c r="R33" t="s">
        <v>471</v>
      </c>
      <c r="S33" s="2">
        <v>45359</v>
      </c>
      <c r="T33" t="s">
        <v>472</v>
      </c>
      <c r="U33" t="s">
        <v>473</v>
      </c>
      <c r="V33">
        <v>1</v>
      </c>
      <c r="W33">
        <v>5</v>
      </c>
      <c r="X33">
        <v>228639</v>
      </c>
      <c r="Y33" t="s">
        <v>474</v>
      </c>
      <c r="Z33" t="s">
        <v>470</v>
      </c>
      <c r="AA33" t="s">
        <v>44</v>
      </c>
      <c r="AB33" t="s">
        <v>45</v>
      </c>
      <c r="AC33" t="s">
        <v>46</v>
      </c>
    </row>
    <row r="34" spans="1:29">
      <c r="A34" t="s">
        <v>424</v>
      </c>
      <c r="B34" s="1">
        <v>105029</v>
      </c>
      <c r="C34" t="s">
        <v>475</v>
      </c>
      <c r="D34" t="s">
        <v>31</v>
      </c>
      <c r="E34" s="1">
        <v>-5692</v>
      </c>
      <c r="F34" t="s">
        <v>476</v>
      </c>
      <c r="G34" t="s">
        <v>477</v>
      </c>
      <c r="H34" t="s">
        <v>478</v>
      </c>
      <c r="I34">
        <v>3</v>
      </c>
      <c r="J34" t="s">
        <v>479</v>
      </c>
      <c r="K34">
        <v>85</v>
      </c>
      <c r="L34" t="s">
        <v>480</v>
      </c>
      <c r="M34" t="s">
        <v>481</v>
      </c>
      <c r="N34" t="s">
        <v>482</v>
      </c>
      <c r="O34" t="s">
        <v>39</v>
      </c>
      <c r="P34" t="s">
        <v>483</v>
      </c>
      <c r="Q34" t="s">
        <v>484</v>
      </c>
      <c r="R34" t="s">
        <v>482</v>
      </c>
      <c r="S34" s="2">
        <v>45309</v>
      </c>
      <c r="T34">
        <v>0</v>
      </c>
      <c r="U34" t="s">
        <v>485</v>
      </c>
      <c r="V34">
        <v>1</v>
      </c>
      <c r="W34">
        <v>10</v>
      </c>
      <c r="X34">
        <v>180304</v>
      </c>
      <c r="Y34" t="s">
        <v>486</v>
      </c>
      <c r="Z34" t="s">
        <v>484</v>
      </c>
      <c r="AA34" t="s">
        <v>44</v>
      </c>
      <c r="AB34" t="s">
        <v>45</v>
      </c>
      <c r="AC34" t="s">
        <v>46</v>
      </c>
    </row>
    <row r="35" spans="1:29">
      <c r="A35" t="s">
        <v>212</v>
      </c>
      <c r="B35" s="1">
        <v>194055</v>
      </c>
      <c r="C35" t="s">
        <v>487</v>
      </c>
      <c r="D35" t="s">
        <v>31</v>
      </c>
      <c r="E35" s="1">
        <v>-5778</v>
      </c>
      <c r="F35" t="s">
        <v>488</v>
      </c>
      <c r="G35" t="s">
        <v>489</v>
      </c>
      <c r="H35" t="s">
        <v>490</v>
      </c>
      <c r="I35">
        <v>4</v>
      </c>
      <c r="J35" t="s">
        <v>491</v>
      </c>
      <c r="K35">
        <v>84</v>
      </c>
      <c r="L35" t="s">
        <v>492</v>
      </c>
      <c r="M35" t="s">
        <v>493</v>
      </c>
      <c r="N35" t="s">
        <v>494</v>
      </c>
      <c r="O35" t="s">
        <v>39</v>
      </c>
      <c r="P35" t="s">
        <v>495</v>
      </c>
      <c r="Q35" t="s">
        <v>496</v>
      </c>
      <c r="R35" t="s">
        <v>497</v>
      </c>
      <c r="S35" s="2">
        <v>45582</v>
      </c>
      <c r="T35">
        <v>0</v>
      </c>
      <c r="U35" t="s">
        <v>498</v>
      </c>
      <c r="V35">
        <v>0</v>
      </c>
      <c r="W35">
        <v>6</v>
      </c>
      <c r="X35">
        <v>130880</v>
      </c>
      <c r="Y35" t="s">
        <v>499</v>
      </c>
      <c r="Z35" t="s">
        <v>496</v>
      </c>
      <c r="AA35" t="s">
        <v>44</v>
      </c>
      <c r="AB35" t="s">
        <v>45</v>
      </c>
      <c r="AC35" t="s">
        <v>46</v>
      </c>
    </row>
    <row r="36" spans="1:29">
      <c r="A36" t="s">
        <v>500</v>
      </c>
      <c r="B36" s="1">
        <v>167033</v>
      </c>
      <c r="C36" t="s">
        <v>501</v>
      </c>
      <c r="D36" t="s">
        <v>31</v>
      </c>
      <c r="E36" s="1">
        <v>-2655</v>
      </c>
      <c r="F36" t="s">
        <v>502</v>
      </c>
      <c r="G36" t="s">
        <v>503</v>
      </c>
      <c r="H36" t="s">
        <v>504</v>
      </c>
      <c r="I36">
        <v>4</v>
      </c>
      <c r="J36" t="s">
        <v>505</v>
      </c>
      <c r="K36">
        <v>85</v>
      </c>
      <c r="L36" t="s">
        <v>506</v>
      </c>
      <c r="M36" t="s">
        <v>507</v>
      </c>
      <c r="N36" t="s">
        <v>508</v>
      </c>
      <c r="O36" t="s">
        <v>39</v>
      </c>
      <c r="P36" t="s">
        <v>509</v>
      </c>
      <c r="Q36" t="s">
        <v>510</v>
      </c>
      <c r="R36" t="s">
        <v>508</v>
      </c>
      <c r="S36" s="2">
        <v>45499</v>
      </c>
      <c r="T36" t="s">
        <v>511</v>
      </c>
      <c r="U36" t="s">
        <v>512</v>
      </c>
      <c r="V36">
        <v>0</v>
      </c>
      <c r="W36">
        <v>5</v>
      </c>
      <c r="X36">
        <v>129883</v>
      </c>
      <c r="Y36" t="s">
        <v>513</v>
      </c>
      <c r="Z36" t="s">
        <v>510</v>
      </c>
      <c r="AA36" t="s">
        <v>44</v>
      </c>
      <c r="AB36" t="s">
        <v>45</v>
      </c>
      <c r="AC36" t="s">
        <v>46</v>
      </c>
    </row>
    <row r="37" spans="1:29">
      <c r="A37" t="s">
        <v>215</v>
      </c>
      <c r="B37" t="s">
        <v>514</v>
      </c>
      <c r="C37" t="s">
        <v>118</v>
      </c>
      <c r="D37" t="s">
        <v>31</v>
      </c>
      <c r="E37" s="1">
        <v>-4409</v>
      </c>
      <c r="F37" t="s">
        <v>189</v>
      </c>
      <c r="G37" t="s">
        <v>515</v>
      </c>
      <c r="H37" t="s">
        <v>516</v>
      </c>
      <c r="I37">
        <v>3</v>
      </c>
      <c r="J37" t="s">
        <v>517</v>
      </c>
      <c r="K37">
        <v>89</v>
      </c>
      <c r="L37" t="s">
        <v>518</v>
      </c>
      <c r="M37" t="s">
        <v>519</v>
      </c>
      <c r="N37" t="s">
        <v>520</v>
      </c>
      <c r="O37" t="s">
        <v>39</v>
      </c>
      <c r="P37" t="s">
        <v>521</v>
      </c>
      <c r="Q37" t="s">
        <v>522</v>
      </c>
      <c r="R37" t="s">
        <v>523</v>
      </c>
      <c r="S37" s="2">
        <v>45184</v>
      </c>
      <c r="T37" t="s">
        <v>524</v>
      </c>
      <c r="U37" t="s">
        <v>525</v>
      </c>
      <c r="V37">
        <v>1</v>
      </c>
      <c r="W37">
        <v>9</v>
      </c>
      <c r="X37">
        <v>210689</v>
      </c>
      <c r="Y37" t="s">
        <v>526</v>
      </c>
      <c r="Z37" t="s">
        <v>522</v>
      </c>
      <c r="AA37" t="s">
        <v>44</v>
      </c>
      <c r="AB37" t="s">
        <v>45</v>
      </c>
      <c r="AC37" t="s">
        <v>46</v>
      </c>
    </row>
    <row r="38" spans="1:29">
      <c r="A38" t="s">
        <v>527</v>
      </c>
      <c r="B38" s="1">
        <v>90969</v>
      </c>
      <c r="C38" t="s">
        <v>460</v>
      </c>
      <c r="D38" t="s">
        <v>31</v>
      </c>
      <c r="E38" s="1">
        <v>-5203</v>
      </c>
      <c r="F38" t="s">
        <v>528</v>
      </c>
      <c r="G38" t="s">
        <v>529</v>
      </c>
      <c r="H38" t="s">
        <v>530</v>
      </c>
      <c r="I38">
        <v>4</v>
      </c>
      <c r="J38" t="s">
        <v>531</v>
      </c>
      <c r="K38">
        <v>82</v>
      </c>
      <c r="L38" t="s">
        <v>532</v>
      </c>
      <c r="M38" t="s">
        <v>533</v>
      </c>
      <c r="N38" t="s">
        <v>534</v>
      </c>
      <c r="O38" t="s">
        <v>39</v>
      </c>
      <c r="P38" t="s">
        <v>535</v>
      </c>
      <c r="Q38" t="s">
        <v>536</v>
      </c>
      <c r="R38" t="s">
        <v>534</v>
      </c>
      <c r="S38" s="2">
        <v>45338</v>
      </c>
      <c r="T38">
        <v>0</v>
      </c>
      <c r="U38" t="s">
        <v>537</v>
      </c>
      <c r="V38">
        <v>1</v>
      </c>
      <c r="W38">
        <v>2</v>
      </c>
      <c r="X38">
        <v>148318</v>
      </c>
      <c r="Y38" t="s">
        <v>538</v>
      </c>
      <c r="Z38" t="s">
        <v>536</v>
      </c>
      <c r="AA38" t="s">
        <v>44</v>
      </c>
      <c r="AB38" t="s">
        <v>45</v>
      </c>
      <c r="AC38" t="s">
        <v>46</v>
      </c>
    </row>
    <row r="39" spans="1:29">
      <c r="A39" t="s">
        <v>527</v>
      </c>
      <c r="B39" s="1">
        <v>128027</v>
      </c>
      <c r="C39" t="s">
        <v>539</v>
      </c>
      <c r="D39" t="s">
        <v>31</v>
      </c>
      <c r="E39" s="1">
        <v>-6795</v>
      </c>
      <c r="F39" t="s">
        <v>540</v>
      </c>
      <c r="G39" t="s">
        <v>250</v>
      </c>
      <c r="H39" t="s">
        <v>541</v>
      </c>
      <c r="I39">
        <v>4</v>
      </c>
      <c r="J39" t="s">
        <v>542</v>
      </c>
      <c r="K39">
        <v>93</v>
      </c>
      <c r="L39" t="s">
        <v>543</v>
      </c>
      <c r="M39" t="s">
        <v>544</v>
      </c>
      <c r="N39" t="s">
        <v>545</v>
      </c>
      <c r="O39" t="s">
        <v>39</v>
      </c>
      <c r="P39" t="s">
        <v>546</v>
      </c>
      <c r="Q39" t="s">
        <v>547</v>
      </c>
      <c r="R39" t="s">
        <v>545</v>
      </c>
      <c r="S39" s="2">
        <v>45464</v>
      </c>
      <c r="T39" t="s">
        <v>548</v>
      </c>
      <c r="U39" t="s">
        <v>549</v>
      </c>
      <c r="V39">
        <v>1</v>
      </c>
      <c r="W39">
        <v>11</v>
      </c>
      <c r="X39">
        <v>195824</v>
      </c>
      <c r="Y39" t="s">
        <v>550</v>
      </c>
      <c r="Z39" t="s">
        <v>547</v>
      </c>
      <c r="AA39" t="s">
        <v>44</v>
      </c>
      <c r="AB39" t="s">
        <v>45</v>
      </c>
      <c r="AC39" t="s">
        <v>46</v>
      </c>
    </row>
    <row r="40" spans="1:29">
      <c r="A40" t="s">
        <v>551</v>
      </c>
      <c r="B40" s="1">
        <v>159982</v>
      </c>
      <c r="C40" t="s">
        <v>552</v>
      </c>
      <c r="D40" t="s">
        <v>31</v>
      </c>
      <c r="E40" s="1">
        <v>-7643</v>
      </c>
      <c r="F40" t="s">
        <v>553</v>
      </c>
      <c r="G40" t="s">
        <v>554</v>
      </c>
      <c r="H40" t="s">
        <v>555</v>
      </c>
      <c r="I40">
        <v>4</v>
      </c>
      <c r="J40" t="s">
        <v>172</v>
      </c>
      <c r="K40">
        <v>89</v>
      </c>
      <c r="L40" t="s">
        <v>556</v>
      </c>
      <c r="M40" t="s">
        <v>557</v>
      </c>
      <c r="N40" t="s">
        <v>558</v>
      </c>
      <c r="O40" t="s">
        <v>39</v>
      </c>
      <c r="P40" t="s">
        <v>559</v>
      </c>
      <c r="Q40" t="s">
        <v>560</v>
      </c>
      <c r="R40" t="s">
        <v>561</v>
      </c>
      <c r="S40" s="2">
        <v>44820</v>
      </c>
      <c r="T40" t="s">
        <v>562</v>
      </c>
      <c r="U40" t="s">
        <v>563</v>
      </c>
      <c r="V40">
        <v>1</v>
      </c>
      <c r="W40">
        <v>2</v>
      </c>
      <c r="X40">
        <v>159246</v>
      </c>
      <c r="Y40" t="s">
        <v>564</v>
      </c>
      <c r="Z40" t="s">
        <v>560</v>
      </c>
      <c r="AA40" t="s">
        <v>44</v>
      </c>
      <c r="AB40" t="s">
        <v>45</v>
      </c>
      <c r="AC40" t="s">
        <v>46</v>
      </c>
    </row>
    <row r="41" spans="1:29">
      <c r="A41" t="s">
        <v>565</v>
      </c>
      <c r="B41" s="1">
        <v>192004</v>
      </c>
      <c r="C41" t="s">
        <v>566</v>
      </c>
      <c r="D41" t="s">
        <v>31</v>
      </c>
      <c r="E41" s="1">
        <v>-10976</v>
      </c>
      <c r="F41" t="s">
        <v>567</v>
      </c>
      <c r="G41" t="s">
        <v>568</v>
      </c>
      <c r="H41" t="s">
        <v>569</v>
      </c>
      <c r="I41">
        <v>4</v>
      </c>
      <c r="J41" t="s">
        <v>570</v>
      </c>
      <c r="K41">
        <v>84</v>
      </c>
      <c r="L41" t="s">
        <v>571</v>
      </c>
      <c r="M41" t="s">
        <v>572</v>
      </c>
      <c r="N41" t="s">
        <v>573</v>
      </c>
      <c r="O41" t="s">
        <v>39</v>
      </c>
      <c r="P41" t="s">
        <v>574</v>
      </c>
      <c r="Q41" t="s">
        <v>575</v>
      </c>
      <c r="R41" t="s">
        <v>576</v>
      </c>
      <c r="S41" s="2">
        <v>45400</v>
      </c>
      <c r="T41" t="s">
        <v>577</v>
      </c>
      <c r="U41" t="s">
        <v>578</v>
      </c>
      <c r="V41">
        <v>1</v>
      </c>
      <c r="W41">
        <v>11</v>
      </c>
      <c r="X41">
        <v>228965</v>
      </c>
      <c r="Y41" t="s">
        <v>579</v>
      </c>
      <c r="Z41" t="s">
        <v>575</v>
      </c>
      <c r="AA41" t="s">
        <v>44</v>
      </c>
      <c r="AB41" t="s">
        <v>45</v>
      </c>
      <c r="AC41" t="s">
        <v>46</v>
      </c>
    </row>
    <row r="42" spans="1:29">
      <c r="A42" t="s">
        <v>580</v>
      </c>
      <c r="B42" s="1">
        <v>155079</v>
      </c>
      <c r="C42" t="s">
        <v>581</v>
      </c>
      <c r="D42" t="s">
        <v>31</v>
      </c>
      <c r="E42" s="1">
        <v>-6304</v>
      </c>
      <c r="F42" t="s">
        <v>582</v>
      </c>
      <c r="G42" t="s">
        <v>583</v>
      </c>
      <c r="H42" t="s">
        <v>584</v>
      </c>
      <c r="I42">
        <v>4</v>
      </c>
      <c r="J42" t="s">
        <v>585</v>
      </c>
      <c r="K42">
        <v>89</v>
      </c>
      <c r="L42" t="s">
        <v>586</v>
      </c>
      <c r="M42" t="s">
        <v>587</v>
      </c>
      <c r="N42" t="s">
        <v>588</v>
      </c>
      <c r="O42" t="s">
        <v>39</v>
      </c>
      <c r="P42" t="s">
        <v>589</v>
      </c>
      <c r="Q42" t="s">
        <v>590</v>
      </c>
      <c r="R42" t="s">
        <v>591</v>
      </c>
      <c r="S42" s="2">
        <v>45555</v>
      </c>
      <c r="T42">
        <v>0</v>
      </c>
      <c r="U42" t="s">
        <v>592</v>
      </c>
      <c r="V42">
        <v>0</v>
      </c>
      <c r="W42">
        <v>6</v>
      </c>
      <c r="X42">
        <v>223320</v>
      </c>
      <c r="Y42" t="s">
        <v>593</v>
      </c>
      <c r="Z42" t="s">
        <v>590</v>
      </c>
      <c r="AA42" t="s">
        <v>44</v>
      </c>
      <c r="AB42" t="s">
        <v>45</v>
      </c>
      <c r="AC42" t="s">
        <v>46</v>
      </c>
    </row>
    <row r="43" spans="1:29">
      <c r="A43" t="s">
        <v>475</v>
      </c>
      <c r="B43" s="1">
        <v>101061</v>
      </c>
      <c r="C43" t="s">
        <v>594</v>
      </c>
      <c r="D43" t="s">
        <v>31</v>
      </c>
      <c r="E43" s="1">
        <v>-7001</v>
      </c>
      <c r="F43" t="s">
        <v>595</v>
      </c>
      <c r="G43" t="s">
        <v>75</v>
      </c>
      <c r="H43" t="s">
        <v>596</v>
      </c>
      <c r="I43">
        <v>4</v>
      </c>
      <c r="J43" t="s">
        <v>597</v>
      </c>
      <c r="K43">
        <v>88</v>
      </c>
      <c r="L43" t="s">
        <v>598</v>
      </c>
      <c r="M43" t="s">
        <v>599</v>
      </c>
      <c r="N43" t="s">
        <v>600</v>
      </c>
      <c r="O43" t="s">
        <v>39</v>
      </c>
      <c r="P43" t="s">
        <v>601</v>
      </c>
      <c r="Q43" t="s">
        <v>602</v>
      </c>
      <c r="R43" t="s">
        <v>600</v>
      </c>
      <c r="S43" s="2">
        <v>45416</v>
      </c>
      <c r="T43">
        <v>0</v>
      </c>
      <c r="U43" t="s">
        <v>603</v>
      </c>
      <c r="V43">
        <v>1</v>
      </c>
      <c r="W43">
        <v>1</v>
      </c>
      <c r="X43">
        <v>274192</v>
      </c>
      <c r="Y43" t="s">
        <v>604</v>
      </c>
      <c r="Z43" t="s">
        <v>602</v>
      </c>
      <c r="AA43" t="s">
        <v>44</v>
      </c>
      <c r="AB43" t="s">
        <v>45</v>
      </c>
      <c r="AC43" t="s">
        <v>46</v>
      </c>
    </row>
    <row r="44" spans="1:29">
      <c r="A44" t="s">
        <v>605</v>
      </c>
      <c r="B44" s="1">
        <v>146921</v>
      </c>
      <c r="C44" t="s">
        <v>606</v>
      </c>
      <c r="D44" t="s">
        <v>31</v>
      </c>
      <c r="E44" t="s">
        <v>607</v>
      </c>
      <c r="F44" t="s">
        <v>608</v>
      </c>
      <c r="G44" t="s">
        <v>609</v>
      </c>
      <c r="H44" t="s">
        <v>610</v>
      </c>
      <c r="I44">
        <v>4</v>
      </c>
      <c r="J44" t="s">
        <v>611</v>
      </c>
      <c r="K44">
        <v>85</v>
      </c>
      <c r="L44" t="s">
        <v>612</v>
      </c>
      <c r="M44" t="s">
        <v>613</v>
      </c>
      <c r="N44" t="s">
        <v>614</v>
      </c>
      <c r="O44" t="s">
        <v>39</v>
      </c>
      <c r="P44" t="s">
        <v>615</v>
      </c>
      <c r="Q44" t="s">
        <v>616</v>
      </c>
      <c r="R44" t="s">
        <v>617</v>
      </c>
      <c r="S44" s="2">
        <v>45611</v>
      </c>
      <c r="T44">
        <v>0</v>
      </c>
      <c r="U44" t="s">
        <v>618</v>
      </c>
      <c r="V44">
        <v>1</v>
      </c>
      <c r="W44">
        <v>8</v>
      </c>
      <c r="X44">
        <v>151647</v>
      </c>
      <c r="Y44" t="s">
        <v>619</v>
      </c>
      <c r="Z44" t="s">
        <v>616</v>
      </c>
      <c r="AA44" t="s">
        <v>44</v>
      </c>
      <c r="AB44" t="s">
        <v>45</v>
      </c>
      <c r="AC44" t="s">
        <v>46</v>
      </c>
    </row>
    <row r="45" spans="1:29">
      <c r="A45" t="s">
        <v>489</v>
      </c>
      <c r="B45" t="s">
        <v>620</v>
      </c>
      <c r="C45" t="s">
        <v>621</v>
      </c>
      <c r="D45" t="s">
        <v>31</v>
      </c>
      <c r="E45" s="1">
        <v>-3574</v>
      </c>
      <c r="F45" t="s">
        <v>582</v>
      </c>
      <c r="G45" t="s">
        <v>622</v>
      </c>
      <c r="H45" t="s">
        <v>623</v>
      </c>
      <c r="I45">
        <v>4</v>
      </c>
      <c r="J45" t="s">
        <v>624</v>
      </c>
      <c r="K45">
        <v>84</v>
      </c>
      <c r="L45" t="s">
        <v>625</v>
      </c>
      <c r="M45" t="s">
        <v>626</v>
      </c>
      <c r="N45">
        <v>57</v>
      </c>
      <c r="O45" t="s">
        <v>39</v>
      </c>
      <c r="P45" t="s">
        <v>627</v>
      </c>
      <c r="Q45" t="s">
        <v>628</v>
      </c>
      <c r="R45">
        <v>57</v>
      </c>
      <c r="S45" s="2">
        <v>45604</v>
      </c>
      <c r="T45">
        <v>0</v>
      </c>
      <c r="U45" t="s">
        <v>629</v>
      </c>
      <c r="V45">
        <v>0</v>
      </c>
      <c r="W45">
        <v>1</v>
      </c>
      <c r="X45">
        <v>298131</v>
      </c>
      <c r="Y45" t="s">
        <v>363</v>
      </c>
      <c r="Z45" t="s">
        <v>628</v>
      </c>
      <c r="AA45" t="s">
        <v>44</v>
      </c>
      <c r="AB45" t="s">
        <v>45</v>
      </c>
      <c r="AC45" t="s">
        <v>46</v>
      </c>
    </row>
    <row r="46" spans="1:29">
      <c r="A46" t="s">
        <v>461</v>
      </c>
      <c r="B46" s="1">
        <v>114933</v>
      </c>
      <c r="C46" t="s">
        <v>630</v>
      </c>
      <c r="D46" t="s">
        <v>31</v>
      </c>
      <c r="E46" s="1">
        <v>-7233</v>
      </c>
      <c r="F46" t="s">
        <v>631</v>
      </c>
      <c r="G46" t="s">
        <v>503</v>
      </c>
      <c r="H46" t="s">
        <v>632</v>
      </c>
      <c r="I46">
        <v>4</v>
      </c>
      <c r="J46" t="s">
        <v>633</v>
      </c>
      <c r="K46">
        <v>87</v>
      </c>
      <c r="L46" t="s">
        <v>634</v>
      </c>
      <c r="M46" t="s">
        <v>635</v>
      </c>
      <c r="N46" t="s">
        <v>636</v>
      </c>
      <c r="O46" t="s">
        <v>39</v>
      </c>
      <c r="P46" t="s">
        <v>637</v>
      </c>
      <c r="Q46" t="s">
        <v>638</v>
      </c>
      <c r="R46" t="s">
        <v>636</v>
      </c>
      <c r="S46" s="2">
        <v>45527</v>
      </c>
      <c r="T46" t="s">
        <v>639</v>
      </c>
      <c r="U46" t="s">
        <v>640</v>
      </c>
      <c r="V46">
        <v>1</v>
      </c>
      <c r="W46">
        <v>1</v>
      </c>
      <c r="X46">
        <v>104419</v>
      </c>
      <c r="Y46" t="s">
        <v>641</v>
      </c>
      <c r="Z46" t="s">
        <v>638</v>
      </c>
      <c r="AA46" t="s">
        <v>44</v>
      </c>
      <c r="AB46" t="s">
        <v>45</v>
      </c>
      <c r="AC46" t="s">
        <v>46</v>
      </c>
    </row>
    <row r="47" spans="1:29">
      <c r="A47" t="s">
        <v>642</v>
      </c>
      <c r="B47" s="1">
        <v>184115</v>
      </c>
      <c r="C47" t="s">
        <v>643</v>
      </c>
      <c r="D47" t="s">
        <v>31</v>
      </c>
      <c r="E47" s="1">
        <v>-3344</v>
      </c>
      <c r="F47" t="s">
        <v>211</v>
      </c>
      <c r="G47" t="s">
        <v>199</v>
      </c>
      <c r="H47" t="s">
        <v>644</v>
      </c>
      <c r="I47">
        <v>4</v>
      </c>
      <c r="J47" t="s">
        <v>645</v>
      </c>
      <c r="K47">
        <v>89</v>
      </c>
      <c r="L47" t="s">
        <v>646</v>
      </c>
      <c r="M47" t="s">
        <v>647</v>
      </c>
      <c r="N47" t="s">
        <v>648</v>
      </c>
      <c r="O47" t="s">
        <v>39</v>
      </c>
      <c r="P47" t="s">
        <v>649</v>
      </c>
      <c r="Q47" t="s">
        <v>650</v>
      </c>
      <c r="R47" t="s">
        <v>648</v>
      </c>
      <c r="S47" s="2">
        <v>45540</v>
      </c>
      <c r="T47">
        <v>0</v>
      </c>
      <c r="U47" t="s">
        <v>651</v>
      </c>
      <c r="V47">
        <v>1</v>
      </c>
      <c r="W47">
        <v>7</v>
      </c>
      <c r="X47">
        <v>190428</v>
      </c>
      <c r="Y47" t="s">
        <v>652</v>
      </c>
      <c r="Z47" t="s">
        <v>650</v>
      </c>
      <c r="AA47" t="s">
        <v>44</v>
      </c>
      <c r="AB47" t="s">
        <v>45</v>
      </c>
      <c r="AC47" t="s">
        <v>46</v>
      </c>
    </row>
    <row r="48" spans="1:29">
      <c r="A48" t="s">
        <v>653</v>
      </c>
      <c r="B48" s="1">
        <v>116034</v>
      </c>
      <c r="C48" t="s">
        <v>654</v>
      </c>
      <c r="D48" t="s">
        <v>31</v>
      </c>
      <c r="E48" s="1">
        <v>-3743</v>
      </c>
      <c r="F48" t="s">
        <v>655</v>
      </c>
      <c r="G48" t="s">
        <v>335</v>
      </c>
      <c r="H48" t="s">
        <v>656</v>
      </c>
      <c r="I48">
        <v>4</v>
      </c>
      <c r="J48" t="s">
        <v>657</v>
      </c>
      <c r="K48">
        <v>92</v>
      </c>
      <c r="L48" t="s">
        <v>658</v>
      </c>
      <c r="M48" t="s">
        <v>659</v>
      </c>
      <c r="N48" t="s">
        <v>660</v>
      </c>
      <c r="O48" t="s">
        <v>39</v>
      </c>
      <c r="P48" t="s">
        <v>661</v>
      </c>
      <c r="Q48" t="s">
        <v>662</v>
      </c>
      <c r="R48" t="s">
        <v>663</v>
      </c>
      <c r="S48" s="2">
        <v>45492</v>
      </c>
      <c r="T48">
        <v>0</v>
      </c>
      <c r="U48" t="s">
        <v>664</v>
      </c>
      <c r="V48">
        <v>0</v>
      </c>
      <c r="W48">
        <v>0</v>
      </c>
      <c r="X48">
        <v>170888</v>
      </c>
      <c r="Y48" t="s">
        <v>665</v>
      </c>
      <c r="Z48" t="s">
        <v>662</v>
      </c>
      <c r="AA48" t="s">
        <v>44</v>
      </c>
      <c r="AB48" t="s">
        <v>45</v>
      </c>
      <c r="AC48" t="s">
        <v>46</v>
      </c>
    </row>
    <row r="49" spans="1:29">
      <c r="A49" t="s">
        <v>666</v>
      </c>
      <c r="B49" s="1">
        <v>147125</v>
      </c>
      <c r="C49" t="s">
        <v>190</v>
      </c>
      <c r="D49" t="s">
        <v>667</v>
      </c>
      <c r="E49" s="1">
        <v>-9484</v>
      </c>
      <c r="F49" t="s">
        <v>668</v>
      </c>
      <c r="G49" t="s">
        <v>669</v>
      </c>
      <c r="H49" t="s">
        <v>670</v>
      </c>
      <c r="I49">
        <v>4</v>
      </c>
      <c r="J49" t="s">
        <v>671</v>
      </c>
      <c r="K49">
        <v>81</v>
      </c>
      <c r="L49" t="s">
        <v>672</v>
      </c>
      <c r="M49" t="s">
        <v>673</v>
      </c>
      <c r="N49" t="s">
        <v>674</v>
      </c>
      <c r="O49" t="s">
        <v>675</v>
      </c>
      <c r="P49" t="s">
        <v>676</v>
      </c>
      <c r="Q49" t="s">
        <v>677</v>
      </c>
      <c r="R49" t="s">
        <v>678</v>
      </c>
      <c r="S49" s="2">
        <v>28102</v>
      </c>
      <c r="T49" t="s">
        <v>679</v>
      </c>
      <c r="U49" t="s">
        <v>680</v>
      </c>
      <c r="V49">
        <v>1</v>
      </c>
      <c r="W49">
        <v>2</v>
      </c>
      <c r="X49">
        <v>391376</v>
      </c>
      <c r="Y49" t="s">
        <v>681</v>
      </c>
      <c r="Z49" t="s">
        <v>677</v>
      </c>
      <c r="AA49" t="s">
        <v>682</v>
      </c>
      <c r="AB49" t="s">
        <v>45</v>
      </c>
      <c r="AC49" t="s">
        <v>683</v>
      </c>
    </row>
    <row r="50" spans="1:29">
      <c r="A50" t="s">
        <v>684</v>
      </c>
      <c r="B50" t="s">
        <v>685</v>
      </c>
      <c r="C50" t="s">
        <v>579</v>
      </c>
      <c r="D50" t="s">
        <v>667</v>
      </c>
      <c r="E50" s="1">
        <v>-5175</v>
      </c>
      <c r="F50" t="s">
        <v>686</v>
      </c>
      <c r="G50" t="s">
        <v>687</v>
      </c>
      <c r="H50" t="s">
        <v>688</v>
      </c>
      <c r="I50">
        <v>4</v>
      </c>
      <c r="J50" t="s">
        <v>689</v>
      </c>
      <c r="K50">
        <v>83</v>
      </c>
      <c r="L50" t="s">
        <v>690</v>
      </c>
      <c r="M50" t="s">
        <v>691</v>
      </c>
      <c r="N50" t="s">
        <v>692</v>
      </c>
      <c r="O50" t="s">
        <v>675</v>
      </c>
      <c r="P50" t="s">
        <v>693</v>
      </c>
      <c r="Q50" t="s">
        <v>694</v>
      </c>
      <c r="R50" t="s">
        <v>695</v>
      </c>
      <c r="S50" s="2">
        <v>33140</v>
      </c>
      <c r="T50" t="s">
        <v>696</v>
      </c>
      <c r="U50" t="s">
        <v>697</v>
      </c>
      <c r="V50">
        <v>1</v>
      </c>
      <c r="W50">
        <v>4</v>
      </c>
      <c r="X50">
        <v>292880</v>
      </c>
      <c r="Y50" t="s">
        <v>698</v>
      </c>
      <c r="Z50" t="s">
        <v>694</v>
      </c>
      <c r="AA50" t="s">
        <v>682</v>
      </c>
      <c r="AB50" t="s">
        <v>45</v>
      </c>
      <c r="AC50" t="s">
        <v>683</v>
      </c>
    </row>
    <row r="51" spans="1:29">
      <c r="A51" t="s">
        <v>550</v>
      </c>
      <c r="B51" s="1">
        <v>123596</v>
      </c>
      <c r="C51" t="s">
        <v>699</v>
      </c>
      <c r="D51" t="s">
        <v>667</v>
      </c>
      <c r="E51" s="1">
        <v>-7807</v>
      </c>
      <c r="F51" t="s">
        <v>700</v>
      </c>
      <c r="G51" t="s">
        <v>701</v>
      </c>
      <c r="H51" t="s">
        <v>702</v>
      </c>
      <c r="I51">
        <v>4</v>
      </c>
      <c r="J51" t="s">
        <v>703</v>
      </c>
      <c r="K51">
        <v>82</v>
      </c>
      <c r="L51" t="s">
        <v>704</v>
      </c>
      <c r="M51" t="s">
        <v>705</v>
      </c>
      <c r="N51" t="s">
        <v>706</v>
      </c>
      <c r="O51" t="s">
        <v>675</v>
      </c>
      <c r="P51" t="s">
        <v>707</v>
      </c>
      <c r="Q51" t="s">
        <v>708</v>
      </c>
      <c r="R51" t="s">
        <v>709</v>
      </c>
      <c r="S51" s="2">
        <v>37712</v>
      </c>
      <c r="T51" t="s">
        <v>710</v>
      </c>
      <c r="U51" t="s">
        <v>711</v>
      </c>
      <c r="V51">
        <v>0</v>
      </c>
      <c r="W51">
        <v>4</v>
      </c>
      <c r="X51">
        <v>232107</v>
      </c>
      <c r="Y51" t="s">
        <v>712</v>
      </c>
      <c r="Z51" t="s">
        <v>708</v>
      </c>
      <c r="AA51" t="s">
        <v>682</v>
      </c>
      <c r="AB51" t="s">
        <v>45</v>
      </c>
      <c r="AC51" t="s">
        <v>683</v>
      </c>
    </row>
    <row r="52" spans="1:29">
      <c r="A52" t="s">
        <v>713</v>
      </c>
      <c r="B52" s="1">
        <v>91844</v>
      </c>
      <c r="C52" t="s">
        <v>714</v>
      </c>
      <c r="D52" t="s">
        <v>667</v>
      </c>
      <c r="E52" s="1">
        <v>-9935</v>
      </c>
      <c r="F52" t="s">
        <v>715</v>
      </c>
      <c r="G52" t="s">
        <v>189</v>
      </c>
      <c r="H52" t="s">
        <v>716</v>
      </c>
      <c r="I52">
        <v>4</v>
      </c>
      <c r="J52" t="s">
        <v>717</v>
      </c>
      <c r="K52">
        <v>86</v>
      </c>
      <c r="L52" t="s">
        <v>718</v>
      </c>
      <c r="M52" t="s">
        <v>719</v>
      </c>
      <c r="N52" t="s">
        <v>720</v>
      </c>
      <c r="O52" t="s">
        <v>675</v>
      </c>
      <c r="P52" t="s">
        <v>721</v>
      </c>
      <c r="Q52" t="s">
        <v>722</v>
      </c>
      <c r="R52" t="s">
        <v>723</v>
      </c>
      <c r="S52" s="2">
        <v>34022</v>
      </c>
      <c r="T52" t="s">
        <v>724</v>
      </c>
      <c r="U52" t="s">
        <v>725</v>
      </c>
      <c r="V52">
        <v>1</v>
      </c>
      <c r="W52">
        <v>7</v>
      </c>
      <c r="X52">
        <v>238640</v>
      </c>
      <c r="Y52" t="s">
        <v>726</v>
      </c>
      <c r="Z52" t="s">
        <v>722</v>
      </c>
      <c r="AA52" t="s">
        <v>682</v>
      </c>
      <c r="AB52" t="s">
        <v>45</v>
      </c>
      <c r="AC52" t="s">
        <v>683</v>
      </c>
    </row>
    <row r="53" spans="1:29">
      <c r="A53" t="s">
        <v>727</v>
      </c>
      <c r="B53" s="1">
        <v>120125</v>
      </c>
      <c r="C53" t="s">
        <v>728</v>
      </c>
      <c r="D53" t="s">
        <v>667</v>
      </c>
      <c r="E53" s="1">
        <v>-5846</v>
      </c>
      <c r="F53" t="s">
        <v>729</v>
      </c>
      <c r="G53" t="s">
        <v>730</v>
      </c>
      <c r="H53" t="s">
        <v>731</v>
      </c>
      <c r="I53">
        <v>4</v>
      </c>
      <c r="J53" t="s">
        <v>732</v>
      </c>
      <c r="K53">
        <v>76</v>
      </c>
      <c r="L53" t="s">
        <v>733</v>
      </c>
      <c r="M53" t="s">
        <v>734</v>
      </c>
      <c r="N53" t="s">
        <v>735</v>
      </c>
      <c r="O53" t="s">
        <v>675</v>
      </c>
      <c r="P53" t="s">
        <v>736</v>
      </c>
      <c r="Q53" t="s">
        <v>737</v>
      </c>
      <c r="R53" t="s">
        <v>738</v>
      </c>
      <c r="S53" s="2">
        <v>33507</v>
      </c>
      <c r="T53" t="s">
        <v>739</v>
      </c>
      <c r="U53" t="s">
        <v>740</v>
      </c>
      <c r="V53">
        <v>0</v>
      </c>
      <c r="W53">
        <v>4</v>
      </c>
      <c r="X53">
        <v>218920</v>
      </c>
      <c r="Y53" t="s">
        <v>741</v>
      </c>
      <c r="Z53" t="s">
        <v>737</v>
      </c>
      <c r="AA53" t="s">
        <v>682</v>
      </c>
      <c r="AB53" t="s">
        <v>45</v>
      </c>
      <c r="AC53" t="s">
        <v>683</v>
      </c>
    </row>
    <row r="54" spans="1:29">
      <c r="A54" t="s">
        <v>742</v>
      </c>
      <c r="B54" s="1">
        <v>96483</v>
      </c>
      <c r="C54" t="s">
        <v>29</v>
      </c>
      <c r="D54" t="s">
        <v>667</v>
      </c>
      <c r="E54" s="1">
        <v>-2788</v>
      </c>
      <c r="F54" t="s">
        <v>743</v>
      </c>
      <c r="G54" t="s">
        <v>744</v>
      </c>
      <c r="H54" t="s">
        <v>745</v>
      </c>
      <c r="I54">
        <v>4</v>
      </c>
      <c r="J54" t="s">
        <v>671</v>
      </c>
      <c r="K54">
        <v>81</v>
      </c>
      <c r="L54" t="s">
        <v>746</v>
      </c>
      <c r="M54" t="s">
        <v>747</v>
      </c>
      <c r="N54" t="s">
        <v>748</v>
      </c>
      <c r="O54" t="s">
        <v>675</v>
      </c>
      <c r="P54" t="s">
        <v>749</v>
      </c>
      <c r="Q54" t="s">
        <v>750</v>
      </c>
      <c r="R54" t="s">
        <v>751</v>
      </c>
      <c r="S54" s="2">
        <v>36319</v>
      </c>
      <c r="T54" t="s">
        <v>752</v>
      </c>
      <c r="U54" t="s">
        <v>753</v>
      </c>
      <c r="V54">
        <v>0</v>
      </c>
      <c r="W54">
        <v>9</v>
      </c>
      <c r="X54">
        <v>329733</v>
      </c>
      <c r="Y54" t="s">
        <v>754</v>
      </c>
      <c r="Z54" t="s">
        <v>750</v>
      </c>
      <c r="AA54" t="s">
        <v>682</v>
      </c>
      <c r="AB54" t="s">
        <v>45</v>
      </c>
      <c r="AC54" t="s">
        <v>683</v>
      </c>
    </row>
    <row r="55" spans="1:29">
      <c r="A55" t="s">
        <v>755</v>
      </c>
      <c r="B55" s="1">
        <v>125304</v>
      </c>
      <c r="C55" t="s">
        <v>756</v>
      </c>
      <c r="D55" t="s">
        <v>667</v>
      </c>
      <c r="E55" s="1">
        <v>-5321</v>
      </c>
      <c r="F55" t="s">
        <v>757</v>
      </c>
      <c r="G55" t="s">
        <v>758</v>
      </c>
      <c r="H55" t="s">
        <v>759</v>
      </c>
      <c r="I55">
        <v>4</v>
      </c>
      <c r="J55" t="s">
        <v>760</v>
      </c>
      <c r="K55">
        <v>84</v>
      </c>
      <c r="L55" t="s">
        <v>761</v>
      </c>
      <c r="M55" t="s">
        <v>762</v>
      </c>
      <c r="N55" t="s">
        <v>763</v>
      </c>
      <c r="O55" t="s">
        <v>675</v>
      </c>
      <c r="P55" t="s">
        <v>764</v>
      </c>
      <c r="Q55" t="s">
        <v>765</v>
      </c>
      <c r="R55" t="s">
        <v>766</v>
      </c>
      <c r="S55" s="2">
        <v>31979</v>
      </c>
      <c r="T55" t="s">
        <v>767</v>
      </c>
      <c r="U55" t="s">
        <v>768</v>
      </c>
      <c r="V55">
        <v>1</v>
      </c>
      <c r="W55">
        <v>6</v>
      </c>
      <c r="X55">
        <v>356067</v>
      </c>
      <c r="Y55" t="s">
        <v>769</v>
      </c>
      <c r="Z55" t="s">
        <v>765</v>
      </c>
      <c r="AA55" t="s">
        <v>682</v>
      </c>
      <c r="AB55" t="s">
        <v>45</v>
      </c>
      <c r="AC55" t="s">
        <v>683</v>
      </c>
    </row>
    <row r="56" spans="1:29">
      <c r="A56" t="s">
        <v>770</v>
      </c>
      <c r="B56" s="1">
        <v>158691</v>
      </c>
      <c r="C56" t="s">
        <v>771</v>
      </c>
      <c r="D56" t="s">
        <v>667</v>
      </c>
      <c r="E56" s="1">
        <v>-9267</v>
      </c>
      <c r="F56" t="s">
        <v>772</v>
      </c>
      <c r="G56" t="s">
        <v>143</v>
      </c>
      <c r="H56" t="s">
        <v>773</v>
      </c>
      <c r="I56">
        <v>4</v>
      </c>
      <c r="J56" t="s">
        <v>774</v>
      </c>
      <c r="K56">
        <v>81</v>
      </c>
      <c r="L56" t="s">
        <v>775</v>
      </c>
      <c r="M56" t="s">
        <v>776</v>
      </c>
      <c r="N56" t="s">
        <v>777</v>
      </c>
      <c r="O56" t="s">
        <v>675</v>
      </c>
      <c r="P56" t="s">
        <v>778</v>
      </c>
      <c r="Q56" t="s">
        <v>779</v>
      </c>
      <c r="R56" t="s">
        <v>780</v>
      </c>
      <c r="S56" s="2">
        <v>24212</v>
      </c>
      <c r="T56" t="s">
        <v>781</v>
      </c>
      <c r="U56" t="s">
        <v>782</v>
      </c>
      <c r="V56">
        <v>1</v>
      </c>
      <c r="W56">
        <v>1</v>
      </c>
      <c r="X56">
        <v>202267</v>
      </c>
      <c r="Y56" t="s">
        <v>783</v>
      </c>
      <c r="Z56" t="s">
        <v>779</v>
      </c>
      <c r="AA56" t="s">
        <v>682</v>
      </c>
      <c r="AB56" t="s">
        <v>45</v>
      </c>
      <c r="AC56" t="s">
        <v>683</v>
      </c>
    </row>
    <row r="57" spans="1:29">
      <c r="A57" t="s">
        <v>145</v>
      </c>
      <c r="B57" s="1">
        <v>120151</v>
      </c>
      <c r="C57" t="s">
        <v>784</v>
      </c>
      <c r="D57" t="s">
        <v>667</v>
      </c>
      <c r="E57" s="1">
        <v>-9744</v>
      </c>
      <c r="F57" t="s">
        <v>785</v>
      </c>
      <c r="G57" t="s">
        <v>786</v>
      </c>
      <c r="H57" t="s">
        <v>787</v>
      </c>
      <c r="I57">
        <v>4</v>
      </c>
      <c r="J57" t="s">
        <v>788</v>
      </c>
      <c r="K57">
        <v>84</v>
      </c>
      <c r="L57" t="s">
        <v>789</v>
      </c>
      <c r="M57" t="s">
        <v>790</v>
      </c>
      <c r="N57" t="s">
        <v>791</v>
      </c>
      <c r="O57" t="s">
        <v>675</v>
      </c>
      <c r="P57" t="s">
        <v>792</v>
      </c>
      <c r="Q57" t="s">
        <v>793</v>
      </c>
      <c r="R57" t="s">
        <v>794</v>
      </c>
      <c r="S57" s="2">
        <v>28160</v>
      </c>
      <c r="T57" t="s">
        <v>795</v>
      </c>
      <c r="U57" t="s">
        <v>796</v>
      </c>
      <c r="V57">
        <v>1</v>
      </c>
      <c r="W57">
        <v>0</v>
      </c>
      <c r="X57">
        <v>257800</v>
      </c>
      <c r="Y57" t="s">
        <v>797</v>
      </c>
      <c r="Z57" t="s">
        <v>793</v>
      </c>
      <c r="AA57" t="s">
        <v>682</v>
      </c>
      <c r="AB57" t="s">
        <v>45</v>
      </c>
      <c r="AC57" t="s">
        <v>683</v>
      </c>
    </row>
    <row r="58" spans="1:29">
      <c r="A58" t="s">
        <v>798</v>
      </c>
      <c r="B58" s="1">
        <v>158066</v>
      </c>
      <c r="C58" t="s">
        <v>799</v>
      </c>
      <c r="D58" t="s">
        <v>667</v>
      </c>
      <c r="E58" s="1">
        <v>-5541</v>
      </c>
      <c r="F58" t="s">
        <v>800</v>
      </c>
      <c r="G58" t="s">
        <v>801</v>
      </c>
      <c r="H58" t="s">
        <v>802</v>
      </c>
      <c r="I58">
        <v>4</v>
      </c>
      <c r="J58" t="s">
        <v>803</v>
      </c>
      <c r="K58">
        <v>81</v>
      </c>
      <c r="L58" t="s">
        <v>804</v>
      </c>
      <c r="M58" t="s">
        <v>805</v>
      </c>
      <c r="N58" t="s">
        <v>806</v>
      </c>
      <c r="O58" t="s">
        <v>675</v>
      </c>
      <c r="P58" t="s">
        <v>807</v>
      </c>
      <c r="Q58" t="s">
        <v>808</v>
      </c>
      <c r="R58" t="s">
        <v>809</v>
      </c>
      <c r="S58" s="2">
        <v>35570</v>
      </c>
      <c r="T58" t="s">
        <v>810</v>
      </c>
      <c r="U58" t="s">
        <v>811</v>
      </c>
      <c r="V58">
        <v>0</v>
      </c>
      <c r="W58">
        <v>11</v>
      </c>
      <c r="X58">
        <v>250547</v>
      </c>
      <c r="Y58" t="s">
        <v>812</v>
      </c>
      <c r="Z58" t="s">
        <v>808</v>
      </c>
      <c r="AA58" t="s">
        <v>682</v>
      </c>
      <c r="AB58" t="s">
        <v>45</v>
      </c>
      <c r="AC58" t="s">
        <v>683</v>
      </c>
    </row>
    <row r="59" spans="1:29">
      <c r="A59" t="s">
        <v>813</v>
      </c>
      <c r="B59" s="1">
        <v>94379</v>
      </c>
      <c r="C59" t="s">
        <v>33</v>
      </c>
      <c r="D59" t="s">
        <v>667</v>
      </c>
      <c r="E59" s="1">
        <v>-5025</v>
      </c>
      <c r="F59" t="s">
        <v>814</v>
      </c>
      <c r="G59" t="s">
        <v>815</v>
      </c>
      <c r="H59" t="s">
        <v>816</v>
      </c>
      <c r="I59">
        <v>4</v>
      </c>
      <c r="J59" t="s">
        <v>136</v>
      </c>
      <c r="K59">
        <v>77</v>
      </c>
      <c r="L59" t="s">
        <v>817</v>
      </c>
      <c r="M59" t="s">
        <v>818</v>
      </c>
      <c r="N59" t="s">
        <v>819</v>
      </c>
      <c r="O59" t="s">
        <v>675</v>
      </c>
      <c r="P59" t="s">
        <v>820</v>
      </c>
      <c r="Q59" t="s">
        <v>821</v>
      </c>
      <c r="R59" t="s">
        <v>822</v>
      </c>
      <c r="S59" s="2">
        <v>29908</v>
      </c>
      <c r="T59">
        <v>0</v>
      </c>
      <c r="U59" t="s">
        <v>823</v>
      </c>
      <c r="V59">
        <v>1</v>
      </c>
      <c r="W59">
        <v>4</v>
      </c>
      <c r="X59">
        <v>175173</v>
      </c>
      <c r="Y59" t="s">
        <v>824</v>
      </c>
      <c r="Z59" t="s">
        <v>821</v>
      </c>
      <c r="AA59" t="s">
        <v>682</v>
      </c>
      <c r="AB59" t="s">
        <v>45</v>
      </c>
      <c r="AC59" t="s">
        <v>683</v>
      </c>
    </row>
    <row r="60" spans="1:29">
      <c r="A60" t="s">
        <v>825</v>
      </c>
      <c r="B60" s="1">
        <v>93503</v>
      </c>
      <c r="C60" t="s">
        <v>641</v>
      </c>
      <c r="D60" t="s">
        <v>667</v>
      </c>
      <c r="E60" s="1">
        <v>-10687</v>
      </c>
      <c r="F60" t="s">
        <v>437</v>
      </c>
      <c r="G60" t="s">
        <v>826</v>
      </c>
      <c r="H60" t="s">
        <v>827</v>
      </c>
      <c r="I60">
        <v>4</v>
      </c>
      <c r="J60" t="s">
        <v>103</v>
      </c>
      <c r="K60">
        <v>79</v>
      </c>
      <c r="L60" t="s">
        <v>828</v>
      </c>
      <c r="M60" t="s">
        <v>829</v>
      </c>
      <c r="N60" t="s">
        <v>830</v>
      </c>
      <c r="O60" t="s">
        <v>675</v>
      </c>
      <c r="P60" t="s">
        <v>831</v>
      </c>
      <c r="Q60" t="s">
        <v>832</v>
      </c>
      <c r="R60" t="s">
        <v>833</v>
      </c>
      <c r="S60">
        <v>1977</v>
      </c>
      <c r="T60" t="s">
        <v>834</v>
      </c>
      <c r="U60" t="s">
        <v>835</v>
      </c>
      <c r="V60">
        <v>1</v>
      </c>
      <c r="W60">
        <v>7</v>
      </c>
      <c r="X60">
        <v>206267</v>
      </c>
      <c r="Y60" t="s">
        <v>836</v>
      </c>
      <c r="Z60" t="s">
        <v>832</v>
      </c>
      <c r="AA60" t="s">
        <v>682</v>
      </c>
      <c r="AB60" t="s">
        <v>45</v>
      </c>
      <c r="AC60" t="s">
        <v>683</v>
      </c>
    </row>
    <row r="61" spans="1:29">
      <c r="A61" t="s">
        <v>837</v>
      </c>
      <c r="B61" s="1">
        <v>104114</v>
      </c>
      <c r="C61" t="s">
        <v>838</v>
      </c>
      <c r="D61" t="s">
        <v>667</v>
      </c>
      <c r="E61" s="1">
        <v>-15882</v>
      </c>
      <c r="F61" t="s">
        <v>132</v>
      </c>
      <c r="G61" t="s">
        <v>839</v>
      </c>
      <c r="H61" t="s">
        <v>840</v>
      </c>
      <c r="I61">
        <v>4</v>
      </c>
      <c r="J61" t="s">
        <v>841</v>
      </c>
      <c r="K61">
        <v>74</v>
      </c>
      <c r="L61" t="s">
        <v>842</v>
      </c>
      <c r="M61" t="s">
        <v>843</v>
      </c>
      <c r="N61" t="s">
        <v>844</v>
      </c>
      <c r="O61" t="s">
        <v>675</v>
      </c>
      <c r="P61" t="s">
        <v>845</v>
      </c>
      <c r="Q61" t="s">
        <v>846</v>
      </c>
      <c r="R61" t="s">
        <v>847</v>
      </c>
      <c r="S61" s="2">
        <v>29189</v>
      </c>
      <c r="T61" t="s">
        <v>848</v>
      </c>
      <c r="U61" t="s">
        <v>849</v>
      </c>
      <c r="V61">
        <v>1</v>
      </c>
      <c r="W61">
        <v>0</v>
      </c>
      <c r="X61">
        <v>238747</v>
      </c>
      <c r="Y61" t="s">
        <v>850</v>
      </c>
      <c r="Z61" t="s">
        <v>846</v>
      </c>
      <c r="AA61" t="s">
        <v>682</v>
      </c>
      <c r="AB61" t="s">
        <v>45</v>
      </c>
      <c r="AC61" t="s">
        <v>683</v>
      </c>
    </row>
    <row r="62" spans="1:29">
      <c r="A62" t="s">
        <v>851</v>
      </c>
      <c r="B62" s="1">
        <v>152445</v>
      </c>
      <c r="C62" t="s">
        <v>641</v>
      </c>
      <c r="D62" t="s">
        <v>667</v>
      </c>
      <c r="E62" s="1">
        <v>-4321</v>
      </c>
      <c r="F62" t="s">
        <v>476</v>
      </c>
      <c r="G62" t="s">
        <v>852</v>
      </c>
      <c r="H62" t="s">
        <v>853</v>
      </c>
      <c r="I62">
        <v>4</v>
      </c>
      <c r="J62" t="s">
        <v>854</v>
      </c>
      <c r="K62">
        <v>72</v>
      </c>
      <c r="L62" t="s">
        <v>855</v>
      </c>
      <c r="M62" t="s">
        <v>856</v>
      </c>
      <c r="N62" t="s">
        <v>853</v>
      </c>
      <c r="O62" t="s">
        <v>675</v>
      </c>
      <c r="P62" t="s">
        <v>857</v>
      </c>
      <c r="Q62" t="s">
        <v>858</v>
      </c>
      <c r="R62" t="s">
        <v>859</v>
      </c>
      <c r="S62" s="2">
        <v>30704</v>
      </c>
      <c r="T62" t="s">
        <v>860</v>
      </c>
      <c r="U62" t="s">
        <v>861</v>
      </c>
      <c r="V62">
        <v>0</v>
      </c>
      <c r="W62">
        <v>9</v>
      </c>
      <c r="X62">
        <v>230667</v>
      </c>
      <c r="Y62" t="s">
        <v>862</v>
      </c>
      <c r="Z62" t="s">
        <v>858</v>
      </c>
      <c r="AA62" t="s">
        <v>682</v>
      </c>
      <c r="AB62" t="s">
        <v>45</v>
      </c>
      <c r="AC62" t="s">
        <v>683</v>
      </c>
    </row>
    <row r="63" spans="1:29">
      <c r="A63" t="s">
        <v>863</v>
      </c>
      <c r="B63" s="1">
        <v>85064</v>
      </c>
      <c r="C63" t="s">
        <v>864</v>
      </c>
      <c r="D63" t="s">
        <v>667</v>
      </c>
      <c r="E63" s="1">
        <v>-3205</v>
      </c>
      <c r="F63" t="s">
        <v>865</v>
      </c>
      <c r="G63" t="s">
        <v>866</v>
      </c>
      <c r="H63" t="s">
        <v>867</v>
      </c>
      <c r="I63">
        <v>4</v>
      </c>
      <c r="J63" t="s">
        <v>868</v>
      </c>
      <c r="K63">
        <v>80</v>
      </c>
      <c r="L63" t="s">
        <v>869</v>
      </c>
      <c r="M63" t="s">
        <v>870</v>
      </c>
      <c r="N63" t="s">
        <v>871</v>
      </c>
      <c r="O63" t="s">
        <v>675</v>
      </c>
      <c r="P63" t="s">
        <v>872</v>
      </c>
      <c r="Q63" t="s">
        <v>873</v>
      </c>
      <c r="R63" t="s">
        <v>874</v>
      </c>
      <c r="S63" s="2">
        <v>34366</v>
      </c>
      <c r="T63" t="s">
        <v>875</v>
      </c>
      <c r="U63" t="s">
        <v>876</v>
      </c>
      <c r="V63">
        <v>1</v>
      </c>
      <c r="W63">
        <v>3</v>
      </c>
      <c r="X63">
        <v>181533</v>
      </c>
      <c r="Y63" t="s">
        <v>877</v>
      </c>
      <c r="Z63" t="s">
        <v>873</v>
      </c>
      <c r="AA63" t="s">
        <v>682</v>
      </c>
      <c r="AB63" t="s">
        <v>45</v>
      </c>
      <c r="AC63" t="s">
        <v>683</v>
      </c>
    </row>
    <row r="64" spans="1:29">
      <c r="A64" t="s">
        <v>878</v>
      </c>
      <c r="B64" s="1">
        <v>84581</v>
      </c>
      <c r="C64" t="s">
        <v>879</v>
      </c>
      <c r="D64" t="s">
        <v>667</v>
      </c>
      <c r="E64" s="1">
        <v>-13496</v>
      </c>
      <c r="F64" t="s">
        <v>595</v>
      </c>
      <c r="G64" t="s">
        <v>880</v>
      </c>
      <c r="H64" t="s">
        <v>745</v>
      </c>
      <c r="I64">
        <v>4</v>
      </c>
      <c r="J64" t="s">
        <v>881</v>
      </c>
      <c r="K64">
        <v>82</v>
      </c>
      <c r="L64" t="s">
        <v>882</v>
      </c>
      <c r="M64" t="s">
        <v>883</v>
      </c>
      <c r="N64" t="s">
        <v>884</v>
      </c>
      <c r="O64" t="s">
        <v>675</v>
      </c>
      <c r="P64" t="s">
        <v>885</v>
      </c>
      <c r="Q64" t="s">
        <v>886</v>
      </c>
      <c r="R64" t="s">
        <v>887</v>
      </c>
      <c r="S64" s="2">
        <v>33505</v>
      </c>
      <c r="T64" t="s">
        <v>888</v>
      </c>
      <c r="U64" t="s">
        <v>889</v>
      </c>
      <c r="V64">
        <v>1</v>
      </c>
      <c r="W64">
        <v>4</v>
      </c>
      <c r="X64">
        <v>264307</v>
      </c>
      <c r="Y64" t="s">
        <v>890</v>
      </c>
      <c r="Z64" t="s">
        <v>886</v>
      </c>
      <c r="AA64" t="s">
        <v>682</v>
      </c>
      <c r="AB64" t="s">
        <v>45</v>
      </c>
      <c r="AC64" t="s">
        <v>683</v>
      </c>
    </row>
    <row r="65" spans="1:29">
      <c r="A65" t="s">
        <v>891</v>
      </c>
      <c r="B65" s="1">
        <v>147193</v>
      </c>
      <c r="C65" t="s">
        <v>892</v>
      </c>
      <c r="D65" t="s">
        <v>667</v>
      </c>
      <c r="E65" s="1">
        <v>-5411</v>
      </c>
      <c r="F65" t="s">
        <v>349</v>
      </c>
      <c r="G65" t="s">
        <v>893</v>
      </c>
      <c r="H65" t="s">
        <v>894</v>
      </c>
      <c r="I65">
        <v>4</v>
      </c>
      <c r="J65" t="s">
        <v>803</v>
      </c>
      <c r="K65">
        <v>70</v>
      </c>
      <c r="L65" t="s">
        <v>895</v>
      </c>
      <c r="M65" t="s">
        <v>896</v>
      </c>
      <c r="N65" t="s">
        <v>894</v>
      </c>
      <c r="O65" t="s">
        <v>675</v>
      </c>
      <c r="P65" t="s">
        <v>897</v>
      </c>
      <c r="Q65" t="s">
        <v>898</v>
      </c>
      <c r="R65" t="s">
        <v>899</v>
      </c>
      <c r="S65" s="2">
        <v>29952</v>
      </c>
      <c r="T65" t="s">
        <v>877</v>
      </c>
      <c r="U65" t="s">
        <v>900</v>
      </c>
      <c r="V65">
        <v>1</v>
      </c>
      <c r="W65">
        <v>9</v>
      </c>
      <c r="X65">
        <v>252200</v>
      </c>
      <c r="Y65" t="s">
        <v>901</v>
      </c>
      <c r="Z65" t="s">
        <v>898</v>
      </c>
      <c r="AA65" t="s">
        <v>682</v>
      </c>
      <c r="AB65" t="s">
        <v>45</v>
      </c>
      <c r="AC65" t="s">
        <v>683</v>
      </c>
    </row>
    <row r="66" spans="1:29">
      <c r="A66" t="s">
        <v>742</v>
      </c>
      <c r="B66" s="1">
        <v>127361</v>
      </c>
      <c r="C66" t="s">
        <v>902</v>
      </c>
      <c r="D66" t="s">
        <v>667</v>
      </c>
      <c r="E66" s="1">
        <v>-5509</v>
      </c>
      <c r="F66" t="s">
        <v>903</v>
      </c>
      <c r="G66" t="s">
        <v>904</v>
      </c>
      <c r="H66" t="s">
        <v>688</v>
      </c>
      <c r="I66">
        <v>4</v>
      </c>
      <c r="J66" t="s">
        <v>905</v>
      </c>
      <c r="K66">
        <v>81</v>
      </c>
      <c r="L66" t="s">
        <v>906</v>
      </c>
      <c r="M66" t="s">
        <v>907</v>
      </c>
      <c r="N66" t="s">
        <v>908</v>
      </c>
      <c r="O66" t="s">
        <v>675</v>
      </c>
      <c r="P66" t="s">
        <v>909</v>
      </c>
      <c r="Q66" t="s">
        <v>910</v>
      </c>
      <c r="R66" t="s">
        <v>911</v>
      </c>
      <c r="S66" s="2">
        <v>29427</v>
      </c>
      <c r="T66" t="s">
        <v>912</v>
      </c>
      <c r="U66" t="s">
        <v>913</v>
      </c>
      <c r="V66">
        <v>1</v>
      </c>
      <c r="W66">
        <v>7</v>
      </c>
      <c r="X66">
        <v>210173</v>
      </c>
      <c r="Y66" t="s">
        <v>914</v>
      </c>
      <c r="Z66" t="s">
        <v>910</v>
      </c>
      <c r="AA66" t="s">
        <v>682</v>
      </c>
      <c r="AB66" t="s">
        <v>45</v>
      </c>
      <c r="AC66" t="s">
        <v>683</v>
      </c>
    </row>
    <row r="67" spans="1:29">
      <c r="A67" t="s">
        <v>915</v>
      </c>
      <c r="B67" s="1">
        <v>136302</v>
      </c>
      <c r="C67" t="s">
        <v>916</v>
      </c>
      <c r="D67" t="s">
        <v>667</v>
      </c>
      <c r="E67" t="s">
        <v>917</v>
      </c>
      <c r="F67" t="s">
        <v>785</v>
      </c>
      <c r="G67" t="s">
        <v>918</v>
      </c>
      <c r="H67" t="s">
        <v>773</v>
      </c>
      <c r="I67">
        <v>4</v>
      </c>
      <c r="J67" t="s">
        <v>919</v>
      </c>
      <c r="K67">
        <v>76</v>
      </c>
      <c r="L67" t="s">
        <v>920</v>
      </c>
      <c r="M67" t="s">
        <v>921</v>
      </c>
      <c r="N67" t="s">
        <v>922</v>
      </c>
      <c r="O67" t="s">
        <v>675</v>
      </c>
      <c r="P67" t="s">
        <v>923</v>
      </c>
      <c r="Q67" t="s">
        <v>924</v>
      </c>
      <c r="R67" t="s">
        <v>925</v>
      </c>
      <c r="S67" s="2">
        <v>23953</v>
      </c>
      <c r="T67" t="s">
        <v>926</v>
      </c>
      <c r="U67" t="s">
        <v>927</v>
      </c>
      <c r="V67">
        <v>1</v>
      </c>
      <c r="W67">
        <v>2</v>
      </c>
      <c r="X67">
        <v>222813</v>
      </c>
      <c r="Y67" t="s">
        <v>928</v>
      </c>
      <c r="Z67" t="s">
        <v>924</v>
      </c>
      <c r="AA67" t="s">
        <v>682</v>
      </c>
      <c r="AB67" t="s">
        <v>45</v>
      </c>
      <c r="AC67" t="s">
        <v>683</v>
      </c>
    </row>
    <row r="68" spans="1:29">
      <c r="A68" t="s">
        <v>929</v>
      </c>
      <c r="B68" s="1">
        <v>100456</v>
      </c>
      <c r="C68" t="s">
        <v>930</v>
      </c>
      <c r="D68" t="s">
        <v>667</v>
      </c>
      <c r="E68" s="1">
        <v>-10298</v>
      </c>
      <c r="F68" t="s">
        <v>931</v>
      </c>
      <c r="G68" t="s">
        <v>513</v>
      </c>
      <c r="H68" t="s">
        <v>932</v>
      </c>
      <c r="I68">
        <v>4</v>
      </c>
      <c r="J68" t="s">
        <v>933</v>
      </c>
      <c r="K68">
        <v>76</v>
      </c>
      <c r="L68" t="s">
        <v>934</v>
      </c>
      <c r="M68" t="s">
        <v>935</v>
      </c>
      <c r="N68" t="s">
        <v>936</v>
      </c>
      <c r="O68" t="s">
        <v>675</v>
      </c>
      <c r="P68" t="s">
        <v>937</v>
      </c>
      <c r="Q68" t="s">
        <v>938</v>
      </c>
      <c r="R68" t="s">
        <v>939</v>
      </c>
      <c r="S68" s="2">
        <v>26456</v>
      </c>
      <c r="T68" t="s">
        <v>940</v>
      </c>
      <c r="U68" t="s">
        <v>941</v>
      </c>
      <c r="V68">
        <v>1</v>
      </c>
      <c r="W68">
        <v>5</v>
      </c>
      <c r="X68">
        <v>254293</v>
      </c>
      <c r="Y68" t="s">
        <v>942</v>
      </c>
      <c r="Z68" t="s">
        <v>938</v>
      </c>
      <c r="AA68" t="s">
        <v>682</v>
      </c>
      <c r="AB68" t="s">
        <v>45</v>
      </c>
      <c r="AC68" t="s">
        <v>683</v>
      </c>
    </row>
    <row r="69" spans="1:29">
      <c r="A69" t="s">
        <v>943</v>
      </c>
      <c r="B69" t="s">
        <v>944</v>
      </c>
      <c r="C69" t="s">
        <v>945</v>
      </c>
      <c r="D69" t="s">
        <v>667</v>
      </c>
      <c r="E69" t="s">
        <v>946</v>
      </c>
      <c r="F69" t="s">
        <v>947</v>
      </c>
      <c r="G69" t="s">
        <v>948</v>
      </c>
      <c r="H69" t="s">
        <v>949</v>
      </c>
      <c r="I69">
        <v>4</v>
      </c>
      <c r="J69" t="s">
        <v>947</v>
      </c>
      <c r="K69">
        <v>72</v>
      </c>
      <c r="L69" t="s">
        <v>950</v>
      </c>
      <c r="M69" t="s">
        <v>951</v>
      </c>
      <c r="N69" t="s">
        <v>952</v>
      </c>
      <c r="O69" t="s">
        <v>675</v>
      </c>
      <c r="P69" t="s">
        <v>953</v>
      </c>
      <c r="Q69" t="s">
        <v>954</v>
      </c>
      <c r="R69" t="s">
        <v>955</v>
      </c>
      <c r="S69" s="2">
        <v>25498</v>
      </c>
      <c r="T69" t="s">
        <v>956</v>
      </c>
      <c r="U69" t="s">
        <v>957</v>
      </c>
      <c r="V69">
        <v>1</v>
      </c>
      <c r="W69">
        <v>9</v>
      </c>
      <c r="X69">
        <v>333893</v>
      </c>
      <c r="Y69" t="s">
        <v>958</v>
      </c>
      <c r="Z69" t="s">
        <v>954</v>
      </c>
      <c r="AA69" t="s">
        <v>682</v>
      </c>
      <c r="AB69" t="s">
        <v>45</v>
      </c>
      <c r="AC69" t="s">
        <v>683</v>
      </c>
    </row>
    <row r="70" spans="1:29">
      <c r="A70" t="s">
        <v>158</v>
      </c>
      <c r="B70" s="1">
        <v>103886</v>
      </c>
      <c r="C70" t="s">
        <v>959</v>
      </c>
      <c r="D70" t="s">
        <v>667</v>
      </c>
      <c r="E70" s="1">
        <v>-11729</v>
      </c>
      <c r="F70" t="s">
        <v>437</v>
      </c>
      <c r="G70" t="s">
        <v>813</v>
      </c>
      <c r="H70" t="s">
        <v>960</v>
      </c>
      <c r="I70">
        <v>4</v>
      </c>
      <c r="J70" t="s">
        <v>103</v>
      </c>
      <c r="K70">
        <v>70</v>
      </c>
      <c r="L70" t="s">
        <v>961</v>
      </c>
      <c r="M70" t="s">
        <v>962</v>
      </c>
      <c r="N70" t="s">
        <v>963</v>
      </c>
      <c r="O70" t="s">
        <v>675</v>
      </c>
      <c r="P70" t="s">
        <v>964</v>
      </c>
      <c r="Q70" t="s">
        <v>965</v>
      </c>
      <c r="R70" t="s">
        <v>966</v>
      </c>
      <c r="S70" s="2">
        <v>26042</v>
      </c>
      <c r="T70" t="s">
        <v>967</v>
      </c>
      <c r="U70" t="s">
        <v>968</v>
      </c>
      <c r="V70">
        <v>0</v>
      </c>
      <c r="W70">
        <v>11</v>
      </c>
      <c r="X70">
        <v>434720</v>
      </c>
      <c r="Y70" t="s">
        <v>969</v>
      </c>
      <c r="Z70" t="s">
        <v>965</v>
      </c>
      <c r="AA70" t="s">
        <v>682</v>
      </c>
      <c r="AB70" t="s">
        <v>45</v>
      </c>
      <c r="AC70" t="s">
        <v>683</v>
      </c>
    </row>
    <row r="71" spans="1:29">
      <c r="A71" t="s">
        <v>970</v>
      </c>
      <c r="B71" s="1">
        <v>105338</v>
      </c>
      <c r="C71" t="s">
        <v>837</v>
      </c>
      <c r="D71" t="s">
        <v>667</v>
      </c>
      <c r="E71" s="1">
        <v>-6506</v>
      </c>
      <c r="F71" t="s">
        <v>971</v>
      </c>
      <c r="G71" t="s">
        <v>972</v>
      </c>
      <c r="H71" t="s">
        <v>973</v>
      </c>
      <c r="I71">
        <v>4</v>
      </c>
      <c r="J71" t="s">
        <v>175</v>
      </c>
      <c r="K71">
        <v>77</v>
      </c>
      <c r="L71" t="s">
        <v>974</v>
      </c>
      <c r="M71" t="s">
        <v>975</v>
      </c>
      <c r="N71" t="s">
        <v>976</v>
      </c>
      <c r="O71" t="s">
        <v>675</v>
      </c>
      <c r="P71" t="s">
        <v>977</v>
      </c>
      <c r="Q71" t="s">
        <v>978</v>
      </c>
      <c r="R71" t="s">
        <v>979</v>
      </c>
      <c r="S71" s="2">
        <v>33477</v>
      </c>
      <c r="T71" t="s">
        <v>980</v>
      </c>
      <c r="U71" t="s">
        <v>981</v>
      </c>
      <c r="V71">
        <v>0</v>
      </c>
      <c r="W71">
        <v>10</v>
      </c>
      <c r="X71">
        <v>292581</v>
      </c>
      <c r="Y71" t="s">
        <v>982</v>
      </c>
      <c r="Z71" t="s">
        <v>978</v>
      </c>
      <c r="AA71" t="s">
        <v>682</v>
      </c>
      <c r="AB71" t="s">
        <v>45</v>
      </c>
      <c r="AC71" t="s">
        <v>683</v>
      </c>
    </row>
    <row r="72" spans="1:29">
      <c r="A72" t="s">
        <v>755</v>
      </c>
      <c r="B72" s="1">
        <v>122093</v>
      </c>
      <c r="C72" t="s">
        <v>983</v>
      </c>
      <c r="D72" t="s">
        <v>667</v>
      </c>
      <c r="E72" s="1">
        <v>-6042</v>
      </c>
      <c r="F72" t="s">
        <v>984</v>
      </c>
      <c r="G72" t="s">
        <v>985</v>
      </c>
      <c r="H72" t="s">
        <v>986</v>
      </c>
      <c r="I72">
        <v>4</v>
      </c>
      <c r="J72" t="s">
        <v>987</v>
      </c>
      <c r="K72">
        <v>72</v>
      </c>
      <c r="L72" t="s">
        <v>988</v>
      </c>
      <c r="M72" t="s">
        <v>989</v>
      </c>
      <c r="N72" t="s">
        <v>990</v>
      </c>
      <c r="O72" t="s">
        <v>675</v>
      </c>
      <c r="P72" t="s">
        <v>991</v>
      </c>
      <c r="Q72" t="s">
        <v>992</v>
      </c>
      <c r="R72" t="s">
        <v>993</v>
      </c>
      <c r="S72" s="2">
        <v>30837</v>
      </c>
      <c r="T72" t="s">
        <v>994</v>
      </c>
      <c r="U72" t="s">
        <v>995</v>
      </c>
      <c r="V72">
        <v>1</v>
      </c>
      <c r="W72">
        <v>4</v>
      </c>
      <c r="X72">
        <v>278680</v>
      </c>
      <c r="Y72" t="s">
        <v>996</v>
      </c>
      <c r="Z72" t="s">
        <v>992</v>
      </c>
      <c r="AA72" t="s">
        <v>682</v>
      </c>
      <c r="AB72" t="s">
        <v>45</v>
      </c>
      <c r="AC72" t="s">
        <v>683</v>
      </c>
    </row>
    <row r="73" spans="1:29">
      <c r="A73" t="s">
        <v>238</v>
      </c>
      <c r="B73" s="1">
        <v>171176</v>
      </c>
      <c r="C73" t="s">
        <v>997</v>
      </c>
      <c r="D73" t="s">
        <v>667</v>
      </c>
      <c r="E73" s="1">
        <v>-6006</v>
      </c>
      <c r="F73" t="s">
        <v>276</v>
      </c>
      <c r="G73" t="s">
        <v>998</v>
      </c>
      <c r="H73" t="s">
        <v>999</v>
      </c>
      <c r="I73">
        <v>4</v>
      </c>
      <c r="J73" t="s">
        <v>1000</v>
      </c>
      <c r="K73">
        <v>79</v>
      </c>
      <c r="L73" t="s">
        <v>1001</v>
      </c>
      <c r="M73" t="s">
        <v>1002</v>
      </c>
      <c r="N73" t="s">
        <v>1003</v>
      </c>
      <c r="O73" t="s">
        <v>675</v>
      </c>
      <c r="P73" t="s">
        <v>1004</v>
      </c>
      <c r="Q73" t="s">
        <v>1005</v>
      </c>
      <c r="R73" t="s">
        <v>1006</v>
      </c>
      <c r="S73" s="2">
        <v>35702</v>
      </c>
      <c r="T73">
        <v>0</v>
      </c>
      <c r="U73" t="s">
        <v>1007</v>
      </c>
      <c r="V73">
        <v>1</v>
      </c>
      <c r="W73">
        <v>9</v>
      </c>
      <c r="X73">
        <v>357267</v>
      </c>
      <c r="Y73" t="s">
        <v>1008</v>
      </c>
      <c r="Z73" t="s">
        <v>1005</v>
      </c>
      <c r="AA73" t="s">
        <v>682</v>
      </c>
      <c r="AB73" t="s">
        <v>45</v>
      </c>
      <c r="AC73" t="s">
        <v>683</v>
      </c>
    </row>
    <row r="74" spans="1:29">
      <c r="A74" t="s">
        <v>1009</v>
      </c>
      <c r="B74" s="1">
        <v>124634</v>
      </c>
      <c r="C74" t="s">
        <v>1010</v>
      </c>
      <c r="D74" t="s">
        <v>667</v>
      </c>
      <c r="E74" t="s">
        <v>1011</v>
      </c>
      <c r="F74" t="s">
        <v>189</v>
      </c>
      <c r="G74" t="s">
        <v>1012</v>
      </c>
      <c r="H74" t="s">
        <v>759</v>
      </c>
      <c r="I74">
        <v>4</v>
      </c>
      <c r="J74" t="s">
        <v>1013</v>
      </c>
      <c r="K74">
        <v>75</v>
      </c>
      <c r="L74" t="s">
        <v>1014</v>
      </c>
      <c r="M74" t="s">
        <v>1015</v>
      </c>
      <c r="N74" t="s">
        <v>1016</v>
      </c>
      <c r="O74" t="s">
        <v>675</v>
      </c>
      <c r="P74" t="s">
        <v>1017</v>
      </c>
      <c r="Q74" t="s">
        <v>1018</v>
      </c>
      <c r="R74" t="s">
        <v>1019</v>
      </c>
      <c r="S74" s="2">
        <v>33498</v>
      </c>
      <c r="T74" t="s">
        <v>1020</v>
      </c>
      <c r="U74" t="s">
        <v>1021</v>
      </c>
      <c r="V74">
        <v>1</v>
      </c>
      <c r="W74">
        <v>11</v>
      </c>
      <c r="X74">
        <v>283733</v>
      </c>
      <c r="Y74" t="s">
        <v>1022</v>
      </c>
      <c r="Z74" t="s">
        <v>1018</v>
      </c>
      <c r="AA74" t="s">
        <v>682</v>
      </c>
      <c r="AB74" t="s">
        <v>45</v>
      </c>
      <c r="AC74" t="s">
        <v>683</v>
      </c>
    </row>
    <row r="75" spans="1:29">
      <c r="A75" t="s">
        <v>1023</v>
      </c>
      <c r="B75" s="1">
        <v>113253</v>
      </c>
      <c r="C75" t="s">
        <v>50</v>
      </c>
      <c r="D75" t="s">
        <v>667</v>
      </c>
      <c r="E75" s="1">
        <v>-6237</v>
      </c>
      <c r="F75" t="s">
        <v>1024</v>
      </c>
      <c r="G75" t="s">
        <v>1025</v>
      </c>
      <c r="H75" t="s">
        <v>1026</v>
      </c>
      <c r="I75">
        <v>4</v>
      </c>
      <c r="J75" t="s">
        <v>1027</v>
      </c>
      <c r="K75">
        <v>72</v>
      </c>
      <c r="L75" t="s">
        <v>1028</v>
      </c>
      <c r="M75" t="s">
        <v>1029</v>
      </c>
      <c r="N75" t="s">
        <v>1030</v>
      </c>
      <c r="O75" t="s">
        <v>675</v>
      </c>
      <c r="P75" t="s">
        <v>1031</v>
      </c>
      <c r="Q75" t="s">
        <v>1032</v>
      </c>
      <c r="R75" t="s">
        <v>1033</v>
      </c>
      <c r="S75" s="2">
        <v>25136</v>
      </c>
      <c r="T75" t="s">
        <v>1034</v>
      </c>
      <c r="U75" t="s">
        <v>1035</v>
      </c>
      <c r="V75">
        <v>1</v>
      </c>
      <c r="W75">
        <v>8</v>
      </c>
      <c r="X75">
        <v>240800</v>
      </c>
      <c r="Y75" t="s">
        <v>1036</v>
      </c>
      <c r="Z75" t="s">
        <v>1032</v>
      </c>
      <c r="AA75" t="s">
        <v>682</v>
      </c>
      <c r="AB75" t="s">
        <v>45</v>
      </c>
      <c r="AC75" t="s">
        <v>683</v>
      </c>
    </row>
    <row r="76" spans="1:29">
      <c r="A76" t="s">
        <v>1037</v>
      </c>
      <c r="B76" s="1">
        <v>189507</v>
      </c>
      <c r="C76" t="s">
        <v>550</v>
      </c>
      <c r="D76" t="s">
        <v>667</v>
      </c>
      <c r="E76" s="1">
        <v>-13945</v>
      </c>
      <c r="F76" t="s">
        <v>1038</v>
      </c>
      <c r="G76" t="s">
        <v>971</v>
      </c>
      <c r="H76" t="s">
        <v>1039</v>
      </c>
      <c r="I76">
        <v>4</v>
      </c>
      <c r="J76" t="s">
        <v>1040</v>
      </c>
      <c r="K76">
        <v>76</v>
      </c>
      <c r="L76" t="s">
        <v>1041</v>
      </c>
      <c r="M76" t="s">
        <v>1042</v>
      </c>
      <c r="N76" t="s">
        <v>1043</v>
      </c>
      <c r="O76" t="s">
        <v>675</v>
      </c>
      <c r="P76" t="s">
        <v>1044</v>
      </c>
      <c r="Q76" t="s">
        <v>1045</v>
      </c>
      <c r="R76" t="s">
        <v>1046</v>
      </c>
      <c r="S76" s="2">
        <v>29587</v>
      </c>
      <c r="T76" t="s">
        <v>1047</v>
      </c>
      <c r="U76" t="s">
        <v>1048</v>
      </c>
      <c r="V76">
        <v>1</v>
      </c>
      <c r="W76">
        <v>0</v>
      </c>
      <c r="X76">
        <v>336453</v>
      </c>
      <c r="Y76" t="s">
        <v>1049</v>
      </c>
      <c r="Z76" t="s">
        <v>1045</v>
      </c>
      <c r="AA76" t="s">
        <v>682</v>
      </c>
      <c r="AB76" t="s">
        <v>45</v>
      </c>
      <c r="AC76" t="s">
        <v>683</v>
      </c>
    </row>
    <row r="77" spans="1:29">
      <c r="A77" t="s">
        <v>30</v>
      </c>
      <c r="B77" s="1">
        <v>123118</v>
      </c>
      <c r="C77" t="s">
        <v>839</v>
      </c>
      <c r="D77" t="s">
        <v>667</v>
      </c>
      <c r="E77" s="1">
        <v>-8123</v>
      </c>
      <c r="F77" t="s">
        <v>743</v>
      </c>
      <c r="G77" t="s">
        <v>1050</v>
      </c>
      <c r="H77" t="s">
        <v>1051</v>
      </c>
      <c r="I77">
        <v>4</v>
      </c>
      <c r="J77" t="s">
        <v>1052</v>
      </c>
      <c r="K77">
        <v>76</v>
      </c>
      <c r="L77" t="s">
        <v>1053</v>
      </c>
      <c r="M77" t="s">
        <v>1054</v>
      </c>
      <c r="N77" t="s">
        <v>1055</v>
      </c>
      <c r="O77" t="s">
        <v>675</v>
      </c>
      <c r="P77" t="s">
        <v>1056</v>
      </c>
      <c r="Q77" t="s">
        <v>1057</v>
      </c>
      <c r="R77" t="s">
        <v>1058</v>
      </c>
      <c r="S77" s="2">
        <v>28384</v>
      </c>
      <c r="T77" t="s">
        <v>1059</v>
      </c>
      <c r="U77" t="s">
        <v>1060</v>
      </c>
      <c r="V77">
        <v>1</v>
      </c>
      <c r="W77">
        <v>2</v>
      </c>
      <c r="X77">
        <v>261413</v>
      </c>
      <c r="Y77" t="s">
        <v>1061</v>
      </c>
      <c r="Z77" t="s">
        <v>1057</v>
      </c>
      <c r="AA77" t="s">
        <v>682</v>
      </c>
      <c r="AB77" t="s">
        <v>45</v>
      </c>
      <c r="AC77" t="s">
        <v>683</v>
      </c>
    </row>
    <row r="78" spans="1:29">
      <c r="A78" t="s">
        <v>77</v>
      </c>
      <c r="B78" s="1">
        <v>129269</v>
      </c>
      <c r="C78" t="s">
        <v>263</v>
      </c>
      <c r="D78" t="s">
        <v>667</v>
      </c>
      <c r="E78" s="1">
        <v>-10322</v>
      </c>
      <c r="F78" t="s">
        <v>1062</v>
      </c>
      <c r="G78" t="s">
        <v>92</v>
      </c>
      <c r="H78" t="s">
        <v>1063</v>
      </c>
      <c r="I78">
        <v>4</v>
      </c>
      <c r="J78" t="s">
        <v>1064</v>
      </c>
      <c r="K78">
        <v>71</v>
      </c>
      <c r="L78" t="s">
        <v>1065</v>
      </c>
      <c r="M78" t="s">
        <v>1066</v>
      </c>
      <c r="N78" t="s">
        <v>1067</v>
      </c>
      <c r="O78" t="s">
        <v>675</v>
      </c>
      <c r="P78" t="s">
        <v>1068</v>
      </c>
      <c r="Q78" t="s">
        <v>1069</v>
      </c>
      <c r="R78" t="s">
        <v>1067</v>
      </c>
      <c r="S78" s="2">
        <v>34037</v>
      </c>
      <c r="T78" t="s">
        <v>1070</v>
      </c>
      <c r="U78" t="s">
        <v>1071</v>
      </c>
      <c r="V78">
        <v>0</v>
      </c>
      <c r="W78">
        <v>11</v>
      </c>
      <c r="X78">
        <v>211933</v>
      </c>
      <c r="Y78" t="s">
        <v>752</v>
      </c>
      <c r="Z78" t="s">
        <v>1069</v>
      </c>
      <c r="AA78" t="s">
        <v>682</v>
      </c>
      <c r="AB78" t="s">
        <v>45</v>
      </c>
      <c r="AC78" t="s">
        <v>683</v>
      </c>
    </row>
    <row r="79" spans="1:29">
      <c r="A79" t="s">
        <v>784</v>
      </c>
      <c r="B79" t="s">
        <v>1072</v>
      </c>
      <c r="C79" t="s">
        <v>730</v>
      </c>
      <c r="D79" t="s">
        <v>667</v>
      </c>
      <c r="E79" s="1">
        <v>-9108</v>
      </c>
      <c r="F79" t="s">
        <v>1073</v>
      </c>
      <c r="G79" t="s">
        <v>239</v>
      </c>
      <c r="H79" t="s">
        <v>1074</v>
      </c>
      <c r="I79">
        <v>4</v>
      </c>
      <c r="J79" t="s">
        <v>1075</v>
      </c>
      <c r="K79">
        <v>70</v>
      </c>
      <c r="L79" t="s">
        <v>1076</v>
      </c>
      <c r="M79" t="s">
        <v>1077</v>
      </c>
      <c r="N79" t="s">
        <v>1078</v>
      </c>
      <c r="O79" t="s">
        <v>675</v>
      </c>
      <c r="P79" t="s">
        <v>1079</v>
      </c>
      <c r="Q79" t="s">
        <v>1080</v>
      </c>
      <c r="R79" t="s">
        <v>1081</v>
      </c>
      <c r="S79" s="2">
        <v>31474</v>
      </c>
      <c r="T79" t="s">
        <v>1082</v>
      </c>
      <c r="U79" t="s">
        <v>1083</v>
      </c>
      <c r="V79">
        <v>0</v>
      </c>
      <c r="W79">
        <v>4</v>
      </c>
      <c r="X79">
        <v>515387</v>
      </c>
      <c r="Y79" t="s">
        <v>1084</v>
      </c>
      <c r="Z79" t="s">
        <v>1080</v>
      </c>
      <c r="AA79" t="s">
        <v>682</v>
      </c>
      <c r="AB79" t="s">
        <v>45</v>
      </c>
      <c r="AC79" t="s">
        <v>683</v>
      </c>
    </row>
    <row r="80" spans="1:29">
      <c r="A80" t="s">
        <v>606</v>
      </c>
      <c r="B80" s="1">
        <v>114965</v>
      </c>
      <c r="C80" t="s">
        <v>1085</v>
      </c>
      <c r="D80" t="s">
        <v>667</v>
      </c>
      <c r="E80" s="1">
        <v>-10991</v>
      </c>
      <c r="F80" t="s">
        <v>1086</v>
      </c>
      <c r="G80" t="s">
        <v>380</v>
      </c>
      <c r="H80" t="s">
        <v>787</v>
      </c>
      <c r="I80">
        <v>4</v>
      </c>
      <c r="J80" t="s">
        <v>1087</v>
      </c>
      <c r="K80">
        <v>79</v>
      </c>
      <c r="L80" t="s">
        <v>1088</v>
      </c>
      <c r="M80" t="s">
        <v>1089</v>
      </c>
      <c r="N80" t="s">
        <v>1090</v>
      </c>
      <c r="O80" t="s">
        <v>675</v>
      </c>
      <c r="P80" t="s">
        <v>1091</v>
      </c>
      <c r="Q80" t="s">
        <v>1092</v>
      </c>
      <c r="R80" t="s">
        <v>1093</v>
      </c>
      <c r="S80" s="2">
        <v>31880</v>
      </c>
      <c r="T80" t="s">
        <v>1094</v>
      </c>
      <c r="U80" t="s">
        <v>1095</v>
      </c>
      <c r="V80">
        <v>1</v>
      </c>
      <c r="W80">
        <v>4</v>
      </c>
      <c r="X80">
        <v>226653</v>
      </c>
      <c r="Y80" t="s">
        <v>1096</v>
      </c>
      <c r="Z80" t="s">
        <v>1092</v>
      </c>
      <c r="AA80" t="s">
        <v>682</v>
      </c>
      <c r="AB80" t="s">
        <v>45</v>
      </c>
      <c r="AC80" t="s">
        <v>683</v>
      </c>
    </row>
    <row r="81" spans="1:29">
      <c r="A81" t="s">
        <v>1097</v>
      </c>
      <c r="B81" s="1">
        <v>116109</v>
      </c>
      <c r="C81" t="s">
        <v>392</v>
      </c>
      <c r="D81" t="s">
        <v>667</v>
      </c>
      <c r="E81" s="1">
        <v>-7028</v>
      </c>
      <c r="F81" t="s">
        <v>279</v>
      </c>
      <c r="G81" t="s">
        <v>1098</v>
      </c>
      <c r="H81" t="s">
        <v>1099</v>
      </c>
      <c r="I81">
        <v>4</v>
      </c>
      <c r="J81" t="s">
        <v>1100</v>
      </c>
      <c r="K81">
        <v>84</v>
      </c>
      <c r="L81" t="s">
        <v>1101</v>
      </c>
      <c r="M81" t="s">
        <v>1102</v>
      </c>
      <c r="N81" t="s">
        <v>1103</v>
      </c>
      <c r="O81" t="s">
        <v>675</v>
      </c>
      <c r="P81" t="s">
        <v>1104</v>
      </c>
      <c r="Q81" t="s">
        <v>1105</v>
      </c>
      <c r="R81" t="s">
        <v>1106</v>
      </c>
      <c r="S81" s="2">
        <v>25909</v>
      </c>
      <c r="T81" t="s">
        <v>1107</v>
      </c>
      <c r="U81" t="s">
        <v>1108</v>
      </c>
      <c r="V81">
        <v>1</v>
      </c>
      <c r="W81">
        <v>0</v>
      </c>
      <c r="X81">
        <v>160133</v>
      </c>
      <c r="Y81" t="s">
        <v>1109</v>
      </c>
      <c r="Z81" t="s">
        <v>1105</v>
      </c>
      <c r="AA81" t="s">
        <v>682</v>
      </c>
      <c r="AB81" t="s">
        <v>45</v>
      </c>
      <c r="AC81" t="s">
        <v>683</v>
      </c>
    </row>
    <row r="82" spans="1:29">
      <c r="A82" t="s">
        <v>190</v>
      </c>
      <c r="B82" s="1">
        <v>127215</v>
      </c>
      <c r="C82" t="s">
        <v>391</v>
      </c>
      <c r="D82" t="s">
        <v>667</v>
      </c>
      <c r="E82" s="1">
        <v>-9307</v>
      </c>
      <c r="F82" t="s">
        <v>1110</v>
      </c>
      <c r="G82" t="s">
        <v>447</v>
      </c>
      <c r="H82" t="s">
        <v>1111</v>
      </c>
      <c r="I82">
        <v>4</v>
      </c>
      <c r="J82" t="s">
        <v>1112</v>
      </c>
      <c r="K82">
        <v>69</v>
      </c>
      <c r="L82" t="s">
        <v>1113</v>
      </c>
      <c r="M82" t="s">
        <v>1114</v>
      </c>
      <c r="N82" t="s">
        <v>1111</v>
      </c>
      <c r="O82" t="s">
        <v>675</v>
      </c>
      <c r="P82" t="s">
        <v>1115</v>
      </c>
      <c r="Q82" t="s">
        <v>1116</v>
      </c>
      <c r="R82" t="s">
        <v>1117</v>
      </c>
      <c r="S82" s="2">
        <v>28647</v>
      </c>
      <c r="T82" t="s">
        <v>1118</v>
      </c>
      <c r="U82" t="s">
        <v>1119</v>
      </c>
      <c r="V82">
        <v>1</v>
      </c>
      <c r="W82">
        <v>4</v>
      </c>
      <c r="X82">
        <v>225627</v>
      </c>
      <c r="Y82" t="s">
        <v>1120</v>
      </c>
      <c r="Z82" t="s">
        <v>1116</v>
      </c>
      <c r="AA82" t="s">
        <v>682</v>
      </c>
      <c r="AB82" t="s">
        <v>45</v>
      </c>
      <c r="AC82" t="s">
        <v>683</v>
      </c>
    </row>
    <row r="83" spans="1:29">
      <c r="A83" t="s">
        <v>554</v>
      </c>
      <c r="B83" s="1">
        <v>116761</v>
      </c>
      <c r="C83" t="s">
        <v>579</v>
      </c>
      <c r="D83" t="s">
        <v>667</v>
      </c>
      <c r="E83" s="1">
        <v>-4556</v>
      </c>
      <c r="F83" t="s">
        <v>582</v>
      </c>
      <c r="G83" t="s">
        <v>1121</v>
      </c>
      <c r="H83" t="s">
        <v>731</v>
      </c>
      <c r="I83">
        <v>4</v>
      </c>
      <c r="J83" t="s">
        <v>1122</v>
      </c>
      <c r="K83">
        <v>76</v>
      </c>
      <c r="L83" t="s">
        <v>1123</v>
      </c>
      <c r="M83" t="s">
        <v>1124</v>
      </c>
      <c r="N83" t="s">
        <v>735</v>
      </c>
      <c r="O83" t="s">
        <v>675</v>
      </c>
      <c r="P83" t="s">
        <v>1125</v>
      </c>
      <c r="Q83" t="s">
        <v>1126</v>
      </c>
      <c r="R83" t="s">
        <v>1127</v>
      </c>
      <c r="S83" s="2">
        <v>33507</v>
      </c>
      <c r="T83" t="s">
        <v>1128</v>
      </c>
      <c r="U83" t="s">
        <v>740</v>
      </c>
      <c r="V83">
        <v>1</v>
      </c>
      <c r="W83">
        <v>1</v>
      </c>
      <c r="X83">
        <v>301920</v>
      </c>
      <c r="Y83" t="s">
        <v>1129</v>
      </c>
      <c r="Z83" t="s">
        <v>1126</v>
      </c>
      <c r="AA83" t="s">
        <v>682</v>
      </c>
      <c r="AB83" t="s">
        <v>45</v>
      </c>
      <c r="AC83" t="s">
        <v>683</v>
      </c>
    </row>
    <row r="84" spans="1:29">
      <c r="A84" t="s">
        <v>347</v>
      </c>
      <c r="B84" s="1">
        <v>88785</v>
      </c>
      <c r="C84" t="s">
        <v>643</v>
      </c>
      <c r="D84" t="s">
        <v>667</v>
      </c>
      <c r="E84" s="1">
        <v>-4215</v>
      </c>
      <c r="F84" t="s">
        <v>1130</v>
      </c>
      <c r="G84" t="s">
        <v>1131</v>
      </c>
      <c r="H84" t="s">
        <v>1132</v>
      </c>
      <c r="I84">
        <v>4</v>
      </c>
      <c r="J84" t="s">
        <v>79</v>
      </c>
      <c r="K84">
        <v>78</v>
      </c>
      <c r="L84" t="s">
        <v>1133</v>
      </c>
      <c r="M84" t="s">
        <v>1134</v>
      </c>
      <c r="N84" t="s">
        <v>1135</v>
      </c>
      <c r="O84" t="s">
        <v>675</v>
      </c>
      <c r="P84" t="s">
        <v>1136</v>
      </c>
      <c r="Q84" t="s">
        <v>1137</v>
      </c>
      <c r="R84" t="s">
        <v>1138</v>
      </c>
      <c r="S84">
        <v>1992</v>
      </c>
      <c r="T84">
        <v>0</v>
      </c>
      <c r="U84" t="s">
        <v>1139</v>
      </c>
      <c r="V84">
        <v>1</v>
      </c>
      <c r="W84">
        <v>7</v>
      </c>
      <c r="X84">
        <v>313573</v>
      </c>
      <c r="Y84" t="s">
        <v>1140</v>
      </c>
      <c r="Z84" t="s">
        <v>1137</v>
      </c>
      <c r="AA84" t="s">
        <v>682</v>
      </c>
      <c r="AB84" t="s">
        <v>45</v>
      </c>
      <c r="AC84" t="s">
        <v>683</v>
      </c>
    </row>
    <row r="85" spans="1:29">
      <c r="A85" t="s">
        <v>1141</v>
      </c>
      <c r="B85" s="1">
        <v>164775</v>
      </c>
      <c r="C85" t="s">
        <v>278</v>
      </c>
      <c r="D85" t="s">
        <v>667</v>
      </c>
      <c r="E85" s="1">
        <v>-11913</v>
      </c>
      <c r="F85" t="s">
        <v>774</v>
      </c>
      <c r="G85" t="s">
        <v>1142</v>
      </c>
      <c r="H85" t="s">
        <v>1143</v>
      </c>
      <c r="I85">
        <v>4</v>
      </c>
      <c r="J85" t="s">
        <v>1144</v>
      </c>
      <c r="K85">
        <v>75</v>
      </c>
      <c r="L85" t="s">
        <v>1145</v>
      </c>
      <c r="M85" t="s">
        <v>1146</v>
      </c>
      <c r="N85" t="s">
        <v>1147</v>
      </c>
      <c r="O85" t="s">
        <v>675</v>
      </c>
      <c r="P85" t="s">
        <v>1148</v>
      </c>
      <c r="Q85" t="s">
        <v>1149</v>
      </c>
      <c r="R85" t="s">
        <v>1150</v>
      </c>
      <c r="S85" s="2">
        <v>25472</v>
      </c>
      <c r="T85" t="s">
        <v>132</v>
      </c>
      <c r="U85" t="s">
        <v>1151</v>
      </c>
      <c r="V85">
        <v>0</v>
      </c>
      <c r="W85">
        <v>9</v>
      </c>
      <c r="X85">
        <v>259947</v>
      </c>
      <c r="Y85" t="s">
        <v>35</v>
      </c>
      <c r="Z85" t="s">
        <v>1149</v>
      </c>
      <c r="AA85" t="s">
        <v>682</v>
      </c>
      <c r="AB85" t="s">
        <v>45</v>
      </c>
      <c r="AC85" t="s">
        <v>683</v>
      </c>
    </row>
    <row r="86" spans="1:29">
      <c r="A86" t="s">
        <v>80</v>
      </c>
      <c r="B86" s="1">
        <v>126755</v>
      </c>
      <c r="C86" t="s">
        <v>1152</v>
      </c>
      <c r="D86" t="s">
        <v>667</v>
      </c>
      <c r="E86" s="1">
        <v>-5735</v>
      </c>
      <c r="F86" t="s">
        <v>550</v>
      </c>
      <c r="G86" t="s">
        <v>1153</v>
      </c>
      <c r="H86" t="s">
        <v>827</v>
      </c>
      <c r="I86">
        <v>4</v>
      </c>
      <c r="J86" t="s">
        <v>657</v>
      </c>
      <c r="K86">
        <v>73</v>
      </c>
      <c r="L86" t="s">
        <v>1154</v>
      </c>
      <c r="M86" t="s">
        <v>1155</v>
      </c>
      <c r="N86" t="s">
        <v>1156</v>
      </c>
      <c r="O86" t="s">
        <v>675</v>
      </c>
      <c r="P86" t="s">
        <v>1157</v>
      </c>
      <c r="Q86" t="s">
        <v>1158</v>
      </c>
      <c r="R86" t="s">
        <v>1159</v>
      </c>
      <c r="S86">
        <v>1976</v>
      </c>
      <c r="T86" t="s">
        <v>1160</v>
      </c>
      <c r="U86" t="s">
        <v>1161</v>
      </c>
      <c r="V86">
        <v>1</v>
      </c>
      <c r="W86">
        <v>7</v>
      </c>
      <c r="X86">
        <v>323000</v>
      </c>
      <c r="Y86" t="s">
        <v>1162</v>
      </c>
      <c r="Z86" t="s">
        <v>1158</v>
      </c>
      <c r="AA86" t="s">
        <v>682</v>
      </c>
      <c r="AB86" t="s">
        <v>45</v>
      </c>
      <c r="AC86" t="s">
        <v>683</v>
      </c>
    </row>
    <row r="87" spans="1:29">
      <c r="A87" t="s">
        <v>786</v>
      </c>
      <c r="B87" s="1">
        <v>129802</v>
      </c>
      <c r="C87" t="s">
        <v>1163</v>
      </c>
      <c r="D87" t="s">
        <v>667</v>
      </c>
      <c r="E87" s="1">
        <v>-6903</v>
      </c>
      <c r="F87" t="s">
        <v>1164</v>
      </c>
      <c r="G87" t="s">
        <v>1165</v>
      </c>
      <c r="H87" t="s">
        <v>1166</v>
      </c>
      <c r="I87">
        <v>4</v>
      </c>
      <c r="J87" t="s">
        <v>1167</v>
      </c>
      <c r="K87">
        <v>78</v>
      </c>
      <c r="L87" t="s">
        <v>1168</v>
      </c>
      <c r="M87" t="s">
        <v>1169</v>
      </c>
      <c r="N87" t="s">
        <v>1170</v>
      </c>
      <c r="O87" t="s">
        <v>675</v>
      </c>
      <c r="P87" t="s">
        <v>1171</v>
      </c>
      <c r="Q87" t="s">
        <v>1172</v>
      </c>
      <c r="R87" t="s">
        <v>1173</v>
      </c>
      <c r="S87" s="2">
        <v>35471</v>
      </c>
      <c r="T87" t="s">
        <v>1174</v>
      </c>
      <c r="U87" t="s">
        <v>1175</v>
      </c>
      <c r="V87">
        <v>1</v>
      </c>
      <c r="W87">
        <v>8</v>
      </c>
      <c r="X87">
        <v>121160</v>
      </c>
      <c r="Y87" t="s">
        <v>982</v>
      </c>
      <c r="Z87" t="s">
        <v>1172</v>
      </c>
      <c r="AA87" t="s">
        <v>682</v>
      </c>
      <c r="AB87" t="s">
        <v>45</v>
      </c>
      <c r="AC87" t="s">
        <v>683</v>
      </c>
    </row>
    <row r="88" spans="1:29">
      <c r="A88" t="s">
        <v>1176</v>
      </c>
      <c r="B88" s="1">
        <v>81334</v>
      </c>
      <c r="C88" t="s">
        <v>1177</v>
      </c>
      <c r="D88" t="s">
        <v>667</v>
      </c>
      <c r="E88" s="1">
        <v>-14178</v>
      </c>
      <c r="F88" t="s">
        <v>1178</v>
      </c>
      <c r="G88" t="s">
        <v>969</v>
      </c>
      <c r="H88" t="s">
        <v>1179</v>
      </c>
      <c r="I88">
        <v>4</v>
      </c>
      <c r="J88" t="s">
        <v>1064</v>
      </c>
      <c r="K88">
        <v>76</v>
      </c>
      <c r="L88" t="s">
        <v>1180</v>
      </c>
      <c r="M88" t="s">
        <v>1181</v>
      </c>
      <c r="N88" t="s">
        <v>1182</v>
      </c>
      <c r="O88" t="s">
        <v>675</v>
      </c>
      <c r="P88" t="s">
        <v>1183</v>
      </c>
      <c r="Q88" t="s">
        <v>1184</v>
      </c>
      <c r="R88" t="s">
        <v>1185</v>
      </c>
      <c r="S88" s="2">
        <v>32223</v>
      </c>
      <c r="T88" t="s">
        <v>1186</v>
      </c>
      <c r="U88" t="s">
        <v>1187</v>
      </c>
      <c r="V88">
        <v>1</v>
      </c>
      <c r="W88">
        <v>4</v>
      </c>
      <c r="X88">
        <v>234973</v>
      </c>
      <c r="Y88" t="s">
        <v>1188</v>
      </c>
      <c r="Z88" t="s">
        <v>1184</v>
      </c>
      <c r="AA88" t="s">
        <v>682</v>
      </c>
      <c r="AB88" t="s">
        <v>45</v>
      </c>
      <c r="AC88" t="s">
        <v>683</v>
      </c>
    </row>
    <row r="89" spans="1:29">
      <c r="A89" t="s">
        <v>448</v>
      </c>
      <c r="B89" s="1">
        <v>113375</v>
      </c>
      <c r="C89" t="s">
        <v>699</v>
      </c>
      <c r="D89" t="s">
        <v>667</v>
      </c>
      <c r="E89" s="1">
        <v>-6465</v>
      </c>
      <c r="F89" t="s">
        <v>1189</v>
      </c>
      <c r="G89" t="s">
        <v>1190</v>
      </c>
      <c r="H89" t="s">
        <v>1191</v>
      </c>
      <c r="I89">
        <v>4</v>
      </c>
      <c r="J89" t="s">
        <v>255</v>
      </c>
      <c r="K89">
        <v>80</v>
      </c>
      <c r="L89" t="s">
        <v>1192</v>
      </c>
      <c r="M89" t="s">
        <v>1193</v>
      </c>
      <c r="N89" t="s">
        <v>1194</v>
      </c>
      <c r="O89" t="s">
        <v>675</v>
      </c>
      <c r="P89" t="s">
        <v>1195</v>
      </c>
      <c r="Q89" t="s">
        <v>1196</v>
      </c>
      <c r="R89" t="s">
        <v>1197</v>
      </c>
      <c r="S89">
        <v>1982</v>
      </c>
      <c r="T89">
        <v>0</v>
      </c>
      <c r="U89" t="s">
        <v>1198</v>
      </c>
      <c r="V89">
        <v>1</v>
      </c>
      <c r="W89">
        <v>2</v>
      </c>
      <c r="X89">
        <v>188987</v>
      </c>
      <c r="Y89" t="s">
        <v>214</v>
      </c>
      <c r="Z89" t="s">
        <v>1196</v>
      </c>
      <c r="AA89" t="s">
        <v>682</v>
      </c>
      <c r="AB89" t="s">
        <v>45</v>
      </c>
      <c r="AC89" t="s">
        <v>683</v>
      </c>
    </row>
    <row r="90" spans="1:29">
      <c r="A90" t="s">
        <v>360</v>
      </c>
      <c r="B90" s="1">
        <v>109975</v>
      </c>
      <c r="C90" t="s">
        <v>1199</v>
      </c>
      <c r="D90" t="s">
        <v>667</v>
      </c>
      <c r="E90" s="1">
        <v>-6472</v>
      </c>
      <c r="F90" t="s">
        <v>1200</v>
      </c>
      <c r="G90" t="s">
        <v>225</v>
      </c>
      <c r="H90" t="s">
        <v>1201</v>
      </c>
      <c r="I90">
        <v>4</v>
      </c>
      <c r="J90" t="s">
        <v>1202</v>
      </c>
      <c r="K90">
        <v>71</v>
      </c>
      <c r="L90" t="s">
        <v>1203</v>
      </c>
      <c r="M90" t="s">
        <v>1204</v>
      </c>
      <c r="N90" t="s">
        <v>1205</v>
      </c>
      <c r="O90" t="s">
        <v>675</v>
      </c>
      <c r="P90" t="s">
        <v>1206</v>
      </c>
      <c r="Q90" t="s">
        <v>1207</v>
      </c>
      <c r="R90" t="s">
        <v>1208</v>
      </c>
      <c r="S90" s="2">
        <v>29399</v>
      </c>
      <c r="T90" t="s">
        <v>1209</v>
      </c>
      <c r="U90" t="s">
        <v>1210</v>
      </c>
      <c r="V90">
        <v>0</v>
      </c>
      <c r="W90">
        <v>5</v>
      </c>
      <c r="X90">
        <v>214653</v>
      </c>
      <c r="Y90" t="s">
        <v>1211</v>
      </c>
      <c r="Z90" t="s">
        <v>1207</v>
      </c>
      <c r="AA90" t="s">
        <v>682</v>
      </c>
      <c r="AB90" t="s">
        <v>45</v>
      </c>
      <c r="AC90" t="s">
        <v>683</v>
      </c>
    </row>
    <row r="91" spans="1:29">
      <c r="A91" t="s">
        <v>1212</v>
      </c>
      <c r="B91" s="1">
        <v>128019</v>
      </c>
      <c r="C91" t="s">
        <v>1213</v>
      </c>
      <c r="D91" t="s">
        <v>667</v>
      </c>
      <c r="E91" s="1">
        <v>-4046</v>
      </c>
      <c r="F91" t="s">
        <v>49</v>
      </c>
      <c r="G91" t="s">
        <v>1214</v>
      </c>
      <c r="H91" t="s">
        <v>1215</v>
      </c>
      <c r="I91">
        <v>4</v>
      </c>
      <c r="J91" t="s">
        <v>1216</v>
      </c>
      <c r="K91">
        <v>75</v>
      </c>
      <c r="L91" t="s">
        <v>1217</v>
      </c>
      <c r="M91" t="s">
        <v>1218</v>
      </c>
      <c r="N91" t="s">
        <v>1219</v>
      </c>
      <c r="O91" t="s">
        <v>675</v>
      </c>
      <c r="P91" t="s">
        <v>1220</v>
      </c>
      <c r="Q91" t="s">
        <v>1221</v>
      </c>
      <c r="R91" t="s">
        <v>1222</v>
      </c>
      <c r="S91" s="2">
        <v>40066</v>
      </c>
      <c r="T91" t="s">
        <v>1223</v>
      </c>
      <c r="U91" t="s">
        <v>1224</v>
      </c>
      <c r="V91">
        <v>1</v>
      </c>
      <c r="W91">
        <v>2</v>
      </c>
      <c r="X91">
        <v>304840</v>
      </c>
      <c r="Y91" t="s">
        <v>1225</v>
      </c>
      <c r="Z91" t="s">
        <v>1221</v>
      </c>
      <c r="AA91" t="s">
        <v>682</v>
      </c>
      <c r="AB91" t="s">
        <v>45</v>
      </c>
      <c r="AC91" t="s">
        <v>683</v>
      </c>
    </row>
    <row r="92" spans="1:29">
      <c r="A92" t="s">
        <v>1177</v>
      </c>
      <c r="B92" s="1">
        <v>98883</v>
      </c>
      <c r="C92" t="s">
        <v>1226</v>
      </c>
      <c r="D92" t="s">
        <v>667</v>
      </c>
      <c r="E92" s="1">
        <v>-10164</v>
      </c>
      <c r="F92" t="s">
        <v>366</v>
      </c>
      <c r="G92" t="s">
        <v>1227</v>
      </c>
      <c r="H92" t="s">
        <v>1228</v>
      </c>
      <c r="I92">
        <v>4</v>
      </c>
      <c r="J92" t="s">
        <v>1229</v>
      </c>
      <c r="K92">
        <v>76</v>
      </c>
      <c r="L92" t="s">
        <v>1230</v>
      </c>
      <c r="M92" t="s">
        <v>1231</v>
      </c>
      <c r="N92" t="s">
        <v>1228</v>
      </c>
      <c r="O92" t="s">
        <v>675</v>
      </c>
      <c r="P92" t="s">
        <v>1232</v>
      </c>
      <c r="Q92" t="s">
        <v>1233</v>
      </c>
      <c r="R92" t="s">
        <v>1234</v>
      </c>
      <c r="S92" s="2">
        <v>24446</v>
      </c>
      <c r="T92" t="s">
        <v>373</v>
      </c>
      <c r="U92" t="s">
        <v>1235</v>
      </c>
      <c r="V92">
        <v>1</v>
      </c>
      <c r="W92">
        <v>2</v>
      </c>
      <c r="X92">
        <v>153693</v>
      </c>
      <c r="Y92" t="s">
        <v>276</v>
      </c>
      <c r="Z92" t="s">
        <v>1233</v>
      </c>
      <c r="AA92" t="s">
        <v>682</v>
      </c>
      <c r="AB92" t="s">
        <v>45</v>
      </c>
      <c r="AC92" t="s">
        <v>683</v>
      </c>
    </row>
    <row r="93" spans="1:29">
      <c r="A93" t="s">
        <v>1236</v>
      </c>
      <c r="B93" t="s">
        <v>1237</v>
      </c>
      <c r="C93" t="s">
        <v>551</v>
      </c>
      <c r="D93" t="s">
        <v>667</v>
      </c>
      <c r="E93" s="1">
        <v>-5978</v>
      </c>
      <c r="F93" t="s">
        <v>1238</v>
      </c>
      <c r="G93" t="s">
        <v>1239</v>
      </c>
      <c r="H93" t="s">
        <v>1240</v>
      </c>
      <c r="I93">
        <v>4</v>
      </c>
      <c r="J93" t="s">
        <v>1241</v>
      </c>
      <c r="K93">
        <v>68</v>
      </c>
      <c r="L93" t="s">
        <v>1242</v>
      </c>
      <c r="M93" t="s">
        <v>1243</v>
      </c>
      <c r="N93" t="s">
        <v>1244</v>
      </c>
      <c r="O93" t="s">
        <v>675</v>
      </c>
      <c r="P93" t="s">
        <v>1245</v>
      </c>
      <c r="Q93" t="s">
        <v>1246</v>
      </c>
      <c r="R93" t="s">
        <v>1247</v>
      </c>
      <c r="S93" s="2">
        <v>28531</v>
      </c>
      <c r="T93">
        <v>0</v>
      </c>
      <c r="U93" t="s">
        <v>1248</v>
      </c>
      <c r="V93">
        <v>0</v>
      </c>
      <c r="W93">
        <v>1</v>
      </c>
      <c r="X93">
        <v>156147</v>
      </c>
      <c r="Y93" t="s">
        <v>1249</v>
      </c>
      <c r="Z93" t="s">
        <v>1246</v>
      </c>
      <c r="AA93" t="s">
        <v>682</v>
      </c>
      <c r="AB93" t="s">
        <v>45</v>
      </c>
      <c r="AC93" t="s">
        <v>683</v>
      </c>
    </row>
    <row r="94" spans="1:29">
      <c r="A94" t="s">
        <v>784</v>
      </c>
      <c r="B94" s="1">
        <v>105435</v>
      </c>
      <c r="C94" t="s">
        <v>1250</v>
      </c>
      <c r="D94" t="s">
        <v>667</v>
      </c>
      <c r="E94" s="1">
        <v>-5373</v>
      </c>
      <c r="F94" t="s">
        <v>1251</v>
      </c>
      <c r="G94" t="s">
        <v>1252</v>
      </c>
      <c r="H94" t="s">
        <v>1253</v>
      </c>
      <c r="I94">
        <v>4</v>
      </c>
      <c r="J94" t="s">
        <v>1254</v>
      </c>
      <c r="K94">
        <v>76</v>
      </c>
      <c r="L94" t="s">
        <v>1255</v>
      </c>
      <c r="M94" t="s">
        <v>1256</v>
      </c>
      <c r="N94" t="s">
        <v>1257</v>
      </c>
      <c r="O94" t="s">
        <v>675</v>
      </c>
      <c r="P94" t="s">
        <v>1258</v>
      </c>
      <c r="Q94" t="s">
        <v>1259</v>
      </c>
      <c r="R94" t="s">
        <v>1260</v>
      </c>
      <c r="S94" s="2">
        <v>34402</v>
      </c>
      <c r="T94" t="s">
        <v>1261</v>
      </c>
      <c r="U94" t="s">
        <v>1262</v>
      </c>
      <c r="V94">
        <v>1</v>
      </c>
      <c r="W94">
        <v>6</v>
      </c>
      <c r="X94">
        <v>318587</v>
      </c>
      <c r="Y94" t="s">
        <v>1263</v>
      </c>
      <c r="Z94" t="s">
        <v>1259</v>
      </c>
      <c r="AA94" t="s">
        <v>682</v>
      </c>
      <c r="AB94" t="s">
        <v>45</v>
      </c>
      <c r="AC94" t="s">
        <v>683</v>
      </c>
    </row>
    <row r="95" spans="1:29">
      <c r="A95" t="s">
        <v>1264</v>
      </c>
      <c r="B95" s="1">
        <v>124348</v>
      </c>
      <c r="C95" t="s">
        <v>1265</v>
      </c>
      <c r="D95" t="s">
        <v>667</v>
      </c>
      <c r="E95" s="1">
        <v>-14295</v>
      </c>
      <c r="F95" t="s">
        <v>1266</v>
      </c>
      <c r="G95" t="s">
        <v>1267</v>
      </c>
      <c r="H95" t="s">
        <v>1268</v>
      </c>
      <c r="I95">
        <v>4</v>
      </c>
      <c r="J95" t="s">
        <v>1269</v>
      </c>
      <c r="K95">
        <v>70</v>
      </c>
      <c r="L95" t="s">
        <v>1270</v>
      </c>
      <c r="M95" t="s">
        <v>1271</v>
      </c>
      <c r="N95" t="s">
        <v>1272</v>
      </c>
      <c r="O95" t="s">
        <v>675</v>
      </c>
      <c r="P95" t="s">
        <v>1273</v>
      </c>
      <c r="Q95" t="s">
        <v>1274</v>
      </c>
      <c r="R95" t="s">
        <v>1275</v>
      </c>
      <c r="S95" s="2">
        <v>34516</v>
      </c>
      <c r="T95" t="s">
        <v>1276</v>
      </c>
      <c r="U95" t="s">
        <v>1277</v>
      </c>
      <c r="V95">
        <v>0</v>
      </c>
      <c r="W95">
        <v>2</v>
      </c>
      <c r="X95">
        <v>196467</v>
      </c>
      <c r="Y95" t="s">
        <v>1278</v>
      </c>
      <c r="Z95" t="s">
        <v>1274</v>
      </c>
      <c r="AA95" t="s">
        <v>682</v>
      </c>
      <c r="AB95" t="s">
        <v>45</v>
      </c>
      <c r="AC95" t="s">
        <v>683</v>
      </c>
    </row>
    <row r="96" spans="1:29">
      <c r="A96" t="s">
        <v>642</v>
      </c>
      <c r="B96" s="1">
        <v>159925</v>
      </c>
      <c r="C96" t="s">
        <v>202</v>
      </c>
      <c r="D96" t="s">
        <v>667</v>
      </c>
      <c r="E96" s="1">
        <v>-5066</v>
      </c>
      <c r="F96" t="s">
        <v>1267</v>
      </c>
      <c r="G96" t="s">
        <v>1279</v>
      </c>
      <c r="H96" t="s">
        <v>1063</v>
      </c>
      <c r="I96">
        <v>4</v>
      </c>
      <c r="J96" t="s">
        <v>958</v>
      </c>
      <c r="K96">
        <v>73</v>
      </c>
      <c r="L96" t="s">
        <v>1280</v>
      </c>
      <c r="M96" t="s">
        <v>1281</v>
      </c>
      <c r="N96">
        <v>5</v>
      </c>
      <c r="O96" t="s">
        <v>675</v>
      </c>
      <c r="P96" t="s">
        <v>1282</v>
      </c>
      <c r="Q96" t="s">
        <v>1283</v>
      </c>
      <c r="R96" t="s">
        <v>1284</v>
      </c>
      <c r="S96" s="2">
        <v>35927</v>
      </c>
      <c r="T96">
        <v>0</v>
      </c>
      <c r="U96" t="s">
        <v>1285</v>
      </c>
      <c r="V96">
        <v>1</v>
      </c>
      <c r="W96">
        <v>7</v>
      </c>
      <c r="X96">
        <v>221333</v>
      </c>
      <c r="Y96" t="s">
        <v>1286</v>
      </c>
      <c r="Z96" t="s">
        <v>1283</v>
      </c>
      <c r="AA96" t="s">
        <v>682</v>
      </c>
      <c r="AB96" t="s">
        <v>45</v>
      </c>
      <c r="AC96" t="s">
        <v>683</v>
      </c>
    </row>
    <row r="97" spans="1:29">
      <c r="A97" t="s">
        <v>62</v>
      </c>
      <c r="B97" s="1">
        <v>151008</v>
      </c>
      <c r="C97" t="s">
        <v>1287</v>
      </c>
      <c r="D97" t="s">
        <v>667</v>
      </c>
      <c r="E97" t="s">
        <v>1288</v>
      </c>
      <c r="F97" t="s">
        <v>363</v>
      </c>
      <c r="G97" t="s">
        <v>1289</v>
      </c>
      <c r="H97" t="s">
        <v>1290</v>
      </c>
      <c r="I97">
        <v>4</v>
      </c>
      <c r="J97" t="s">
        <v>1291</v>
      </c>
      <c r="K97">
        <v>75</v>
      </c>
      <c r="L97" t="s">
        <v>1292</v>
      </c>
      <c r="M97" t="s">
        <v>1293</v>
      </c>
      <c r="N97" t="s">
        <v>1294</v>
      </c>
      <c r="O97" t="s">
        <v>675</v>
      </c>
      <c r="P97" t="s">
        <v>1295</v>
      </c>
      <c r="Q97" t="s">
        <v>1296</v>
      </c>
      <c r="R97" t="s">
        <v>1297</v>
      </c>
      <c r="S97" s="2">
        <v>29130</v>
      </c>
      <c r="T97" t="s">
        <v>1298</v>
      </c>
      <c r="U97" t="s">
        <v>1299</v>
      </c>
      <c r="V97">
        <v>0</v>
      </c>
      <c r="W97">
        <v>1</v>
      </c>
      <c r="X97">
        <v>290280</v>
      </c>
      <c r="Y97" t="s">
        <v>919</v>
      </c>
      <c r="Z97" t="s">
        <v>1296</v>
      </c>
      <c r="AA97" t="s">
        <v>682</v>
      </c>
      <c r="AB97" t="s">
        <v>45</v>
      </c>
      <c r="AC97" t="s">
        <v>683</v>
      </c>
    </row>
    <row r="98" spans="1:29">
      <c r="A98" t="s">
        <v>1300</v>
      </c>
      <c r="B98" s="1">
        <v>112113</v>
      </c>
      <c r="C98" t="s">
        <v>1265</v>
      </c>
      <c r="D98" t="s">
        <v>667</v>
      </c>
      <c r="E98" s="1">
        <v>-6491</v>
      </c>
      <c r="F98" t="s">
        <v>1301</v>
      </c>
      <c r="G98" t="s">
        <v>1302</v>
      </c>
      <c r="H98" t="s">
        <v>932</v>
      </c>
      <c r="I98">
        <v>4</v>
      </c>
      <c r="J98" t="s">
        <v>1303</v>
      </c>
      <c r="K98">
        <v>72</v>
      </c>
      <c r="L98" t="s">
        <v>1304</v>
      </c>
      <c r="M98" t="s">
        <v>1305</v>
      </c>
      <c r="N98" t="s">
        <v>1306</v>
      </c>
      <c r="O98" t="s">
        <v>675</v>
      </c>
      <c r="P98" t="s">
        <v>1307</v>
      </c>
      <c r="Q98" t="s">
        <v>1308</v>
      </c>
      <c r="R98" t="s">
        <v>1309</v>
      </c>
      <c r="S98">
        <v>1977</v>
      </c>
      <c r="T98" t="s">
        <v>1310</v>
      </c>
      <c r="U98" t="s">
        <v>1311</v>
      </c>
      <c r="V98">
        <v>1</v>
      </c>
      <c r="W98">
        <v>7</v>
      </c>
      <c r="X98">
        <v>371413</v>
      </c>
      <c r="Y98" t="s">
        <v>1312</v>
      </c>
      <c r="Z98" t="s">
        <v>1308</v>
      </c>
      <c r="AA98" t="s">
        <v>682</v>
      </c>
      <c r="AB98" t="s">
        <v>45</v>
      </c>
      <c r="AC98" t="s">
        <v>683</v>
      </c>
    </row>
    <row r="99" spans="1:29">
      <c r="A99" t="s">
        <v>1199</v>
      </c>
      <c r="B99" s="1">
        <v>112937</v>
      </c>
      <c r="C99" t="s">
        <v>1025</v>
      </c>
      <c r="D99" t="s">
        <v>667</v>
      </c>
      <c r="E99" s="1">
        <v>-10068</v>
      </c>
      <c r="F99" t="s">
        <v>1264</v>
      </c>
      <c r="G99" t="s">
        <v>263</v>
      </c>
      <c r="H99" t="s">
        <v>949</v>
      </c>
      <c r="I99">
        <v>4</v>
      </c>
      <c r="J99" t="s">
        <v>1313</v>
      </c>
      <c r="K99">
        <v>75</v>
      </c>
      <c r="L99" t="s">
        <v>1314</v>
      </c>
      <c r="M99" t="s">
        <v>1315</v>
      </c>
      <c r="N99" t="s">
        <v>1316</v>
      </c>
      <c r="O99" t="s">
        <v>675</v>
      </c>
      <c r="P99" t="s">
        <v>1317</v>
      </c>
      <c r="Q99" t="s">
        <v>1318</v>
      </c>
      <c r="R99" t="s">
        <v>1319</v>
      </c>
      <c r="S99">
        <v>1970</v>
      </c>
      <c r="T99" t="s">
        <v>1320</v>
      </c>
      <c r="U99" t="s">
        <v>1321</v>
      </c>
      <c r="V99">
        <v>1</v>
      </c>
      <c r="W99">
        <v>11</v>
      </c>
      <c r="X99">
        <v>146250</v>
      </c>
      <c r="Y99" t="s">
        <v>1322</v>
      </c>
      <c r="Z99" t="s">
        <v>1318</v>
      </c>
      <c r="AA99" t="s">
        <v>682</v>
      </c>
      <c r="AB99" t="s">
        <v>45</v>
      </c>
      <c r="AC99" t="s">
        <v>683</v>
      </c>
    </row>
    <row r="100" spans="1:29">
      <c r="A100" t="s">
        <v>280</v>
      </c>
      <c r="B100" s="1">
        <v>177765</v>
      </c>
      <c r="C100" t="s">
        <v>583</v>
      </c>
      <c r="D100" t="s">
        <v>667</v>
      </c>
      <c r="E100" s="1">
        <v>-10054</v>
      </c>
      <c r="F100" t="s">
        <v>1323</v>
      </c>
      <c r="G100" t="s">
        <v>1324</v>
      </c>
      <c r="H100" t="s">
        <v>1325</v>
      </c>
      <c r="I100">
        <v>4</v>
      </c>
      <c r="J100" t="s">
        <v>1326</v>
      </c>
      <c r="K100">
        <v>76</v>
      </c>
      <c r="L100" t="s">
        <v>1327</v>
      </c>
      <c r="M100" t="s">
        <v>1328</v>
      </c>
      <c r="N100" t="s">
        <v>1329</v>
      </c>
      <c r="O100" t="s">
        <v>675</v>
      </c>
      <c r="P100" t="s">
        <v>1330</v>
      </c>
      <c r="Q100" t="s">
        <v>1331</v>
      </c>
      <c r="R100" t="s">
        <v>1332</v>
      </c>
      <c r="S100">
        <v>1977</v>
      </c>
      <c r="T100" t="s">
        <v>1333</v>
      </c>
      <c r="U100" t="s">
        <v>1334</v>
      </c>
      <c r="V100">
        <v>1</v>
      </c>
      <c r="W100">
        <v>10</v>
      </c>
      <c r="X100">
        <v>303373</v>
      </c>
      <c r="Y100" t="s">
        <v>1335</v>
      </c>
      <c r="Z100" t="s">
        <v>1331</v>
      </c>
      <c r="AA100" t="s">
        <v>682</v>
      </c>
      <c r="AB100" t="s">
        <v>45</v>
      </c>
      <c r="AC100" t="s">
        <v>683</v>
      </c>
    </row>
    <row r="101" spans="1:29">
      <c r="A101" t="s">
        <v>105</v>
      </c>
      <c r="B101" s="1">
        <v>188386</v>
      </c>
      <c r="C101" t="s">
        <v>1336</v>
      </c>
      <c r="D101" t="s">
        <v>667</v>
      </c>
      <c r="E101" s="1">
        <v>-5678</v>
      </c>
      <c r="F101" t="s">
        <v>1337</v>
      </c>
      <c r="G101" t="s">
        <v>1338</v>
      </c>
      <c r="H101" t="s">
        <v>688</v>
      </c>
      <c r="I101">
        <v>4</v>
      </c>
      <c r="J101" t="s">
        <v>1339</v>
      </c>
      <c r="K101">
        <v>83</v>
      </c>
      <c r="L101" t="s">
        <v>1340</v>
      </c>
      <c r="M101" t="s">
        <v>1341</v>
      </c>
      <c r="N101" t="s">
        <v>908</v>
      </c>
      <c r="O101" t="s">
        <v>675</v>
      </c>
      <c r="P101" t="s">
        <v>1342</v>
      </c>
      <c r="Q101" t="s">
        <v>1343</v>
      </c>
      <c r="R101" t="s">
        <v>908</v>
      </c>
      <c r="S101" s="2">
        <v>29427</v>
      </c>
      <c r="T101" t="s">
        <v>1344</v>
      </c>
      <c r="U101" t="s">
        <v>913</v>
      </c>
      <c r="V101">
        <v>1</v>
      </c>
      <c r="W101">
        <v>9</v>
      </c>
      <c r="X101">
        <v>255493</v>
      </c>
      <c r="Y101" t="s">
        <v>1345</v>
      </c>
      <c r="Z101" t="s">
        <v>1343</v>
      </c>
      <c r="AA101" t="s">
        <v>682</v>
      </c>
      <c r="AB101" t="s">
        <v>45</v>
      </c>
      <c r="AC101" t="s">
        <v>683</v>
      </c>
    </row>
    <row r="102" spans="1:29">
      <c r="A102" t="s">
        <v>447</v>
      </c>
      <c r="B102" s="1">
        <v>137145</v>
      </c>
      <c r="C102" t="s">
        <v>1346</v>
      </c>
      <c r="D102" t="s">
        <v>667</v>
      </c>
      <c r="E102" s="1">
        <v>-13553</v>
      </c>
      <c r="F102" t="s">
        <v>1347</v>
      </c>
      <c r="G102" t="s">
        <v>173</v>
      </c>
      <c r="H102" t="s">
        <v>1348</v>
      </c>
      <c r="I102">
        <v>4</v>
      </c>
      <c r="J102" t="s">
        <v>1349</v>
      </c>
      <c r="K102">
        <v>74</v>
      </c>
      <c r="L102" t="s">
        <v>1350</v>
      </c>
      <c r="M102" t="s">
        <v>1351</v>
      </c>
      <c r="N102" t="s">
        <v>1352</v>
      </c>
      <c r="O102" t="s">
        <v>675</v>
      </c>
      <c r="P102" t="s">
        <v>1353</v>
      </c>
      <c r="Q102" t="s">
        <v>1354</v>
      </c>
      <c r="R102" t="s">
        <v>1355</v>
      </c>
      <c r="S102" s="2">
        <v>28259</v>
      </c>
      <c r="T102" t="s">
        <v>582</v>
      </c>
      <c r="U102" t="s">
        <v>1356</v>
      </c>
      <c r="V102">
        <v>0</v>
      </c>
      <c r="W102">
        <v>4</v>
      </c>
      <c r="X102">
        <v>261933</v>
      </c>
      <c r="Y102" t="s">
        <v>1357</v>
      </c>
      <c r="Z102" t="s">
        <v>1354</v>
      </c>
      <c r="AA102" t="s">
        <v>682</v>
      </c>
      <c r="AB102" t="s">
        <v>45</v>
      </c>
      <c r="AC102" t="s">
        <v>683</v>
      </c>
    </row>
    <row r="103" spans="1:29">
      <c r="A103" t="s">
        <v>902</v>
      </c>
      <c r="B103" s="1">
        <v>136576</v>
      </c>
      <c r="C103" t="s">
        <v>435</v>
      </c>
      <c r="D103" t="s">
        <v>667</v>
      </c>
      <c r="E103" s="1">
        <v>-9119</v>
      </c>
      <c r="F103" t="s">
        <v>1358</v>
      </c>
      <c r="G103" t="s">
        <v>1359</v>
      </c>
      <c r="H103" t="s">
        <v>1360</v>
      </c>
      <c r="I103">
        <v>4</v>
      </c>
      <c r="J103" t="s">
        <v>1361</v>
      </c>
      <c r="K103">
        <v>79</v>
      </c>
      <c r="L103" t="s">
        <v>1362</v>
      </c>
      <c r="M103" t="s">
        <v>1363</v>
      </c>
      <c r="N103" t="s">
        <v>1364</v>
      </c>
      <c r="O103" t="s">
        <v>675</v>
      </c>
      <c r="P103" t="s">
        <v>1365</v>
      </c>
      <c r="Q103" t="s">
        <v>1366</v>
      </c>
      <c r="R103" t="s">
        <v>1367</v>
      </c>
      <c r="S103" s="2">
        <v>26438</v>
      </c>
      <c r="T103" t="s">
        <v>1368</v>
      </c>
      <c r="U103" t="s">
        <v>1369</v>
      </c>
      <c r="V103">
        <v>1</v>
      </c>
      <c r="W103">
        <v>10</v>
      </c>
      <c r="X103">
        <v>281613</v>
      </c>
      <c r="Y103" t="s">
        <v>1370</v>
      </c>
      <c r="Z103" t="s">
        <v>1366</v>
      </c>
      <c r="AA103" t="s">
        <v>682</v>
      </c>
      <c r="AB103" t="s">
        <v>45</v>
      </c>
      <c r="AC103" t="s">
        <v>683</v>
      </c>
    </row>
    <row r="104" spans="1:29">
      <c r="A104" t="s">
        <v>1371</v>
      </c>
      <c r="B104" s="1">
        <v>203006</v>
      </c>
      <c r="C104" t="s">
        <v>1372</v>
      </c>
      <c r="D104" t="s">
        <v>667</v>
      </c>
      <c r="E104" s="1">
        <v>-10283</v>
      </c>
      <c r="F104" t="s">
        <v>1373</v>
      </c>
      <c r="G104" t="s">
        <v>1374</v>
      </c>
      <c r="H104" t="s">
        <v>731</v>
      </c>
      <c r="I104">
        <v>4</v>
      </c>
      <c r="J104" t="s">
        <v>1375</v>
      </c>
      <c r="K104">
        <v>79</v>
      </c>
      <c r="L104" t="s">
        <v>1376</v>
      </c>
      <c r="M104" t="s">
        <v>1377</v>
      </c>
      <c r="N104" t="s">
        <v>1378</v>
      </c>
      <c r="O104" t="s">
        <v>675</v>
      </c>
      <c r="P104" t="s">
        <v>1379</v>
      </c>
      <c r="Q104" t="s">
        <v>1380</v>
      </c>
      <c r="R104" t="s">
        <v>1381</v>
      </c>
      <c r="S104" s="2">
        <v>34233</v>
      </c>
      <c r="T104" t="s">
        <v>1326</v>
      </c>
      <c r="U104" t="s">
        <v>1382</v>
      </c>
      <c r="V104">
        <v>1</v>
      </c>
      <c r="W104">
        <v>1</v>
      </c>
      <c r="X104">
        <v>281160</v>
      </c>
      <c r="Y104" t="s">
        <v>526</v>
      </c>
      <c r="Z104" t="s">
        <v>1380</v>
      </c>
      <c r="AA104" t="s">
        <v>682</v>
      </c>
      <c r="AB104" t="s">
        <v>45</v>
      </c>
      <c r="AC104" t="s">
        <v>683</v>
      </c>
    </row>
    <row r="105" spans="1:29">
      <c r="A105" t="s">
        <v>904</v>
      </c>
      <c r="B105" s="1">
        <v>109535</v>
      </c>
      <c r="C105" t="s">
        <v>173</v>
      </c>
      <c r="D105" t="s">
        <v>667</v>
      </c>
      <c r="E105" s="1">
        <v>-7246</v>
      </c>
      <c r="F105" t="s">
        <v>1383</v>
      </c>
      <c r="G105" t="s">
        <v>1384</v>
      </c>
      <c r="H105" t="s">
        <v>670</v>
      </c>
      <c r="I105">
        <v>4</v>
      </c>
      <c r="J105" t="s">
        <v>1385</v>
      </c>
      <c r="K105">
        <v>68</v>
      </c>
      <c r="L105" t="s">
        <v>1386</v>
      </c>
      <c r="M105" t="s">
        <v>1387</v>
      </c>
      <c r="N105" t="s">
        <v>674</v>
      </c>
      <c r="O105" t="s">
        <v>675</v>
      </c>
      <c r="P105" t="s">
        <v>1388</v>
      </c>
      <c r="Q105" t="s">
        <v>1389</v>
      </c>
      <c r="R105" t="s">
        <v>1390</v>
      </c>
      <c r="S105" s="2">
        <v>28102</v>
      </c>
      <c r="T105" t="s">
        <v>1391</v>
      </c>
      <c r="U105" t="s">
        <v>680</v>
      </c>
      <c r="V105">
        <v>1</v>
      </c>
      <c r="W105">
        <v>9</v>
      </c>
      <c r="X105">
        <v>286220</v>
      </c>
      <c r="Y105" t="s">
        <v>1392</v>
      </c>
      <c r="Z105" t="s">
        <v>1389</v>
      </c>
      <c r="AA105" t="s">
        <v>682</v>
      </c>
      <c r="AB105" t="s">
        <v>45</v>
      </c>
      <c r="AC105" t="s">
        <v>683</v>
      </c>
    </row>
    <row r="106" spans="1:29">
      <c r="A106" t="s">
        <v>1393</v>
      </c>
      <c r="B106" s="1">
        <v>92718</v>
      </c>
      <c r="C106" t="s">
        <v>1394</v>
      </c>
      <c r="D106" t="s">
        <v>667</v>
      </c>
      <c r="E106" s="1">
        <v>-18064</v>
      </c>
      <c r="F106" t="s">
        <v>1395</v>
      </c>
      <c r="G106" t="s">
        <v>1396</v>
      </c>
      <c r="H106" t="s">
        <v>1397</v>
      </c>
      <c r="I106">
        <v>4</v>
      </c>
      <c r="J106" t="s">
        <v>1269</v>
      </c>
      <c r="K106">
        <v>83</v>
      </c>
      <c r="L106" t="s">
        <v>1398</v>
      </c>
      <c r="M106" t="s">
        <v>1399</v>
      </c>
      <c r="N106" t="s">
        <v>1400</v>
      </c>
      <c r="O106" t="s">
        <v>675</v>
      </c>
      <c r="P106" t="s">
        <v>1401</v>
      </c>
      <c r="Q106" t="s">
        <v>1402</v>
      </c>
      <c r="R106" t="s">
        <v>1403</v>
      </c>
      <c r="S106" s="2">
        <v>30049</v>
      </c>
      <c r="T106" t="s">
        <v>1404</v>
      </c>
      <c r="U106" t="s">
        <v>1405</v>
      </c>
      <c r="V106">
        <v>1</v>
      </c>
      <c r="W106">
        <v>9</v>
      </c>
      <c r="X106">
        <v>295893</v>
      </c>
      <c r="Y106" t="s">
        <v>1406</v>
      </c>
      <c r="Z106" t="s">
        <v>1402</v>
      </c>
      <c r="AA106" t="s">
        <v>682</v>
      </c>
      <c r="AB106" t="s">
        <v>45</v>
      </c>
      <c r="AC106" t="s">
        <v>683</v>
      </c>
    </row>
    <row r="107" spans="1:29">
      <c r="A107" t="s">
        <v>1407</v>
      </c>
      <c r="B107" s="1">
        <v>141466</v>
      </c>
      <c r="C107" t="s">
        <v>1408</v>
      </c>
      <c r="D107" t="s">
        <v>667</v>
      </c>
      <c r="E107" t="s">
        <v>1409</v>
      </c>
      <c r="F107" t="s">
        <v>147</v>
      </c>
      <c r="G107" t="s">
        <v>1410</v>
      </c>
      <c r="H107" t="s">
        <v>1411</v>
      </c>
      <c r="I107">
        <v>4</v>
      </c>
      <c r="J107" t="s">
        <v>1412</v>
      </c>
      <c r="K107">
        <v>75</v>
      </c>
      <c r="L107" t="s">
        <v>1413</v>
      </c>
      <c r="M107" t="s">
        <v>1414</v>
      </c>
      <c r="N107" t="s">
        <v>1415</v>
      </c>
      <c r="O107" t="s">
        <v>675</v>
      </c>
      <c r="P107" t="s">
        <v>1416</v>
      </c>
      <c r="Q107" t="s">
        <v>1417</v>
      </c>
      <c r="R107" t="s">
        <v>1418</v>
      </c>
      <c r="S107">
        <v>1976</v>
      </c>
      <c r="T107" t="s">
        <v>1419</v>
      </c>
      <c r="U107" t="s">
        <v>1420</v>
      </c>
      <c r="V107">
        <v>0</v>
      </c>
      <c r="W107">
        <v>9</v>
      </c>
      <c r="X107">
        <v>308120</v>
      </c>
      <c r="Y107" t="s">
        <v>1421</v>
      </c>
      <c r="Z107" t="s">
        <v>1417</v>
      </c>
      <c r="AA107" t="s">
        <v>682</v>
      </c>
      <c r="AB107" t="s">
        <v>45</v>
      </c>
      <c r="AC107" t="s">
        <v>683</v>
      </c>
    </row>
    <row r="108" spans="1:29">
      <c r="A108" t="s">
        <v>250</v>
      </c>
      <c r="B108" s="1">
        <v>126879</v>
      </c>
      <c r="C108" t="s">
        <v>742</v>
      </c>
      <c r="D108" t="s">
        <v>667</v>
      </c>
      <c r="E108" s="1">
        <v>-9897</v>
      </c>
      <c r="F108" t="s">
        <v>249</v>
      </c>
      <c r="G108" t="s">
        <v>1422</v>
      </c>
      <c r="H108" t="s">
        <v>1423</v>
      </c>
      <c r="I108">
        <v>4</v>
      </c>
      <c r="J108" t="s">
        <v>1424</v>
      </c>
      <c r="K108">
        <v>77</v>
      </c>
      <c r="L108" t="s">
        <v>1425</v>
      </c>
      <c r="M108" t="s">
        <v>1426</v>
      </c>
      <c r="N108" t="s">
        <v>1427</v>
      </c>
      <c r="O108" t="s">
        <v>675</v>
      </c>
      <c r="P108" t="s">
        <v>1428</v>
      </c>
      <c r="Q108" t="s">
        <v>1429</v>
      </c>
      <c r="R108" t="s">
        <v>1430</v>
      </c>
      <c r="S108">
        <v>1995</v>
      </c>
      <c r="T108" t="s">
        <v>1431</v>
      </c>
      <c r="U108" t="s">
        <v>1432</v>
      </c>
      <c r="V108">
        <v>1</v>
      </c>
      <c r="W108">
        <v>3</v>
      </c>
      <c r="X108">
        <v>266200</v>
      </c>
      <c r="Y108" t="s">
        <v>1433</v>
      </c>
      <c r="Z108" t="s">
        <v>1429</v>
      </c>
      <c r="AA108" t="s">
        <v>682</v>
      </c>
      <c r="AB108" t="s">
        <v>45</v>
      </c>
      <c r="AC108" t="s">
        <v>683</v>
      </c>
    </row>
    <row r="109" spans="1:29">
      <c r="A109" t="s">
        <v>1434</v>
      </c>
      <c r="B109" s="1">
        <v>127163</v>
      </c>
      <c r="C109" t="s">
        <v>475</v>
      </c>
      <c r="D109" t="s">
        <v>667</v>
      </c>
      <c r="E109" s="1">
        <v>-12595</v>
      </c>
      <c r="F109" t="s">
        <v>1435</v>
      </c>
      <c r="G109" t="s">
        <v>1436</v>
      </c>
      <c r="H109" t="s">
        <v>840</v>
      </c>
      <c r="I109">
        <v>4</v>
      </c>
      <c r="J109" t="s">
        <v>1361</v>
      </c>
      <c r="K109">
        <v>71</v>
      </c>
      <c r="L109" t="s">
        <v>1437</v>
      </c>
      <c r="M109" t="s">
        <v>1438</v>
      </c>
      <c r="N109" t="s">
        <v>844</v>
      </c>
      <c r="O109" t="s">
        <v>675</v>
      </c>
      <c r="P109" t="s">
        <v>1439</v>
      </c>
      <c r="Q109" t="s">
        <v>1440</v>
      </c>
      <c r="R109" t="s">
        <v>1441</v>
      </c>
      <c r="S109" s="2">
        <v>29189</v>
      </c>
      <c r="T109" t="s">
        <v>252</v>
      </c>
      <c r="U109" t="s">
        <v>849</v>
      </c>
      <c r="V109">
        <v>0</v>
      </c>
      <c r="W109">
        <v>11</v>
      </c>
      <c r="X109">
        <v>382297</v>
      </c>
      <c r="Y109" t="s">
        <v>1442</v>
      </c>
      <c r="Z109" t="s">
        <v>1440</v>
      </c>
      <c r="AA109" t="s">
        <v>682</v>
      </c>
      <c r="AB109" t="s">
        <v>45</v>
      </c>
      <c r="AC109" t="s">
        <v>683</v>
      </c>
    </row>
    <row r="110" spans="1:29">
      <c r="A110" t="s">
        <v>1443</v>
      </c>
      <c r="B110" s="1">
        <v>81394</v>
      </c>
      <c r="C110" t="s">
        <v>1444</v>
      </c>
      <c r="D110" t="s">
        <v>667</v>
      </c>
      <c r="E110" s="1">
        <v>-7842</v>
      </c>
      <c r="F110" t="s">
        <v>515</v>
      </c>
      <c r="G110" t="s">
        <v>1445</v>
      </c>
      <c r="H110" t="s">
        <v>949</v>
      </c>
      <c r="I110">
        <v>4</v>
      </c>
      <c r="J110" t="s">
        <v>1446</v>
      </c>
      <c r="K110">
        <v>69</v>
      </c>
      <c r="L110" t="s">
        <v>1447</v>
      </c>
      <c r="M110" t="s">
        <v>1448</v>
      </c>
      <c r="N110" t="s">
        <v>1449</v>
      </c>
      <c r="O110" t="s">
        <v>675</v>
      </c>
      <c r="P110" t="s">
        <v>1450</v>
      </c>
      <c r="Q110" t="s">
        <v>1451</v>
      </c>
      <c r="R110" t="s">
        <v>1452</v>
      </c>
      <c r="S110" s="2">
        <v>26245</v>
      </c>
      <c r="T110" t="s">
        <v>1453</v>
      </c>
      <c r="U110" t="s">
        <v>1454</v>
      </c>
      <c r="V110">
        <v>0</v>
      </c>
      <c r="W110">
        <v>4</v>
      </c>
      <c r="X110">
        <v>295387</v>
      </c>
      <c r="Y110" t="s">
        <v>1455</v>
      </c>
      <c r="Z110" t="s">
        <v>1451</v>
      </c>
      <c r="AA110" t="s">
        <v>682</v>
      </c>
      <c r="AB110" t="s">
        <v>45</v>
      </c>
      <c r="AC110" t="s">
        <v>683</v>
      </c>
    </row>
    <row r="111" spans="1:29">
      <c r="A111" t="s">
        <v>985</v>
      </c>
      <c r="B111" s="1">
        <v>170411</v>
      </c>
      <c r="C111" t="s">
        <v>1456</v>
      </c>
      <c r="D111" t="s">
        <v>667</v>
      </c>
      <c r="E111" s="1">
        <v>-4907</v>
      </c>
      <c r="F111" t="s">
        <v>1189</v>
      </c>
      <c r="G111" t="s">
        <v>1457</v>
      </c>
      <c r="H111" t="s">
        <v>1458</v>
      </c>
      <c r="I111">
        <v>4</v>
      </c>
      <c r="J111" t="s">
        <v>631</v>
      </c>
      <c r="K111">
        <v>69</v>
      </c>
      <c r="L111" t="s">
        <v>1459</v>
      </c>
      <c r="M111" t="s">
        <v>1460</v>
      </c>
      <c r="N111" t="s">
        <v>1461</v>
      </c>
      <c r="O111" t="s">
        <v>675</v>
      </c>
      <c r="P111" t="s">
        <v>1462</v>
      </c>
      <c r="Q111" t="s">
        <v>1463</v>
      </c>
      <c r="R111" t="s">
        <v>1464</v>
      </c>
      <c r="S111" s="2">
        <v>37257</v>
      </c>
      <c r="T111" t="s">
        <v>1465</v>
      </c>
      <c r="U111" t="s">
        <v>1466</v>
      </c>
      <c r="V111">
        <v>1</v>
      </c>
      <c r="W111">
        <v>0</v>
      </c>
      <c r="X111">
        <v>278747</v>
      </c>
      <c r="Y111" t="s">
        <v>67</v>
      </c>
      <c r="Z111" t="s">
        <v>1463</v>
      </c>
      <c r="AA111" t="s">
        <v>682</v>
      </c>
      <c r="AB111" t="s">
        <v>45</v>
      </c>
      <c r="AC111" t="s">
        <v>683</v>
      </c>
    </row>
    <row r="112" spans="1:29">
      <c r="A112" t="s">
        <v>554</v>
      </c>
      <c r="B112" s="1">
        <v>117399</v>
      </c>
      <c r="C112" t="s">
        <v>1467</v>
      </c>
      <c r="D112" t="s">
        <v>667</v>
      </c>
      <c r="E112" s="1">
        <v>-7275</v>
      </c>
      <c r="F112" t="s">
        <v>1468</v>
      </c>
      <c r="G112" t="s">
        <v>262</v>
      </c>
      <c r="H112" t="s">
        <v>1469</v>
      </c>
      <c r="I112">
        <v>4</v>
      </c>
      <c r="J112" t="s">
        <v>1470</v>
      </c>
      <c r="K112">
        <v>69</v>
      </c>
      <c r="L112" t="s">
        <v>1471</v>
      </c>
      <c r="M112" t="s">
        <v>1472</v>
      </c>
      <c r="N112" t="s">
        <v>1473</v>
      </c>
      <c r="O112" t="s">
        <v>675</v>
      </c>
      <c r="P112" t="s">
        <v>1474</v>
      </c>
      <c r="Q112" t="s">
        <v>1475</v>
      </c>
      <c r="R112" t="s">
        <v>1476</v>
      </c>
      <c r="S112">
        <v>1973</v>
      </c>
      <c r="T112" t="s">
        <v>1477</v>
      </c>
      <c r="U112" t="s">
        <v>1478</v>
      </c>
      <c r="V112">
        <v>0</v>
      </c>
      <c r="W112">
        <v>7</v>
      </c>
      <c r="X112">
        <v>207267</v>
      </c>
      <c r="Y112" t="s">
        <v>729</v>
      </c>
      <c r="Z112" t="s">
        <v>1475</v>
      </c>
      <c r="AA112" t="s">
        <v>682</v>
      </c>
      <c r="AB112" t="s">
        <v>45</v>
      </c>
      <c r="AC112" t="s">
        <v>683</v>
      </c>
    </row>
    <row r="113" spans="1:29">
      <c r="A113" t="s">
        <v>1479</v>
      </c>
      <c r="B113" s="1">
        <v>85387</v>
      </c>
      <c r="C113" t="s">
        <v>1480</v>
      </c>
      <c r="D113" t="s">
        <v>667</v>
      </c>
      <c r="E113" t="s">
        <v>1481</v>
      </c>
      <c r="F113" t="s">
        <v>947</v>
      </c>
      <c r="G113" t="s">
        <v>80</v>
      </c>
      <c r="H113" t="s">
        <v>1482</v>
      </c>
      <c r="I113">
        <v>4</v>
      </c>
      <c r="J113" t="s">
        <v>1483</v>
      </c>
      <c r="K113">
        <v>69</v>
      </c>
      <c r="L113" t="s">
        <v>1484</v>
      </c>
      <c r="M113" t="s">
        <v>1485</v>
      </c>
      <c r="N113" t="s">
        <v>1486</v>
      </c>
      <c r="O113" t="s">
        <v>675</v>
      </c>
      <c r="P113" t="s">
        <v>1487</v>
      </c>
      <c r="Q113" t="s">
        <v>1488</v>
      </c>
      <c r="R113" t="s">
        <v>1489</v>
      </c>
      <c r="S113" s="2">
        <v>34394</v>
      </c>
      <c r="T113" t="s">
        <v>1490</v>
      </c>
      <c r="U113" t="s">
        <v>1491</v>
      </c>
      <c r="V113">
        <v>1</v>
      </c>
      <c r="W113">
        <v>2</v>
      </c>
      <c r="X113">
        <v>235000</v>
      </c>
      <c r="Y113" t="s">
        <v>517</v>
      </c>
      <c r="Z113" t="s">
        <v>1488</v>
      </c>
      <c r="AA113" t="s">
        <v>682</v>
      </c>
      <c r="AB113" t="s">
        <v>45</v>
      </c>
      <c r="AC113" t="s">
        <v>683</v>
      </c>
    </row>
    <row r="114" spans="1:29">
      <c r="A114" t="s">
        <v>1152</v>
      </c>
      <c r="B114" s="1">
        <v>138453</v>
      </c>
      <c r="C114" t="s">
        <v>1492</v>
      </c>
      <c r="D114" t="s">
        <v>667</v>
      </c>
      <c r="E114" s="1">
        <v>-11709</v>
      </c>
      <c r="F114" t="s">
        <v>1024</v>
      </c>
      <c r="G114" t="s">
        <v>145</v>
      </c>
      <c r="H114" t="s">
        <v>1493</v>
      </c>
      <c r="I114">
        <v>4</v>
      </c>
      <c r="J114" t="s">
        <v>1494</v>
      </c>
      <c r="K114">
        <v>74</v>
      </c>
      <c r="L114" t="s">
        <v>1495</v>
      </c>
      <c r="M114" t="s">
        <v>1496</v>
      </c>
      <c r="N114" t="s">
        <v>1497</v>
      </c>
      <c r="O114" t="s">
        <v>675</v>
      </c>
      <c r="P114" t="s">
        <v>1498</v>
      </c>
      <c r="Q114" t="s">
        <v>1499</v>
      </c>
      <c r="R114" t="s">
        <v>1497</v>
      </c>
      <c r="S114">
        <v>1971</v>
      </c>
      <c r="T114">
        <v>0</v>
      </c>
      <c r="U114" t="s">
        <v>1500</v>
      </c>
      <c r="V114">
        <v>0</v>
      </c>
      <c r="W114">
        <v>4</v>
      </c>
      <c r="X114">
        <v>516893</v>
      </c>
      <c r="Y114" t="s">
        <v>105</v>
      </c>
      <c r="Z114" t="s">
        <v>1499</v>
      </c>
      <c r="AA114" t="s">
        <v>682</v>
      </c>
      <c r="AB114" t="s">
        <v>45</v>
      </c>
      <c r="AC114" t="s">
        <v>683</v>
      </c>
    </row>
    <row r="115" spans="1:29">
      <c r="A115" t="s">
        <v>1501</v>
      </c>
      <c r="B115" s="1">
        <v>134114</v>
      </c>
      <c r="C115" t="s">
        <v>176</v>
      </c>
      <c r="D115" t="s">
        <v>667</v>
      </c>
      <c r="E115" s="1">
        <v>-8905</v>
      </c>
      <c r="F115" t="s">
        <v>1112</v>
      </c>
      <c r="G115" t="s">
        <v>1502</v>
      </c>
      <c r="H115" t="s">
        <v>1290</v>
      </c>
      <c r="I115">
        <v>4</v>
      </c>
      <c r="J115" t="s">
        <v>1503</v>
      </c>
      <c r="K115">
        <v>77</v>
      </c>
      <c r="L115" t="s">
        <v>1504</v>
      </c>
      <c r="M115" t="s">
        <v>1505</v>
      </c>
      <c r="N115" t="s">
        <v>1506</v>
      </c>
      <c r="O115" t="s">
        <v>675</v>
      </c>
      <c r="P115" t="s">
        <v>1507</v>
      </c>
      <c r="Q115" t="s">
        <v>1508</v>
      </c>
      <c r="R115" t="s">
        <v>1509</v>
      </c>
      <c r="S115" s="2">
        <v>28796</v>
      </c>
      <c r="T115" t="s">
        <v>1047</v>
      </c>
      <c r="U115" t="s">
        <v>1510</v>
      </c>
      <c r="V115">
        <v>1</v>
      </c>
      <c r="W115">
        <v>0</v>
      </c>
      <c r="X115">
        <v>191947</v>
      </c>
      <c r="Y115" t="s">
        <v>1511</v>
      </c>
      <c r="Z115" t="s">
        <v>1508</v>
      </c>
      <c r="AA115" t="s">
        <v>682</v>
      </c>
      <c r="AB115" t="s">
        <v>45</v>
      </c>
      <c r="AC115" t="s">
        <v>683</v>
      </c>
    </row>
    <row r="116" spans="1:29">
      <c r="A116" t="s">
        <v>105</v>
      </c>
      <c r="B116" s="1">
        <v>147245</v>
      </c>
      <c r="C116" t="s">
        <v>188</v>
      </c>
      <c r="D116" t="s">
        <v>667</v>
      </c>
      <c r="E116" s="1">
        <v>-9558</v>
      </c>
      <c r="F116" t="s">
        <v>1512</v>
      </c>
      <c r="G116" t="s">
        <v>1513</v>
      </c>
      <c r="H116" t="s">
        <v>1514</v>
      </c>
      <c r="I116">
        <v>4</v>
      </c>
      <c r="J116" t="s">
        <v>1515</v>
      </c>
      <c r="K116">
        <v>69</v>
      </c>
      <c r="L116" t="s">
        <v>1516</v>
      </c>
      <c r="M116" t="s">
        <v>1517</v>
      </c>
      <c r="N116" t="s">
        <v>1518</v>
      </c>
      <c r="O116" t="s">
        <v>675</v>
      </c>
      <c r="P116" t="s">
        <v>1519</v>
      </c>
      <c r="Q116" t="s">
        <v>1520</v>
      </c>
      <c r="R116" t="s">
        <v>1521</v>
      </c>
      <c r="S116" s="2">
        <v>28856</v>
      </c>
      <c r="T116" t="s">
        <v>1522</v>
      </c>
      <c r="U116" t="s">
        <v>1523</v>
      </c>
      <c r="V116">
        <v>1</v>
      </c>
      <c r="W116">
        <v>0</v>
      </c>
      <c r="X116">
        <v>295400</v>
      </c>
      <c r="Y116" t="s">
        <v>1524</v>
      </c>
      <c r="Z116" t="s">
        <v>1520</v>
      </c>
      <c r="AA116" t="s">
        <v>682</v>
      </c>
      <c r="AB116" t="s">
        <v>45</v>
      </c>
      <c r="AC116" t="s">
        <v>683</v>
      </c>
    </row>
    <row r="117" spans="1:29">
      <c r="A117" t="s">
        <v>1525</v>
      </c>
      <c r="B117" s="1">
        <v>104522</v>
      </c>
      <c r="C117" t="s">
        <v>1467</v>
      </c>
      <c r="D117" t="s">
        <v>667</v>
      </c>
      <c r="E117" s="1">
        <v>-16729</v>
      </c>
      <c r="F117" t="s">
        <v>1526</v>
      </c>
      <c r="G117" t="s">
        <v>1410</v>
      </c>
      <c r="H117" t="s">
        <v>1527</v>
      </c>
      <c r="I117">
        <v>4</v>
      </c>
      <c r="J117" t="s">
        <v>1528</v>
      </c>
      <c r="K117">
        <v>74</v>
      </c>
      <c r="L117" t="s">
        <v>1529</v>
      </c>
      <c r="M117" t="s">
        <v>1530</v>
      </c>
      <c r="N117" t="s">
        <v>1531</v>
      </c>
      <c r="O117" t="s">
        <v>675</v>
      </c>
      <c r="P117" t="s">
        <v>1532</v>
      </c>
      <c r="Q117" t="s">
        <v>1533</v>
      </c>
      <c r="R117" t="s">
        <v>1534</v>
      </c>
      <c r="S117" s="2">
        <v>26634</v>
      </c>
      <c r="T117" t="s">
        <v>1225</v>
      </c>
      <c r="U117" t="s">
        <v>1535</v>
      </c>
      <c r="V117">
        <v>1</v>
      </c>
      <c r="W117">
        <v>0</v>
      </c>
      <c r="X117">
        <v>254173</v>
      </c>
      <c r="Y117" t="s">
        <v>1536</v>
      </c>
      <c r="Z117" t="s">
        <v>1533</v>
      </c>
      <c r="AA117" t="s">
        <v>682</v>
      </c>
      <c r="AB117" t="s">
        <v>45</v>
      </c>
      <c r="AC117" t="s">
        <v>683</v>
      </c>
    </row>
    <row r="118" spans="1:29">
      <c r="A118" t="s">
        <v>1537</v>
      </c>
      <c r="B118" s="1">
        <v>80823</v>
      </c>
      <c r="C118" t="s">
        <v>756</v>
      </c>
      <c r="D118" t="s">
        <v>667</v>
      </c>
      <c r="E118" s="1">
        <v>-9803</v>
      </c>
      <c r="F118" t="s">
        <v>1538</v>
      </c>
      <c r="G118" t="s">
        <v>1539</v>
      </c>
      <c r="H118" t="s">
        <v>1540</v>
      </c>
      <c r="I118">
        <v>4</v>
      </c>
      <c r="J118" t="s">
        <v>1541</v>
      </c>
      <c r="K118">
        <v>70</v>
      </c>
      <c r="L118" t="s">
        <v>1542</v>
      </c>
      <c r="M118" t="s">
        <v>1543</v>
      </c>
      <c r="N118" t="s">
        <v>1544</v>
      </c>
      <c r="O118" t="s">
        <v>675</v>
      </c>
      <c r="P118" t="s">
        <v>1545</v>
      </c>
      <c r="Q118" t="s">
        <v>1546</v>
      </c>
      <c r="R118" t="s">
        <v>1547</v>
      </c>
      <c r="S118">
        <v>1976</v>
      </c>
      <c r="T118" t="s">
        <v>1548</v>
      </c>
      <c r="U118" t="s">
        <v>1549</v>
      </c>
      <c r="V118">
        <v>1</v>
      </c>
      <c r="W118">
        <v>8</v>
      </c>
      <c r="X118">
        <v>266720</v>
      </c>
      <c r="Y118" t="s">
        <v>1550</v>
      </c>
      <c r="Z118" t="s">
        <v>1546</v>
      </c>
      <c r="AA118" t="s">
        <v>682</v>
      </c>
      <c r="AB118" t="s">
        <v>45</v>
      </c>
      <c r="AC118" t="s">
        <v>683</v>
      </c>
    </row>
    <row r="119" spans="1:29">
      <c r="A119" t="s">
        <v>1551</v>
      </c>
      <c r="B119" s="1">
        <v>115728</v>
      </c>
      <c r="C119" t="s">
        <v>1552</v>
      </c>
      <c r="D119" t="s">
        <v>667</v>
      </c>
      <c r="E119" s="1">
        <v>-4793</v>
      </c>
      <c r="F119" t="s">
        <v>1553</v>
      </c>
      <c r="G119" t="s">
        <v>1554</v>
      </c>
      <c r="H119" t="s">
        <v>688</v>
      </c>
      <c r="I119">
        <v>4</v>
      </c>
      <c r="J119" t="s">
        <v>279</v>
      </c>
      <c r="K119">
        <v>84</v>
      </c>
      <c r="L119" t="s">
        <v>1555</v>
      </c>
      <c r="M119" t="s">
        <v>1556</v>
      </c>
      <c r="N119" t="s">
        <v>1557</v>
      </c>
      <c r="O119" t="s">
        <v>675</v>
      </c>
      <c r="P119" t="s">
        <v>1558</v>
      </c>
      <c r="Q119" t="s">
        <v>1559</v>
      </c>
      <c r="R119" t="s">
        <v>1557</v>
      </c>
      <c r="S119" s="2">
        <v>29063</v>
      </c>
      <c r="T119" t="s">
        <v>1560</v>
      </c>
      <c r="U119" t="s">
        <v>1561</v>
      </c>
      <c r="V119">
        <v>0</v>
      </c>
      <c r="W119">
        <v>6</v>
      </c>
      <c r="X119">
        <v>208400</v>
      </c>
      <c r="Y119" t="s">
        <v>987</v>
      </c>
      <c r="Z119" t="s">
        <v>1559</v>
      </c>
      <c r="AA119" t="s">
        <v>682</v>
      </c>
      <c r="AB119" t="s">
        <v>45</v>
      </c>
      <c r="AC119" t="s">
        <v>683</v>
      </c>
    </row>
    <row r="120" spans="1:29">
      <c r="A120" t="s">
        <v>131</v>
      </c>
      <c r="B120" s="1">
        <v>124936</v>
      </c>
      <c r="C120" t="s">
        <v>902</v>
      </c>
      <c r="D120" t="s">
        <v>667</v>
      </c>
      <c r="E120" s="1">
        <v>-6662</v>
      </c>
      <c r="F120" t="s">
        <v>1562</v>
      </c>
      <c r="G120" t="s">
        <v>43</v>
      </c>
      <c r="H120" t="s">
        <v>1563</v>
      </c>
      <c r="I120">
        <v>4</v>
      </c>
      <c r="J120" t="s">
        <v>1564</v>
      </c>
      <c r="K120">
        <v>79</v>
      </c>
      <c r="L120" t="s">
        <v>1565</v>
      </c>
      <c r="M120" t="s">
        <v>1566</v>
      </c>
      <c r="N120" t="s">
        <v>1567</v>
      </c>
      <c r="O120" t="s">
        <v>675</v>
      </c>
      <c r="P120" t="s">
        <v>1568</v>
      </c>
      <c r="Q120" t="s">
        <v>1569</v>
      </c>
      <c r="R120" t="s">
        <v>1570</v>
      </c>
      <c r="S120">
        <v>1977</v>
      </c>
      <c r="T120">
        <v>0</v>
      </c>
      <c r="U120" t="s">
        <v>1571</v>
      </c>
      <c r="V120">
        <v>1</v>
      </c>
      <c r="W120">
        <v>10</v>
      </c>
      <c r="X120">
        <v>214240</v>
      </c>
      <c r="Y120" t="s">
        <v>814</v>
      </c>
      <c r="Z120" t="s">
        <v>1569</v>
      </c>
      <c r="AA120" t="s">
        <v>682</v>
      </c>
      <c r="AB120" t="s">
        <v>45</v>
      </c>
      <c r="AC120" t="s">
        <v>683</v>
      </c>
    </row>
    <row r="121" spans="1:29">
      <c r="A121" t="s">
        <v>1572</v>
      </c>
      <c r="B121" s="1">
        <v>75009</v>
      </c>
      <c r="C121" t="s">
        <v>491</v>
      </c>
      <c r="D121" t="s">
        <v>667</v>
      </c>
      <c r="E121" s="1">
        <v>-6069</v>
      </c>
      <c r="F121" t="s">
        <v>1573</v>
      </c>
      <c r="G121" t="s">
        <v>1574</v>
      </c>
      <c r="H121" t="s">
        <v>973</v>
      </c>
      <c r="I121">
        <v>4</v>
      </c>
      <c r="J121" t="s">
        <v>1575</v>
      </c>
      <c r="K121">
        <v>73</v>
      </c>
      <c r="L121" t="s">
        <v>1576</v>
      </c>
      <c r="M121" t="s">
        <v>1577</v>
      </c>
      <c r="N121" t="s">
        <v>976</v>
      </c>
      <c r="O121" t="s">
        <v>675</v>
      </c>
      <c r="P121" t="s">
        <v>1578</v>
      </c>
      <c r="Q121" t="s">
        <v>1579</v>
      </c>
      <c r="R121" t="s">
        <v>1580</v>
      </c>
      <c r="S121" s="2">
        <v>33477</v>
      </c>
      <c r="T121" t="s">
        <v>1581</v>
      </c>
      <c r="U121" t="s">
        <v>981</v>
      </c>
      <c r="V121">
        <v>0</v>
      </c>
      <c r="W121">
        <v>11</v>
      </c>
      <c r="X121">
        <v>340907</v>
      </c>
      <c r="Y121" t="s">
        <v>1582</v>
      </c>
      <c r="Z121" t="s">
        <v>1579</v>
      </c>
      <c r="AA121" t="s">
        <v>682</v>
      </c>
      <c r="AB121" t="s">
        <v>45</v>
      </c>
      <c r="AC121" t="s">
        <v>683</v>
      </c>
    </row>
    <row r="122" spans="1:29">
      <c r="A122" t="s">
        <v>1583</v>
      </c>
      <c r="B122" s="1">
        <v>103867</v>
      </c>
      <c r="C122" t="s">
        <v>1584</v>
      </c>
      <c r="D122" t="s">
        <v>667</v>
      </c>
      <c r="E122" t="s">
        <v>1585</v>
      </c>
      <c r="F122" t="s">
        <v>1483</v>
      </c>
      <c r="G122" t="s">
        <v>487</v>
      </c>
      <c r="H122" t="s">
        <v>1586</v>
      </c>
      <c r="I122">
        <v>4</v>
      </c>
      <c r="J122" t="s">
        <v>1587</v>
      </c>
      <c r="K122">
        <v>69</v>
      </c>
      <c r="L122" t="s">
        <v>1588</v>
      </c>
      <c r="M122" t="s">
        <v>1589</v>
      </c>
      <c r="N122" t="s">
        <v>1590</v>
      </c>
      <c r="O122" t="s">
        <v>675</v>
      </c>
      <c r="P122" t="s">
        <v>1591</v>
      </c>
      <c r="Q122" t="s">
        <v>1592</v>
      </c>
      <c r="R122" t="s">
        <v>1593</v>
      </c>
      <c r="S122" s="2">
        <v>32764</v>
      </c>
      <c r="T122" t="s">
        <v>1594</v>
      </c>
      <c r="U122" t="s">
        <v>1595</v>
      </c>
      <c r="V122">
        <v>1</v>
      </c>
      <c r="W122">
        <v>0</v>
      </c>
      <c r="X122">
        <v>329800</v>
      </c>
      <c r="Y122" t="s">
        <v>1596</v>
      </c>
      <c r="Z122" t="s">
        <v>1592</v>
      </c>
      <c r="AA122" t="s">
        <v>682</v>
      </c>
      <c r="AB122" t="s">
        <v>45</v>
      </c>
      <c r="AC122" t="s">
        <v>683</v>
      </c>
    </row>
    <row r="123" spans="1:29">
      <c r="A123" t="s">
        <v>1597</v>
      </c>
      <c r="B123" s="1">
        <v>91577</v>
      </c>
      <c r="C123" t="s">
        <v>1598</v>
      </c>
      <c r="D123" t="s">
        <v>667</v>
      </c>
      <c r="E123" s="1">
        <v>-9919</v>
      </c>
      <c r="F123" t="s">
        <v>1599</v>
      </c>
      <c r="G123" t="s">
        <v>174</v>
      </c>
      <c r="H123" t="s">
        <v>745</v>
      </c>
      <c r="I123">
        <v>4</v>
      </c>
      <c r="J123" t="s">
        <v>1600</v>
      </c>
      <c r="K123">
        <v>72</v>
      </c>
      <c r="L123" t="s">
        <v>1601</v>
      </c>
      <c r="M123" t="s">
        <v>1602</v>
      </c>
      <c r="N123" t="s">
        <v>884</v>
      </c>
      <c r="O123" t="s">
        <v>675</v>
      </c>
      <c r="P123" t="s">
        <v>1603</v>
      </c>
      <c r="Q123" t="s">
        <v>1604</v>
      </c>
      <c r="R123" t="s">
        <v>1605</v>
      </c>
      <c r="S123" s="2">
        <v>33505</v>
      </c>
      <c r="T123" t="s">
        <v>1606</v>
      </c>
      <c r="U123" t="s">
        <v>889</v>
      </c>
      <c r="V123">
        <v>1</v>
      </c>
      <c r="W123">
        <v>7</v>
      </c>
      <c r="X123">
        <v>282907</v>
      </c>
      <c r="Y123" t="s">
        <v>781</v>
      </c>
      <c r="Z123" t="s">
        <v>1604</v>
      </c>
      <c r="AA123" t="s">
        <v>682</v>
      </c>
      <c r="AB123" t="s">
        <v>45</v>
      </c>
      <c r="AC123" t="s">
        <v>683</v>
      </c>
    </row>
    <row r="124" spans="1:29">
      <c r="A124" t="s">
        <v>1607</v>
      </c>
      <c r="B124" s="1">
        <v>94605</v>
      </c>
      <c r="C124" t="s">
        <v>641</v>
      </c>
      <c r="D124" t="s">
        <v>667</v>
      </c>
      <c r="E124" s="1">
        <v>-7844</v>
      </c>
      <c r="F124" t="s">
        <v>1202</v>
      </c>
      <c r="G124" t="s">
        <v>1608</v>
      </c>
      <c r="H124" t="s">
        <v>867</v>
      </c>
      <c r="I124">
        <v>4</v>
      </c>
      <c r="J124" t="s">
        <v>1609</v>
      </c>
      <c r="K124">
        <v>79</v>
      </c>
      <c r="L124" t="s">
        <v>1610</v>
      </c>
      <c r="M124" t="s">
        <v>1611</v>
      </c>
      <c r="N124" t="s">
        <v>1612</v>
      </c>
      <c r="O124" t="s">
        <v>675</v>
      </c>
      <c r="P124" t="s">
        <v>1613</v>
      </c>
      <c r="Q124" t="s">
        <v>1614</v>
      </c>
      <c r="R124" t="s">
        <v>1615</v>
      </c>
      <c r="S124" s="2">
        <v>35717</v>
      </c>
      <c r="T124">
        <v>0</v>
      </c>
      <c r="U124" t="s">
        <v>1616</v>
      </c>
      <c r="V124">
        <v>1</v>
      </c>
      <c r="W124">
        <v>7</v>
      </c>
      <c r="X124">
        <v>153467</v>
      </c>
      <c r="Y124" t="s">
        <v>1617</v>
      </c>
      <c r="Z124" t="s">
        <v>1614</v>
      </c>
      <c r="AA124" t="s">
        <v>682</v>
      </c>
      <c r="AB124" t="s">
        <v>45</v>
      </c>
      <c r="AC124" t="s">
        <v>683</v>
      </c>
    </row>
    <row r="125" spans="1:29">
      <c r="A125" t="s">
        <v>513</v>
      </c>
      <c r="B125" s="1">
        <v>176941</v>
      </c>
      <c r="C125" t="s">
        <v>1618</v>
      </c>
      <c r="D125" t="s">
        <v>667</v>
      </c>
      <c r="E125" s="1">
        <v>-13741</v>
      </c>
      <c r="F125" t="s">
        <v>1619</v>
      </c>
      <c r="G125" t="s">
        <v>1620</v>
      </c>
      <c r="H125" t="s">
        <v>1621</v>
      </c>
      <c r="I125">
        <v>4</v>
      </c>
      <c r="J125" t="s">
        <v>1622</v>
      </c>
      <c r="K125">
        <v>73</v>
      </c>
      <c r="L125" t="s">
        <v>1623</v>
      </c>
      <c r="M125" t="s">
        <v>1624</v>
      </c>
      <c r="N125" t="s">
        <v>1625</v>
      </c>
      <c r="O125" t="s">
        <v>675</v>
      </c>
      <c r="P125" t="s">
        <v>1626</v>
      </c>
      <c r="Q125" t="s">
        <v>1627</v>
      </c>
      <c r="R125" t="s">
        <v>1628</v>
      </c>
      <c r="S125" s="2">
        <v>31005</v>
      </c>
      <c r="T125" t="s">
        <v>1629</v>
      </c>
      <c r="U125" t="s">
        <v>1630</v>
      </c>
      <c r="V125">
        <v>1</v>
      </c>
      <c r="W125">
        <v>6</v>
      </c>
      <c r="X125">
        <v>288733</v>
      </c>
      <c r="Y125" t="s">
        <v>241</v>
      </c>
      <c r="Z125" t="s">
        <v>1627</v>
      </c>
      <c r="AA125" t="s">
        <v>682</v>
      </c>
      <c r="AB125" t="s">
        <v>45</v>
      </c>
      <c r="AC125" t="s">
        <v>683</v>
      </c>
    </row>
    <row r="126" spans="1:29">
      <c r="A126" t="s">
        <v>1631</v>
      </c>
      <c r="B126" s="1">
        <v>89839</v>
      </c>
      <c r="C126" t="s">
        <v>1082</v>
      </c>
      <c r="D126" t="s">
        <v>667</v>
      </c>
      <c r="E126" s="1">
        <v>-9584</v>
      </c>
      <c r="F126" t="s">
        <v>134</v>
      </c>
      <c r="G126" t="s">
        <v>786</v>
      </c>
      <c r="H126" t="s">
        <v>960</v>
      </c>
      <c r="I126">
        <v>4</v>
      </c>
      <c r="J126" t="s">
        <v>1632</v>
      </c>
      <c r="K126">
        <v>72</v>
      </c>
      <c r="L126" t="s">
        <v>1633</v>
      </c>
      <c r="M126" t="s">
        <v>1634</v>
      </c>
      <c r="N126" t="s">
        <v>960</v>
      </c>
      <c r="O126" t="s">
        <v>675</v>
      </c>
      <c r="P126" t="s">
        <v>1635</v>
      </c>
      <c r="Q126" t="s">
        <v>1636</v>
      </c>
      <c r="R126" t="s">
        <v>1637</v>
      </c>
      <c r="S126" s="2">
        <v>24476</v>
      </c>
      <c r="T126">
        <v>0</v>
      </c>
      <c r="U126" t="s">
        <v>1638</v>
      </c>
      <c r="V126">
        <v>1</v>
      </c>
      <c r="W126">
        <v>9</v>
      </c>
      <c r="X126">
        <v>145867</v>
      </c>
      <c r="Y126" t="s">
        <v>61</v>
      </c>
      <c r="Z126" t="s">
        <v>1636</v>
      </c>
      <c r="AA126" t="s">
        <v>682</v>
      </c>
      <c r="AB126" t="s">
        <v>45</v>
      </c>
      <c r="AC126" t="s">
        <v>683</v>
      </c>
    </row>
    <row r="127" spans="1:29">
      <c r="A127" t="s">
        <v>1639</v>
      </c>
      <c r="B127" s="1">
        <v>168131</v>
      </c>
      <c r="C127" t="s">
        <v>1640</v>
      </c>
      <c r="D127" t="s">
        <v>667</v>
      </c>
      <c r="E127" s="1">
        <v>-7332</v>
      </c>
      <c r="F127" t="s">
        <v>567</v>
      </c>
      <c r="G127" t="s">
        <v>1641</v>
      </c>
      <c r="H127" t="s">
        <v>1642</v>
      </c>
      <c r="I127">
        <v>4</v>
      </c>
      <c r="J127" t="s">
        <v>1643</v>
      </c>
      <c r="K127">
        <v>71</v>
      </c>
      <c r="L127" t="s">
        <v>1644</v>
      </c>
      <c r="M127" t="s">
        <v>1645</v>
      </c>
      <c r="N127" t="s">
        <v>1646</v>
      </c>
      <c r="O127" t="s">
        <v>675</v>
      </c>
      <c r="P127" t="s">
        <v>1647</v>
      </c>
      <c r="Q127" t="s">
        <v>1648</v>
      </c>
      <c r="R127" t="s">
        <v>1649</v>
      </c>
      <c r="S127" s="2">
        <v>34477</v>
      </c>
      <c r="T127" t="s">
        <v>1650</v>
      </c>
      <c r="U127" t="s">
        <v>1651</v>
      </c>
      <c r="V127">
        <v>0</v>
      </c>
      <c r="W127">
        <v>6</v>
      </c>
      <c r="X127">
        <v>178440</v>
      </c>
      <c r="Y127" t="s">
        <v>657</v>
      </c>
      <c r="Z127" t="s">
        <v>1648</v>
      </c>
      <c r="AA127" t="s">
        <v>682</v>
      </c>
      <c r="AB127" t="s">
        <v>45</v>
      </c>
      <c r="AC127" t="s">
        <v>683</v>
      </c>
    </row>
    <row r="128" spans="1:29">
      <c r="A128" t="s">
        <v>1652</v>
      </c>
      <c r="B128" s="1">
        <v>84989</v>
      </c>
      <c r="C128" t="s">
        <v>1653</v>
      </c>
      <c r="D128" t="s">
        <v>667</v>
      </c>
      <c r="E128" s="1">
        <v>-4899</v>
      </c>
      <c r="F128" t="s">
        <v>1654</v>
      </c>
      <c r="G128" t="s">
        <v>1655</v>
      </c>
      <c r="H128" t="s">
        <v>1656</v>
      </c>
      <c r="I128">
        <v>4</v>
      </c>
      <c r="J128" t="s">
        <v>1657</v>
      </c>
      <c r="K128">
        <v>72</v>
      </c>
      <c r="L128" t="s">
        <v>1658</v>
      </c>
      <c r="M128" t="s">
        <v>1659</v>
      </c>
      <c r="N128" t="s">
        <v>1660</v>
      </c>
      <c r="O128" t="s">
        <v>675</v>
      </c>
      <c r="P128" t="s">
        <v>1661</v>
      </c>
      <c r="Q128" t="s">
        <v>1662</v>
      </c>
      <c r="R128" t="s">
        <v>1663</v>
      </c>
      <c r="S128" s="2">
        <v>31992</v>
      </c>
      <c r="T128">
        <v>0</v>
      </c>
      <c r="U128" t="s">
        <v>1664</v>
      </c>
      <c r="V128">
        <v>0</v>
      </c>
      <c r="W128">
        <v>1</v>
      </c>
      <c r="X128">
        <v>267307</v>
      </c>
      <c r="Y128" t="s">
        <v>1477</v>
      </c>
      <c r="Z128" t="s">
        <v>1662</v>
      </c>
      <c r="AA128" t="s">
        <v>682</v>
      </c>
      <c r="AB128" t="s">
        <v>45</v>
      </c>
      <c r="AC128" t="s">
        <v>683</v>
      </c>
    </row>
    <row r="129" spans="1:29">
      <c r="A129" t="s">
        <v>1665</v>
      </c>
      <c r="B129" s="1">
        <v>135997</v>
      </c>
      <c r="C129" t="s">
        <v>1666</v>
      </c>
      <c r="D129" t="s">
        <v>667</v>
      </c>
      <c r="E129" s="1">
        <v>-4025</v>
      </c>
      <c r="F129" t="s">
        <v>1667</v>
      </c>
      <c r="G129" t="s">
        <v>1668</v>
      </c>
      <c r="H129" t="s">
        <v>802</v>
      </c>
      <c r="I129">
        <v>4</v>
      </c>
      <c r="J129" t="s">
        <v>1669</v>
      </c>
      <c r="K129">
        <v>73</v>
      </c>
      <c r="L129" t="s">
        <v>1670</v>
      </c>
      <c r="M129" t="s">
        <v>1671</v>
      </c>
      <c r="N129" t="s">
        <v>1672</v>
      </c>
      <c r="O129" t="s">
        <v>675</v>
      </c>
      <c r="P129" t="s">
        <v>1673</v>
      </c>
      <c r="Q129" t="s">
        <v>1674</v>
      </c>
      <c r="R129" t="s">
        <v>1675</v>
      </c>
      <c r="S129" s="2">
        <v>36466</v>
      </c>
      <c r="T129" t="s">
        <v>1676</v>
      </c>
      <c r="U129" t="s">
        <v>1677</v>
      </c>
      <c r="V129">
        <v>1</v>
      </c>
      <c r="W129">
        <v>4</v>
      </c>
      <c r="X129">
        <v>235293</v>
      </c>
      <c r="Y129" t="s">
        <v>1678</v>
      </c>
      <c r="Z129" t="s">
        <v>1674</v>
      </c>
      <c r="AA129" t="s">
        <v>682</v>
      </c>
      <c r="AB129" t="s">
        <v>45</v>
      </c>
      <c r="AC129" t="s">
        <v>683</v>
      </c>
    </row>
    <row r="130" spans="1:29">
      <c r="A130" t="s">
        <v>1679</v>
      </c>
      <c r="B130" s="1">
        <v>127402</v>
      </c>
      <c r="C130" t="s">
        <v>392</v>
      </c>
      <c r="D130" t="s">
        <v>667</v>
      </c>
      <c r="E130" t="s">
        <v>1680</v>
      </c>
      <c r="F130" t="s">
        <v>528</v>
      </c>
      <c r="G130" t="s">
        <v>970</v>
      </c>
      <c r="H130" t="s">
        <v>1681</v>
      </c>
      <c r="I130">
        <v>4</v>
      </c>
      <c r="J130" t="s">
        <v>35</v>
      </c>
      <c r="K130">
        <v>70</v>
      </c>
      <c r="L130" t="s">
        <v>1682</v>
      </c>
      <c r="M130" t="s">
        <v>1683</v>
      </c>
      <c r="N130" t="s">
        <v>1684</v>
      </c>
      <c r="O130" t="s">
        <v>675</v>
      </c>
      <c r="P130" t="s">
        <v>1685</v>
      </c>
      <c r="Q130" t="s">
        <v>1686</v>
      </c>
      <c r="R130" t="s">
        <v>1687</v>
      </c>
      <c r="S130" s="2">
        <v>29438</v>
      </c>
      <c r="T130" t="s">
        <v>1688</v>
      </c>
      <c r="U130" t="s">
        <v>1689</v>
      </c>
      <c r="V130">
        <v>1</v>
      </c>
      <c r="W130">
        <v>4</v>
      </c>
      <c r="X130">
        <v>171267</v>
      </c>
      <c r="Y130" t="s">
        <v>49</v>
      </c>
      <c r="Z130" t="s">
        <v>1686</v>
      </c>
      <c r="AA130" t="s">
        <v>682</v>
      </c>
      <c r="AB130" t="s">
        <v>45</v>
      </c>
      <c r="AC130" t="s">
        <v>683</v>
      </c>
    </row>
    <row r="131" spans="1:29">
      <c r="A131" t="s">
        <v>1121</v>
      </c>
      <c r="B131" s="1">
        <v>121864</v>
      </c>
      <c r="C131" t="s">
        <v>1690</v>
      </c>
      <c r="D131" t="s">
        <v>667</v>
      </c>
      <c r="E131" t="s">
        <v>1691</v>
      </c>
      <c r="F131" t="s">
        <v>1692</v>
      </c>
      <c r="G131" t="s">
        <v>641</v>
      </c>
      <c r="H131" t="s">
        <v>1423</v>
      </c>
      <c r="I131">
        <v>4</v>
      </c>
      <c r="J131" t="s">
        <v>1693</v>
      </c>
      <c r="K131">
        <v>73</v>
      </c>
      <c r="L131" t="s">
        <v>1694</v>
      </c>
      <c r="M131" t="s">
        <v>1695</v>
      </c>
      <c r="N131" t="s">
        <v>1427</v>
      </c>
      <c r="O131" t="s">
        <v>675</v>
      </c>
      <c r="P131" t="s">
        <v>1696</v>
      </c>
      <c r="Q131" t="s">
        <v>1697</v>
      </c>
      <c r="R131" t="s">
        <v>1698</v>
      </c>
      <c r="S131">
        <v>1995</v>
      </c>
      <c r="T131" t="s">
        <v>448</v>
      </c>
      <c r="U131" t="s">
        <v>1432</v>
      </c>
      <c r="V131">
        <v>0</v>
      </c>
      <c r="W131">
        <v>10</v>
      </c>
      <c r="X131">
        <v>258467</v>
      </c>
      <c r="Y131" t="s">
        <v>1699</v>
      </c>
      <c r="Z131" t="s">
        <v>1697</v>
      </c>
      <c r="AA131" t="s">
        <v>682</v>
      </c>
      <c r="AB131" t="s">
        <v>45</v>
      </c>
      <c r="AC131" t="s">
        <v>683</v>
      </c>
    </row>
    <row r="132" spans="1:29">
      <c r="A132" t="s">
        <v>1407</v>
      </c>
      <c r="B132" s="1">
        <v>170814</v>
      </c>
      <c r="C132" t="s">
        <v>1700</v>
      </c>
      <c r="D132" t="s">
        <v>667</v>
      </c>
      <c r="E132" s="1">
        <v>-7327</v>
      </c>
      <c r="F132" t="s">
        <v>135</v>
      </c>
      <c r="G132" t="s">
        <v>1310</v>
      </c>
      <c r="H132" t="s">
        <v>1701</v>
      </c>
      <c r="I132">
        <v>4</v>
      </c>
      <c r="J132" t="s">
        <v>1702</v>
      </c>
      <c r="K132">
        <v>72</v>
      </c>
      <c r="L132" t="s">
        <v>1703</v>
      </c>
      <c r="M132" t="s">
        <v>1704</v>
      </c>
      <c r="N132" t="s">
        <v>1705</v>
      </c>
      <c r="O132" t="s">
        <v>675</v>
      </c>
      <c r="P132" t="s">
        <v>1706</v>
      </c>
      <c r="Q132" t="s">
        <v>1707</v>
      </c>
      <c r="R132" t="s">
        <v>1708</v>
      </c>
      <c r="S132" s="2">
        <v>34492</v>
      </c>
      <c r="T132" t="s">
        <v>1709</v>
      </c>
      <c r="U132" t="s">
        <v>1710</v>
      </c>
      <c r="V132">
        <v>1</v>
      </c>
      <c r="W132">
        <v>9</v>
      </c>
      <c r="X132">
        <v>194853</v>
      </c>
      <c r="Y132" t="s">
        <v>1711</v>
      </c>
      <c r="Z132" t="s">
        <v>1707</v>
      </c>
      <c r="AA132" t="s">
        <v>682</v>
      </c>
      <c r="AB132" t="s">
        <v>45</v>
      </c>
      <c r="AC132" t="s">
        <v>683</v>
      </c>
    </row>
    <row r="133" spans="1:29">
      <c r="A133" t="s">
        <v>1712</v>
      </c>
      <c r="B133" s="1">
        <v>133769</v>
      </c>
      <c r="C133" t="s">
        <v>421</v>
      </c>
      <c r="D133" t="s">
        <v>667</v>
      </c>
      <c r="E133" t="s">
        <v>1713</v>
      </c>
      <c r="F133" t="s">
        <v>1714</v>
      </c>
      <c r="G133" t="s">
        <v>174</v>
      </c>
      <c r="H133" t="s">
        <v>1191</v>
      </c>
      <c r="I133">
        <v>4</v>
      </c>
      <c r="J133" t="s">
        <v>1715</v>
      </c>
      <c r="K133">
        <v>70</v>
      </c>
      <c r="L133" t="s">
        <v>1716</v>
      </c>
      <c r="M133" t="s">
        <v>1717</v>
      </c>
      <c r="N133" t="s">
        <v>1718</v>
      </c>
      <c r="O133" t="s">
        <v>675</v>
      </c>
      <c r="P133" t="s">
        <v>1719</v>
      </c>
      <c r="Q133" t="s">
        <v>1720</v>
      </c>
      <c r="R133" t="s">
        <v>1721</v>
      </c>
      <c r="S133">
        <v>1979</v>
      </c>
      <c r="T133">
        <v>0</v>
      </c>
      <c r="U133" t="s">
        <v>1722</v>
      </c>
      <c r="V133">
        <v>1</v>
      </c>
      <c r="W133">
        <v>0</v>
      </c>
      <c r="X133">
        <v>200480</v>
      </c>
      <c r="Y133" t="s">
        <v>1723</v>
      </c>
      <c r="Z133" t="s">
        <v>1720</v>
      </c>
      <c r="AA133" t="s">
        <v>682</v>
      </c>
      <c r="AB133" t="s">
        <v>45</v>
      </c>
      <c r="AC133" t="s">
        <v>683</v>
      </c>
    </row>
    <row r="134" spans="1:29">
      <c r="A134" t="s">
        <v>1667</v>
      </c>
      <c r="B134" s="1">
        <v>122861</v>
      </c>
      <c r="C134" t="s">
        <v>1724</v>
      </c>
      <c r="D134" t="s">
        <v>667</v>
      </c>
      <c r="E134" t="s">
        <v>1725</v>
      </c>
      <c r="F134" t="s">
        <v>1726</v>
      </c>
      <c r="G134" t="s">
        <v>1727</v>
      </c>
      <c r="H134" t="s">
        <v>840</v>
      </c>
      <c r="I134">
        <v>4</v>
      </c>
      <c r="J134" t="s">
        <v>1728</v>
      </c>
      <c r="K134">
        <v>75</v>
      </c>
      <c r="L134" t="s">
        <v>1729</v>
      </c>
      <c r="M134" t="s">
        <v>1730</v>
      </c>
      <c r="N134" t="s">
        <v>1731</v>
      </c>
      <c r="O134" t="s">
        <v>675</v>
      </c>
      <c r="P134" t="s">
        <v>1732</v>
      </c>
      <c r="Q134" t="s">
        <v>1733</v>
      </c>
      <c r="R134" t="s">
        <v>1731</v>
      </c>
      <c r="S134" s="2">
        <v>27649</v>
      </c>
      <c r="T134" t="s">
        <v>1734</v>
      </c>
      <c r="U134" t="s">
        <v>1735</v>
      </c>
      <c r="V134">
        <v>1</v>
      </c>
      <c r="W134">
        <v>7</v>
      </c>
      <c r="X134">
        <v>334744</v>
      </c>
      <c r="Y134" t="s">
        <v>1279</v>
      </c>
      <c r="Z134" t="s">
        <v>1733</v>
      </c>
      <c r="AA134" t="s">
        <v>682</v>
      </c>
      <c r="AB134" t="s">
        <v>45</v>
      </c>
      <c r="AC134" t="s">
        <v>683</v>
      </c>
    </row>
    <row r="135" spans="1:29">
      <c r="A135" t="s">
        <v>929</v>
      </c>
      <c r="B135" s="1">
        <v>84383</v>
      </c>
      <c r="C135" t="s">
        <v>1736</v>
      </c>
      <c r="D135" t="s">
        <v>667</v>
      </c>
      <c r="E135" s="1">
        <v>-13333</v>
      </c>
      <c r="F135" t="s">
        <v>1052</v>
      </c>
      <c r="G135" t="s">
        <v>1737</v>
      </c>
      <c r="H135" t="s">
        <v>1738</v>
      </c>
      <c r="I135">
        <v>4</v>
      </c>
      <c r="J135" t="s">
        <v>1739</v>
      </c>
      <c r="K135">
        <v>75</v>
      </c>
      <c r="L135" t="s">
        <v>1740</v>
      </c>
      <c r="M135" t="s">
        <v>1741</v>
      </c>
      <c r="N135" t="s">
        <v>1742</v>
      </c>
      <c r="O135" t="s">
        <v>675</v>
      </c>
      <c r="P135" t="s">
        <v>1743</v>
      </c>
      <c r="Q135" t="s">
        <v>1744</v>
      </c>
      <c r="R135" t="s">
        <v>1745</v>
      </c>
      <c r="S135" s="2">
        <v>32509</v>
      </c>
      <c r="T135">
        <v>0</v>
      </c>
      <c r="U135" t="s">
        <v>1746</v>
      </c>
      <c r="V135">
        <v>1</v>
      </c>
      <c r="W135">
        <v>5</v>
      </c>
      <c r="X135">
        <v>256000</v>
      </c>
      <c r="Y135" t="s">
        <v>528</v>
      </c>
      <c r="Z135" t="s">
        <v>1744</v>
      </c>
      <c r="AA135" t="s">
        <v>682</v>
      </c>
      <c r="AB135" t="s">
        <v>45</v>
      </c>
      <c r="AC135" t="s">
        <v>683</v>
      </c>
    </row>
    <row r="136" spans="1:29">
      <c r="A136" t="s">
        <v>1747</v>
      </c>
      <c r="B136" s="1">
        <v>148117</v>
      </c>
      <c r="C136" t="s">
        <v>1748</v>
      </c>
      <c r="D136" t="s">
        <v>667</v>
      </c>
      <c r="E136" s="1">
        <v>-9342</v>
      </c>
      <c r="F136" t="s">
        <v>1749</v>
      </c>
      <c r="G136" t="s">
        <v>1750</v>
      </c>
      <c r="H136" t="s">
        <v>1751</v>
      </c>
      <c r="I136">
        <v>4</v>
      </c>
      <c r="J136" t="s">
        <v>1040</v>
      </c>
      <c r="K136">
        <v>73</v>
      </c>
      <c r="L136" t="s">
        <v>1752</v>
      </c>
      <c r="M136" t="s">
        <v>1753</v>
      </c>
      <c r="N136" t="s">
        <v>1751</v>
      </c>
      <c r="O136" t="s">
        <v>675</v>
      </c>
      <c r="P136" t="s">
        <v>1754</v>
      </c>
      <c r="Q136" t="s">
        <v>1755</v>
      </c>
      <c r="R136" t="s">
        <v>1756</v>
      </c>
      <c r="S136" s="2">
        <v>33604</v>
      </c>
      <c r="T136" t="s">
        <v>1757</v>
      </c>
      <c r="U136" t="s">
        <v>1758</v>
      </c>
      <c r="V136">
        <v>1</v>
      </c>
      <c r="W136">
        <v>9</v>
      </c>
      <c r="X136">
        <v>217107</v>
      </c>
      <c r="Y136" t="s">
        <v>263</v>
      </c>
      <c r="Z136" t="s">
        <v>1755</v>
      </c>
      <c r="AA136" t="s">
        <v>682</v>
      </c>
      <c r="AB136" t="s">
        <v>45</v>
      </c>
      <c r="AC136" t="s">
        <v>683</v>
      </c>
    </row>
    <row r="137" spans="1:29">
      <c r="A137" t="s">
        <v>1759</v>
      </c>
      <c r="B137" s="1">
        <v>141167</v>
      </c>
      <c r="C137" t="s">
        <v>1760</v>
      </c>
      <c r="D137" t="s">
        <v>667</v>
      </c>
      <c r="E137" s="1">
        <v>-5436</v>
      </c>
      <c r="F137" t="s">
        <v>1761</v>
      </c>
      <c r="G137" t="s">
        <v>1762</v>
      </c>
      <c r="H137" t="s">
        <v>1240</v>
      </c>
      <c r="I137">
        <v>4</v>
      </c>
      <c r="J137" t="s">
        <v>1596</v>
      </c>
      <c r="K137">
        <v>72</v>
      </c>
      <c r="L137" t="s">
        <v>1763</v>
      </c>
      <c r="M137" t="s">
        <v>1764</v>
      </c>
      <c r="N137" t="s">
        <v>1765</v>
      </c>
      <c r="O137" t="s">
        <v>675</v>
      </c>
      <c r="P137" t="s">
        <v>1766</v>
      </c>
      <c r="Q137" t="s">
        <v>1767</v>
      </c>
      <c r="R137" t="s">
        <v>1768</v>
      </c>
      <c r="S137" s="2">
        <v>30685</v>
      </c>
      <c r="T137" t="s">
        <v>1769</v>
      </c>
      <c r="U137" t="s">
        <v>1770</v>
      </c>
      <c r="V137">
        <v>1</v>
      </c>
      <c r="W137">
        <v>8</v>
      </c>
      <c r="X137">
        <v>210227</v>
      </c>
      <c r="Y137" t="s">
        <v>1771</v>
      </c>
      <c r="Z137" t="s">
        <v>1767</v>
      </c>
      <c r="AA137" t="s">
        <v>682</v>
      </c>
      <c r="AB137" t="s">
        <v>45</v>
      </c>
      <c r="AC137" t="s">
        <v>683</v>
      </c>
    </row>
    <row r="138" spans="1:29">
      <c r="A138" t="s">
        <v>1772</v>
      </c>
      <c r="B138" s="1">
        <v>100127</v>
      </c>
      <c r="C138" t="s">
        <v>147</v>
      </c>
      <c r="D138" t="s">
        <v>667</v>
      </c>
      <c r="E138" s="1">
        <v>-7457</v>
      </c>
      <c r="F138" t="s">
        <v>1773</v>
      </c>
      <c r="G138" t="s">
        <v>188</v>
      </c>
      <c r="H138" t="s">
        <v>1774</v>
      </c>
      <c r="I138">
        <v>4</v>
      </c>
      <c r="J138" t="s">
        <v>1775</v>
      </c>
      <c r="K138">
        <v>72</v>
      </c>
      <c r="L138" t="s">
        <v>1776</v>
      </c>
      <c r="M138" t="s">
        <v>1777</v>
      </c>
      <c r="N138" t="s">
        <v>1778</v>
      </c>
      <c r="O138" t="s">
        <v>675</v>
      </c>
      <c r="P138" t="s">
        <v>1779</v>
      </c>
      <c r="Q138" t="s">
        <v>1780</v>
      </c>
      <c r="R138" t="s">
        <v>1781</v>
      </c>
      <c r="S138" s="2">
        <v>33876</v>
      </c>
      <c r="T138" t="s">
        <v>1782</v>
      </c>
      <c r="U138" t="s">
        <v>1783</v>
      </c>
      <c r="V138">
        <v>1</v>
      </c>
      <c r="W138">
        <v>6</v>
      </c>
      <c r="X138">
        <v>206773</v>
      </c>
      <c r="Y138" t="s">
        <v>1784</v>
      </c>
      <c r="Z138" t="s">
        <v>1780</v>
      </c>
      <c r="AA138" t="s">
        <v>682</v>
      </c>
      <c r="AB138" t="s">
        <v>45</v>
      </c>
      <c r="AC138" t="s">
        <v>683</v>
      </c>
    </row>
    <row r="139" spans="1:29">
      <c r="A139" t="s">
        <v>970</v>
      </c>
      <c r="B139" s="1">
        <v>146347</v>
      </c>
      <c r="C139" t="s">
        <v>1785</v>
      </c>
      <c r="D139" t="s">
        <v>667</v>
      </c>
      <c r="E139" s="1">
        <v>-4199</v>
      </c>
      <c r="F139" t="s">
        <v>255</v>
      </c>
      <c r="G139" t="s">
        <v>1786</v>
      </c>
      <c r="H139" t="s">
        <v>986</v>
      </c>
      <c r="I139">
        <v>4</v>
      </c>
      <c r="J139" t="s">
        <v>1787</v>
      </c>
      <c r="K139">
        <v>70</v>
      </c>
      <c r="L139" t="s">
        <v>1788</v>
      </c>
      <c r="M139" t="s">
        <v>1789</v>
      </c>
      <c r="N139" t="s">
        <v>1790</v>
      </c>
      <c r="O139" t="s">
        <v>675</v>
      </c>
      <c r="P139" t="s">
        <v>1791</v>
      </c>
      <c r="Q139" t="s">
        <v>1792</v>
      </c>
      <c r="R139" t="s">
        <v>1793</v>
      </c>
      <c r="S139" s="2">
        <v>27631</v>
      </c>
      <c r="T139" t="s">
        <v>1794</v>
      </c>
      <c r="U139" t="s">
        <v>1795</v>
      </c>
      <c r="V139">
        <v>1</v>
      </c>
      <c r="W139">
        <v>4</v>
      </c>
      <c r="X139">
        <v>269920</v>
      </c>
      <c r="Y139" t="s">
        <v>1796</v>
      </c>
      <c r="Z139" t="s">
        <v>1792</v>
      </c>
      <c r="AA139" t="s">
        <v>682</v>
      </c>
      <c r="AB139" t="s">
        <v>45</v>
      </c>
      <c r="AC139" t="s">
        <v>683</v>
      </c>
    </row>
    <row r="140" spans="1:29">
      <c r="A140" t="s">
        <v>1797</v>
      </c>
      <c r="B140" s="1">
        <v>136094</v>
      </c>
      <c r="C140" t="s">
        <v>1264</v>
      </c>
      <c r="D140" t="s">
        <v>1798</v>
      </c>
      <c r="E140" s="1">
        <v>-13507</v>
      </c>
      <c r="F140" t="s">
        <v>1799</v>
      </c>
      <c r="G140" t="s">
        <v>1800</v>
      </c>
      <c r="H140" t="s">
        <v>1801</v>
      </c>
      <c r="I140">
        <v>3</v>
      </c>
      <c r="J140" t="s">
        <v>1802</v>
      </c>
      <c r="K140">
        <v>69</v>
      </c>
      <c r="L140" t="s">
        <v>1803</v>
      </c>
      <c r="M140" t="s">
        <v>1804</v>
      </c>
      <c r="N140" t="s">
        <v>1805</v>
      </c>
      <c r="O140" t="s">
        <v>1806</v>
      </c>
      <c r="P140" t="s">
        <v>1807</v>
      </c>
      <c r="Q140" t="s">
        <v>1808</v>
      </c>
      <c r="R140" t="s">
        <v>1805</v>
      </c>
      <c r="S140" s="2">
        <v>19725</v>
      </c>
      <c r="T140" t="s">
        <v>1120</v>
      </c>
      <c r="U140" t="s">
        <v>1809</v>
      </c>
      <c r="V140">
        <v>1</v>
      </c>
      <c r="W140">
        <v>5</v>
      </c>
      <c r="X140">
        <v>191973</v>
      </c>
      <c r="Y140" t="s">
        <v>1810</v>
      </c>
      <c r="Z140" t="s">
        <v>1808</v>
      </c>
      <c r="AA140" t="s">
        <v>682</v>
      </c>
      <c r="AB140" t="s">
        <v>45</v>
      </c>
      <c r="AC140" t="s">
        <v>1811</v>
      </c>
    </row>
    <row r="141" spans="1:29">
      <c r="A141" t="s">
        <v>264</v>
      </c>
      <c r="B141" s="1">
        <v>58303</v>
      </c>
      <c r="C141" t="s">
        <v>1812</v>
      </c>
      <c r="D141" t="s">
        <v>1813</v>
      </c>
      <c r="E141" s="1">
        <v>-18756</v>
      </c>
      <c r="F141" t="s">
        <v>1528</v>
      </c>
      <c r="G141" t="s">
        <v>1814</v>
      </c>
      <c r="H141" t="s">
        <v>1815</v>
      </c>
      <c r="I141">
        <v>4</v>
      </c>
      <c r="J141" t="s">
        <v>689</v>
      </c>
      <c r="K141">
        <v>68</v>
      </c>
      <c r="L141" t="s">
        <v>1816</v>
      </c>
      <c r="M141" t="s">
        <v>1817</v>
      </c>
      <c r="N141" t="s">
        <v>1818</v>
      </c>
      <c r="O141" t="s">
        <v>1819</v>
      </c>
      <c r="P141" t="s">
        <v>1820</v>
      </c>
      <c r="Q141" t="s">
        <v>1821</v>
      </c>
      <c r="R141" t="s">
        <v>1822</v>
      </c>
      <c r="S141" s="2">
        <v>27760</v>
      </c>
      <c r="T141" t="s">
        <v>1823</v>
      </c>
      <c r="U141" t="s">
        <v>1824</v>
      </c>
      <c r="V141">
        <v>0</v>
      </c>
      <c r="W141">
        <v>4</v>
      </c>
      <c r="X141">
        <v>166867</v>
      </c>
      <c r="Y141" t="s">
        <v>1825</v>
      </c>
      <c r="Z141" t="s">
        <v>1821</v>
      </c>
      <c r="AA141" t="s">
        <v>1826</v>
      </c>
      <c r="AB141" t="s">
        <v>45</v>
      </c>
      <c r="AC141" t="s">
        <v>1827</v>
      </c>
    </row>
    <row r="142" spans="1:29">
      <c r="A142" t="s">
        <v>1828</v>
      </c>
      <c r="B142" s="1">
        <v>170612</v>
      </c>
      <c r="C142" t="s">
        <v>1619</v>
      </c>
      <c r="D142" t="s">
        <v>1813</v>
      </c>
      <c r="E142" s="1">
        <v>-37264</v>
      </c>
      <c r="F142" t="s">
        <v>1238</v>
      </c>
      <c r="G142" t="s">
        <v>486</v>
      </c>
      <c r="H142" t="s">
        <v>1829</v>
      </c>
      <c r="I142">
        <v>3</v>
      </c>
      <c r="J142" t="s">
        <v>337</v>
      </c>
      <c r="K142">
        <v>68</v>
      </c>
      <c r="L142" t="s">
        <v>1830</v>
      </c>
      <c r="M142" t="s">
        <v>1831</v>
      </c>
      <c r="N142" t="s">
        <v>1832</v>
      </c>
      <c r="O142" t="s">
        <v>1819</v>
      </c>
      <c r="P142" t="s">
        <v>1833</v>
      </c>
      <c r="Q142" t="s">
        <v>1834</v>
      </c>
      <c r="R142" t="s">
        <v>1835</v>
      </c>
      <c r="S142" s="2">
        <v>39350</v>
      </c>
      <c r="T142" t="s">
        <v>1836</v>
      </c>
      <c r="U142" t="s">
        <v>1837</v>
      </c>
      <c r="V142">
        <v>0</v>
      </c>
      <c r="W142">
        <v>1</v>
      </c>
      <c r="X142">
        <v>315427</v>
      </c>
      <c r="Y142" t="s">
        <v>1838</v>
      </c>
      <c r="Z142" t="s">
        <v>1834</v>
      </c>
      <c r="AA142" t="s">
        <v>1826</v>
      </c>
      <c r="AB142" t="s">
        <v>45</v>
      </c>
      <c r="AC142" t="s">
        <v>1827</v>
      </c>
    </row>
    <row r="143" spans="1:29">
      <c r="A143" t="s">
        <v>929</v>
      </c>
      <c r="B143" s="1">
        <v>92468</v>
      </c>
      <c r="C143" t="s">
        <v>1839</v>
      </c>
      <c r="D143" t="s">
        <v>1813</v>
      </c>
      <c r="E143" s="1">
        <v>-10634</v>
      </c>
      <c r="F143" t="s">
        <v>1038</v>
      </c>
      <c r="G143" t="s">
        <v>1840</v>
      </c>
      <c r="H143" t="s">
        <v>1841</v>
      </c>
      <c r="I143">
        <v>4</v>
      </c>
      <c r="J143" t="s">
        <v>1842</v>
      </c>
      <c r="K143">
        <v>75</v>
      </c>
      <c r="L143" t="s">
        <v>1843</v>
      </c>
      <c r="M143" t="s">
        <v>1844</v>
      </c>
      <c r="N143" t="s">
        <v>1845</v>
      </c>
      <c r="O143" t="s">
        <v>1819</v>
      </c>
      <c r="P143" t="s">
        <v>1846</v>
      </c>
      <c r="Q143" t="s">
        <v>1847</v>
      </c>
      <c r="R143" t="s">
        <v>1848</v>
      </c>
      <c r="S143" s="2">
        <v>41275</v>
      </c>
      <c r="T143" t="s">
        <v>1849</v>
      </c>
      <c r="U143" t="s">
        <v>1850</v>
      </c>
      <c r="V143">
        <v>1</v>
      </c>
      <c r="W143">
        <v>2</v>
      </c>
      <c r="X143">
        <v>315427</v>
      </c>
      <c r="Y143" t="s">
        <v>394</v>
      </c>
      <c r="Z143" t="s">
        <v>1847</v>
      </c>
      <c r="AA143" t="s">
        <v>1826</v>
      </c>
      <c r="AB143" t="s">
        <v>45</v>
      </c>
      <c r="AC143" t="s">
        <v>1827</v>
      </c>
    </row>
    <row r="144" spans="1:29">
      <c r="A144" t="s">
        <v>304</v>
      </c>
      <c r="B144" t="s">
        <v>305</v>
      </c>
      <c r="C144" t="s">
        <v>306</v>
      </c>
      <c r="D144" t="s">
        <v>1851</v>
      </c>
      <c r="E144" s="1">
        <v>-3986</v>
      </c>
      <c r="F144" t="s">
        <v>307</v>
      </c>
      <c r="G144" t="s">
        <v>308</v>
      </c>
      <c r="H144" t="s">
        <v>309</v>
      </c>
      <c r="I144">
        <v>4</v>
      </c>
      <c r="J144" t="s">
        <v>310</v>
      </c>
      <c r="K144">
        <v>88</v>
      </c>
      <c r="L144" t="s">
        <v>311</v>
      </c>
      <c r="M144" t="s">
        <v>312</v>
      </c>
      <c r="N144" t="s">
        <v>313</v>
      </c>
      <c r="O144" t="s">
        <v>1852</v>
      </c>
      <c r="P144" t="s">
        <v>314</v>
      </c>
      <c r="Q144" t="s">
        <v>315</v>
      </c>
      <c r="R144" t="s">
        <v>316</v>
      </c>
      <c r="S144" s="2">
        <v>45593</v>
      </c>
      <c r="T144">
        <v>0</v>
      </c>
      <c r="U144" t="s">
        <v>317</v>
      </c>
      <c r="V144">
        <v>1</v>
      </c>
      <c r="W144">
        <v>1</v>
      </c>
      <c r="X144">
        <v>255916</v>
      </c>
      <c r="Y144" t="s">
        <v>318</v>
      </c>
      <c r="Z144" t="s">
        <v>315</v>
      </c>
      <c r="AA144" t="s">
        <v>1853</v>
      </c>
      <c r="AB144" t="s">
        <v>45</v>
      </c>
      <c r="AC144" t="s">
        <v>1854</v>
      </c>
    </row>
    <row r="145" spans="1:29">
      <c r="A145" t="s">
        <v>47</v>
      </c>
      <c r="B145" s="1">
        <v>130007</v>
      </c>
      <c r="C145" t="s">
        <v>642</v>
      </c>
      <c r="D145" t="s">
        <v>1851</v>
      </c>
      <c r="E145" s="1">
        <v>-6323</v>
      </c>
      <c r="F145" t="s">
        <v>160</v>
      </c>
      <c r="G145" t="s">
        <v>1855</v>
      </c>
      <c r="H145" t="s">
        <v>1856</v>
      </c>
      <c r="I145">
        <v>4</v>
      </c>
      <c r="J145" t="s">
        <v>1857</v>
      </c>
      <c r="K145">
        <v>76</v>
      </c>
      <c r="L145" t="s">
        <v>1858</v>
      </c>
      <c r="M145" t="s">
        <v>1859</v>
      </c>
      <c r="N145" t="s">
        <v>1860</v>
      </c>
      <c r="O145" t="s">
        <v>1852</v>
      </c>
      <c r="P145" t="s">
        <v>1861</v>
      </c>
      <c r="Q145" t="s">
        <v>1862</v>
      </c>
      <c r="R145" t="s">
        <v>1860</v>
      </c>
      <c r="S145" s="2">
        <v>45583</v>
      </c>
      <c r="T145">
        <v>0</v>
      </c>
      <c r="U145" t="s">
        <v>1863</v>
      </c>
      <c r="V145">
        <v>0</v>
      </c>
      <c r="W145">
        <v>4</v>
      </c>
      <c r="X145">
        <v>158667</v>
      </c>
      <c r="Y145" t="s">
        <v>1864</v>
      </c>
      <c r="Z145" t="s">
        <v>1862</v>
      </c>
      <c r="AA145" t="s">
        <v>1853</v>
      </c>
      <c r="AB145" t="s">
        <v>45</v>
      </c>
      <c r="AC145" t="s">
        <v>1854</v>
      </c>
    </row>
    <row r="146" spans="1:29">
      <c r="A146" t="s">
        <v>1865</v>
      </c>
      <c r="B146" s="1">
        <v>128085</v>
      </c>
      <c r="C146" t="s">
        <v>1866</v>
      </c>
      <c r="D146" t="s">
        <v>1851</v>
      </c>
      <c r="E146" s="1">
        <v>-4286</v>
      </c>
      <c r="F146" t="s">
        <v>1867</v>
      </c>
      <c r="G146" t="s">
        <v>1868</v>
      </c>
      <c r="H146" t="s">
        <v>1869</v>
      </c>
      <c r="I146">
        <v>4</v>
      </c>
      <c r="J146" t="s">
        <v>1870</v>
      </c>
      <c r="K146">
        <v>71</v>
      </c>
      <c r="L146" t="s">
        <v>1871</v>
      </c>
      <c r="M146" t="s">
        <v>1872</v>
      </c>
      <c r="N146" t="s">
        <v>1873</v>
      </c>
      <c r="O146" t="s">
        <v>1852</v>
      </c>
      <c r="P146" t="s">
        <v>1874</v>
      </c>
      <c r="Q146" t="s">
        <v>1875</v>
      </c>
      <c r="R146" t="s">
        <v>1876</v>
      </c>
      <c r="S146" s="2">
        <v>45576</v>
      </c>
      <c r="T146" t="s">
        <v>1877</v>
      </c>
      <c r="U146" t="s">
        <v>1878</v>
      </c>
      <c r="V146">
        <v>1</v>
      </c>
      <c r="W146">
        <v>7</v>
      </c>
      <c r="X146">
        <v>143778</v>
      </c>
      <c r="Y146" t="s">
        <v>1879</v>
      </c>
      <c r="Z146" t="s">
        <v>1875</v>
      </c>
      <c r="AA146" t="s">
        <v>1853</v>
      </c>
      <c r="AB146" t="s">
        <v>45</v>
      </c>
      <c r="AC146" t="s">
        <v>1854</v>
      </c>
    </row>
    <row r="147" spans="1:29">
      <c r="A147" t="s">
        <v>1880</v>
      </c>
      <c r="B147" s="1">
        <v>120011</v>
      </c>
      <c r="C147" t="s">
        <v>1881</v>
      </c>
      <c r="D147" t="s">
        <v>1851</v>
      </c>
      <c r="E147" s="1">
        <v>-8206</v>
      </c>
      <c r="F147" t="s">
        <v>1882</v>
      </c>
      <c r="G147" t="s">
        <v>1442</v>
      </c>
      <c r="H147" t="s">
        <v>1883</v>
      </c>
      <c r="I147">
        <v>4</v>
      </c>
      <c r="J147" t="s">
        <v>1884</v>
      </c>
      <c r="K147">
        <v>73</v>
      </c>
      <c r="L147" t="s">
        <v>1885</v>
      </c>
      <c r="M147" t="s">
        <v>1886</v>
      </c>
      <c r="N147" t="s">
        <v>1887</v>
      </c>
      <c r="O147" t="s">
        <v>1852</v>
      </c>
      <c r="P147" t="s">
        <v>1888</v>
      </c>
      <c r="Q147" t="s">
        <v>1889</v>
      </c>
      <c r="R147" t="s">
        <v>1890</v>
      </c>
      <c r="S147" s="2">
        <v>45555</v>
      </c>
      <c r="T147" t="s">
        <v>1891</v>
      </c>
      <c r="U147" t="s">
        <v>1892</v>
      </c>
      <c r="V147">
        <v>1</v>
      </c>
      <c r="W147">
        <v>9</v>
      </c>
      <c r="X147">
        <v>179023</v>
      </c>
      <c r="Y147" t="s">
        <v>476</v>
      </c>
      <c r="Z147" t="s">
        <v>1889</v>
      </c>
      <c r="AA147" t="s">
        <v>1853</v>
      </c>
      <c r="AB147" t="s">
        <v>45</v>
      </c>
      <c r="AC147" t="s">
        <v>1854</v>
      </c>
    </row>
    <row r="148" spans="1:29">
      <c r="A148" t="s">
        <v>158</v>
      </c>
      <c r="B148" s="1">
        <v>119973</v>
      </c>
      <c r="C148" t="s">
        <v>159</v>
      </c>
      <c r="D148" t="s">
        <v>1851</v>
      </c>
      <c r="E148" s="1">
        <v>-5485</v>
      </c>
      <c r="F148" t="s">
        <v>160</v>
      </c>
      <c r="G148" t="s">
        <v>161</v>
      </c>
      <c r="H148" t="s">
        <v>162</v>
      </c>
      <c r="I148">
        <v>4</v>
      </c>
      <c r="J148" t="s">
        <v>163</v>
      </c>
      <c r="K148">
        <v>92</v>
      </c>
      <c r="L148" t="s">
        <v>164</v>
      </c>
      <c r="M148" t="s">
        <v>165</v>
      </c>
      <c r="N148" t="s">
        <v>166</v>
      </c>
      <c r="O148" t="s">
        <v>1852</v>
      </c>
      <c r="P148" t="s">
        <v>167</v>
      </c>
      <c r="Q148" t="s">
        <v>168</v>
      </c>
      <c r="R148" t="s">
        <v>169</v>
      </c>
      <c r="S148" s="2">
        <v>45562</v>
      </c>
      <c r="T148" t="s">
        <v>170</v>
      </c>
      <c r="U148" t="s">
        <v>171</v>
      </c>
      <c r="V148">
        <v>0</v>
      </c>
      <c r="W148">
        <v>11</v>
      </c>
      <c r="X148">
        <v>256000</v>
      </c>
      <c r="Y148" t="s">
        <v>172</v>
      </c>
      <c r="Z148" t="s">
        <v>168</v>
      </c>
      <c r="AA148" t="s">
        <v>1853</v>
      </c>
      <c r="AB148" t="s">
        <v>45</v>
      </c>
      <c r="AC148" t="s">
        <v>1854</v>
      </c>
    </row>
    <row r="149" spans="1:29">
      <c r="A149" t="s">
        <v>1893</v>
      </c>
      <c r="B149" s="1">
        <v>166976</v>
      </c>
      <c r="C149" t="s">
        <v>1726</v>
      </c>
      <c r="D149" t="s">
        <v>1851</v>
      </c>
      <c r="E149" s="1">
        <v>-4691</v>
      </c>
      <c r="F149" t="s">
        <v>1894</v>
      </c>
      <c r="G149" t="s">
        <v>1895</v>
      </c>
      <c r="H149" t="s">
        <v>451</v>
      </c>
      <c r="I149">
        <v>4</v>
      </c>
      <c r="J149" t="s">
        <v>1896</v>
      </c>
      <c r="K149">
        <v>78</v>
      </c>
      <c r="L149" t="s">
        <v>1897</v>
      </c>
      <c r="M149" t="s">
        <v>1898</v>
      </c>
      <c r="N149" t="s">
        <v>1899</v>
      </c>
      <c r="O149" t="s">
        <v>1852</v>
      </c>
      <c r="P149" t="s">
        <v>1900</v>
      </c>
      <c r="Q149" t="s">
        <v>1901</v>
      </c>
      <c r="R149" t="s">
        <v>1902</v>
      </c>
      <c r="S149" s="2">
        <v>45576</v>
      </c>
      <c r="T149">
        <v>0</v>
      </c>
      <c r="U149" t="s">
        <v>1903</v>
      </c>
      <c r="V149">
        <v>1</v>
      </c>
      <c r="W149">
        <v>1</v>
      </c>
      <c r="X149">
        <v>149461</v>
      </c>
      <c r="Y149" t="s">
        <v>1904</v>
      </c>
      <c r="Z149" t="s">
        <v>1901</v>
      </c>
      <c r="AA149" t="s">
        <v>1853</v>
      </c>
      <c r="AB149" t="s">
        <v>45</v>
      </c>
      <c r="AC149" t="s">
        <v>1854</v>
      </c>
    </row>
    <row r="150" spans="1:29">
      <c r="A150" t="s">
        <v>1905</v>
      </c>
      <c r="B150" s="1">
        <v>111907</v>
      </c>
      <c r="C150" t="s">
        <v>1906</v>
      </c>
      <c r="D150" t="s">
        <v>1851</v>
      </c>
      <c r="E150" s="1">
        <v>-5332</v>
      </c>
      <c r="F150" t="s">
        <v>1907</v>
      </c>
      <c r="G150" t="s">
        <v>1908</v>
      </c>
      <c r="H150" t="s">
        <v>1909</v>
      </c>
      <c r="I150">
        <v>4</v>
      </c>
      <c r="J150" t="s">
        <v>1144</v>
      </c>
      <c r="K150">
        <v>70</v>
      </c>
      <c r="L150" t="s">
        <v>1910</v>
      </c>
      <c r="M150" t="s">
        <v>1911</v>
      </c>
      <c r="N150" t="s">
        <v>1912</v>
      </c>
      <c r="O150" t="s">
        <v>1852</v>
      </c>
      <c r="P150" t="s">
        <v>1913</v>
      </c>
      <c r="Q150" t="s">
        <v>1914</v>
      </c>
      <c r="R150" t="s">
        <v>1912</v>
      </c>
      <c r="S150" s="2">
        <v>45611</v>
      </c>
      <c r="T150">
        <v>0</v>
      </c>
      <c r="U150" t="s">
        <v>1915</v>
      </c>
      <c r="V150">
        <v>1</v>
      </c>
      <c r="W150">
        <v>2</v>
      </c>
      <c r="X150">
        <v>127154</v>
      </c>
      <c r="Y150" t="s">
        <v>1916</v>
      </c>
      <c r="Z150" t="s">
        <v>1914</v>
      </c>
      <c r="AA150" t="s">
        <v>1853</v>
      </c>
      <c r="AB150" t="s">
        <v>45</v>
      </c>
      <c r="AC150" t="s">
        <v>1854</v>
      </c>
    </row>
    <row r="151" spans="1:29">
      <c r="A151" t="s">
        <v>1917</v>
      </c>
      <c r="B151" s="1">
        <v>129054</v>
      </c>
      <c r="C151" t="s">
        <v>1810</v>
      </c>
      <c r="D151" t="s">
        <v>1851</v>
      </c>
      <c r="E151" s="1">
        <v>-6635</v>
      </c>
      <c r="F151" t="s">
        <v>1918</v>
      </c>
      <c r="G151" t="s">
        <v>1919</v>
      </c>
      <c r="H151" t="s">
        <v>1920</v>
      </c>
      <c r="I151">
        <v>4</v>
      </c>
      <c r="J151" t="s">
        <v>1503</v>
      </c>
      <c r="K151">
        <v>72</v>
      </c>
      <c r="L151" t="s">
        <v>1921</v>
      </c>
      <c r="M151" t="s">
        <v>1922</v>
      </c>
      <c r="N151" t="s">
        <v>1923</v>
      </c>
      <c r="O151" t="s">
        <v>1852</v>
      </c>
      <c r="P151" t="s">
        <v>1924</v>
      </c>
      <c r="Q151" t="s">
        <v>1925</v>
      </c>
      <c r="R151" t="s">
        <v>1926</v>
      </c>
      <c r="S151" s="2">
        <v>45562</v>
      </c>
      <c r="T151">
        <v>0</v>
      </c>
      <c r="U151" t="s">
        <v>1927</v>
      </c>
      <c r="V151">
        <v>1</v>
      </c>
      <c r="W151">
        <v>11</v>
      </c>
      <c r="X151">
        <v>138180</v>
      </c>
      <c r="Y151" t="s">
        <v>1928</v>
      </c>
      <c r="Z151" t="s">
        <v>1925</v>
      </c>
      <c r="AA151" t="s">
        <v>1853</v>
      </c>
      <c r="AB151" t="s">
        <v>45</v>
      </c>
      <c r="AC151" t="s">
        <v>1854</v>
      </c>
    </row>
    <row r="152" spans="1:29">
      <c r="A152" t="s">
        <v>361</v>
      </c>
      <c r="B152" t="s">
        <v>362</v>
      </c>
      <c r="C152" t="s">
        <v>225</v>
      </c>
      <c r="D152" t="s">
        <v>1851</v>
      </c>
      <c r="E152" s="1">
        <v>-6715</v>
      </c>
      <c r="F152" t="s">
        <v>363</v>
      </c>
      <c r="G152" t="s">
        <v>364</v>
      </c>
      <c r="H152" t="s">
        <v>365</v>
      </c>
      <c r="I152">
        <v>4</v>
      </c>
      <c r="J152" t="s">
        <v>366</v>
      </c>
      <c r="K152">
        <v>85</v>
      </c>
      <c r="L152" t="s">
        <v>367</v>
      </c>
      <c r="M152" t="s">
        <v>368</v>
      </c>
      <c r="N152" t="s">
        <v>369</v>
      </c>
      <c r="O152" t="s">
        <v>1852</v>
      </c>
      <c r="P152" t="s">
        <v>370</v>
      </c>
      <c r="Q152" t="s">
        <v>371</v>
      </c>
      <c r="R152" t="s">
        <v>372</v>
      </c>
      <c r="S152" s="2">
        <v>45457</v>
      </c>
      <c r="T152" t="s">
        <v>373</v>
      </c>
      <c r="U152" t="s">
        <v>374</v>
      </c>
      <c r="V152">
        <v>0</v>
      </c>
      <c r="W152">
        <v>4</v>
      </c>
      <c r="X152">
        <v>217333</v>
      </c>
      <c r="Y152" t="s">
        <v>375</v>
      </c>
      <c r="Z152" t="s">
        <v>371</v>
      </c>
      <c r="AA152" t="s">
        <v>1853</v>
      </c>
      <c r="AB152" t="s">
        <v>45</v>
      </c>
      <c r="AC152" t="s">
        <v>1854</v>
      </c>
    </row>
    <row r="153" spans="1:29">
      <c r="A153" t="s">
        <v>212</v>
      </c>
      <c r="B153" t="s">
        <v>1929</v>
      </c>
      <c r="C153" t="s">
        <v>1445</v>
      </c>
      <c r="D153" t="s">
        <v>1851</v>
      </c>
      <c r="E153" s="1">
        <v>-6385</v>
      </c>
      <c r="F153" t="s">
        <v>1209</v>
      </c>
      <c r="G153" t="s">
        <v>1025</v>
      </c>
      <c r="H153" t="s">
        <v>1930</v>
      </c>
      <c r="I153">
        <v>4</v>
      </c>
      <c r="J153" t="s">
        <v>687</v>
      </c>
      <c r="K153">
        <v>73</v>
      </c>
      <c r="L153" t="s">
        <v>1931</v>
      </c>
      <c r="M153" t="s">
        <v>1932</v>
      </c>
      <c r="N153" t="s">
        <v>1933</v>
      </c>
      <c r="O153" t="s">
        <v>1852</v>
      </c>
      <c r="P153" t="s">
        <v>1934</v>
      </c>
      <c r="Q153" t="s">
        <v>1935</v>
      </c>
      <c r="R153" t="s">
        <v>1933</v>
      </c>
      <c r="S153" s="2">
        <v>45443</v>
      </c>
      <c r="T153">
        <v>0</v>
      </c>
      <c r="U153" t="s">
        <v>1936</v>
      </c>
      <c r="V153">
        <v>1</v>
      </c>
      <c r="W153">
        <v>6</v>
      </c>
      <c r="X153">
        <v>181166</v>
      </c>
      <c r="Y153" t="s">
        <v>1937</v>
      </c>
      <c r="Z153" t="s">
        <v>1935</v>
      </c>
      <c r="AA153" t="s">
        <v>1853</v>
      </c>
      <c r="AB153" t="s">
        <v>45</v>
      </c>
      <c r="AC153" t="s">
        <v>1854</v>
      </c>
    </row>
    <row r="154" spans="1:29">
      <c r="A154" t="s">
        <v>322</v>
      </c>
      <c r="B154" s="1">
        <v>125951</v>
      </c>
      <c r="C154" t="s">
        <v>1938</v>
      </c>
      <c r="D154" t="s">
        <v>1851</v>
      </c>
      <c r="E154" s="1">
        <v>-5858</v>
      </c>
      <c r="F154" t="s">
        <v>1939</v>
      </c>
      <c r="G154" t="s">
        <v>424</v>
      </c>
      <c r="H154" t="s">
        <v>1940</v>
      </c>
      <c r="I154">
        <v>4</v>
      </c>
      <c r="J154" t="s">
        <v>1941</v>
      </c>
      <c r="K154">
        <v>78</v>
      </c>
      <c r="L154" t="s">
        <v>1942</v>
      </c>
      <c r="M154" t="s">
        <v>1943</v>
      </c>
      <c r="N154" t="s">
        <v>1944</v>
      </c>
      <c r="O154" t="s">
        <v>1852</v>
      </c>
      <c r="P154" t="s">
        <v>1945</v>
      </c>
      <c r="Q154" t="s">
        <v>1946</v>
      </c>
      <c r="R154" t="s">
        <v>1944</v>
      </c>
      <c r="S154" s="2">
        <v>45535</v>
      </c>
      <c r="T154">
        <v>0</v>
      </c>
      <c r="U154" t="s">
        <v>1947</v>
      </c>
      <c r="V154">
        <v>1</v>
      </c>
      <c r="W154">
        <v>10</v>
      </c>
      <c r="X154">
        <v>137143</v>
      </c>
      <c r="Y154" t="s">
        <v>1948</v>
      </c>
      <c r="Z154" t="s">
        <v>1946</v>
      </c>
      <c r="AA154" t="s">
        <v>1853</v>
      </c>
      <c r="AB154" t="s">
        <v>45</v>
      </c>
      <c r="AC154" t="s">
        <v>1854</v>
      </c>
    </row>
    <row r="155" spans="1:29">
      <c r="A155" t="s">
        <v>1949</v>
      </c>
      <c r="B155" s="1">
        <v>131001</v>
      </c>
      <c r="C155" t="s">
        <v>915</v>
      </c>
      <c r="D155" t="s">
        <v>1851</v>
      </c>
      <c r="E155" s="1">
        <v>-5851</v>
      </c>
      <c r="F155" t="s">
        <v>1950</v>
      </c>
      <c r="G155" t="s">
        <v>1951</v>
      </c>
      <c r="H155" t="s">
        <v>1883</v>
      </c>
      <c r="I155">
        <v>4</v>
      </c>
      <c r="J155" t="s">
        <v>1952</v>
      </c>
      <c r="K155">
        <v>77</v>
      </c>
      <c r="L155" t="s">
        <v>1953</v>
      </c>
      <c r="M155" t="s">
        <v>1954</v>
      </c>
      <c r="N155" t="s">
        <v>1887</v>
      </c>
      <c r="O155" t="s">
        <v>1852</v>
      </c>
      <c r="P155" t="s">
        <v>1955</v>
      </c>
      <c r="Q155" t="s">
        <v>1956</v>
      </c>
      <c r="R155" t="s">
        <v>1957</v>
      </c>
      <c r="S155" s="2">
        <v>45555</v>
      </c>
      <c r="T155">
        <v>0</v>
      </c>
      <c r="U155" t="s">
        <v>1892</v>
      </c>
      <c r="V155">
        <v>1</v>
      </c>
      <c r="W155">
        <v>11</v>
      </c>
      <c r="X155">
        <v>139197</v>
      </c>
      <c r="Y155" t="s">
        <v>1522</v>
      </c>
      <c r="Z155" t="s">
        <v>1956</v>
      </c>
      <c r="AA155" t="s">
        <v>1853</v>
      </c>
      <c r="AB155" t="s">
        <v>45</v>
      </c>
      <c r="AC155" t="s">
        <v>1854</v>
      </c>
    </row>
    <row r="156" spans="1:29">
      <c r="A156" t="s">
        <v>1958</v>
      </c>
      <c r="B156" s="1">
        <v>106682</v>
      </c>
      <c r="C156" t="s">
        <v>200</v>
      </c>
      <c r="D156" t="s">
        <v>1851</v>
      </c>
      <c r="E156" s="1">
        <v>-9519</v>
      </c>
      <c r="F156" t="s">
        <v>1483</v>
      </c>
      <c r="G156" t="s">
        <v>1959</v>
      </c>
      <c r="H156" t="s">
        <v>1960</v>
      </c>
      <c r="I156">
        <v>5</v>
      </c>
      <c r="J156" t="s">
        <v>1961</v>
      </c>
      <c r="K156">
        <v>69</v>
      </c>
      <c r="L156" t="s">
        <v>1962</v>
      </c>
      <c r="M156" t="s">
        <v>1963</v>
      </c>
      <c r="N156" t="s">
        <v>1964</v>
      </c>
      <c r="O156" t="s">
        <v>1852</v>
      </c>
      <c r="P156" t="s">
        <v>1965</v>
      </c>
      <c r="Q156" t="s">
        <v>1966</v>
      </c>
      <c r="R156" t="s">
        <v>1967</v>
      </c>
      <c r="S156" s="2">
        <v>45526</v>
      </c>
      <c r="T156" t="s">
        <v>1968</v>
      </c>
      <c r="U156" t="s">
        <v>1969</v>
      </c>
      <c r="V156">
        <v>1</v>
      </c>
      <c r="W156">
        <v>1</v>
      </c>
      <c r="X156">
        <v>159228</v>
      </c>
      <c r="Y156" t="s">
        <v>1970</v>
      </c>
      <c r="Z156" t="s">
        <v>1966</v>
      </c>
      <c r="AA156" t="s">
        <v>1853</v>
      </c>
      <c r="AB156" t="s">
        <v>45</v>
      </c>
      <c r="AC156" t="s">
        <v>1854</v>
      </c>
    </row>
    <row r="157" spans="1:29">
      <c r="A157" t="s">
        <v>1456</v>
      </c>
      <c r="B157" t="s">
        <v>1971</v>
      </c>
      <c r="C157" t="s">
        <v>1584</v>
      </c>
      <c r="D157" t="s">
        <v>1851</v>
      </c>
      <c r="E157" s="1">
        <v>-9159</v>
      </c>
      <c r="F157" t="s">
        <v>1972</v>
      </c>
      <c r="G157" t="s">
        <v>513</v>
      </c>
      <c r="H157" t="s">
        <v>1973</v>
      </c>
      <c r="I157">
        <v>4</v>
      </c>
      <c r="J157" t="s">
        <v>825</v>
      </c>
      <c r="K157">
        <v>70</v>
      </c>
      <c r="L157" t="s">
        <v>1974</v>
      </c>
      <c r="M157" t="s">
        <v>1975</v>
      </c>
      <c r="N157" t="s">
        <v>1976</v>
      </c>
      <c r="O157" t="s">
        <v>1852</v>
      </c>
      <c r="P157" t="s">
        <v>1977</v>
      </c>
      <c r="Q157" t="s">
        <v>1978</v>
      </c>
      <c r="R157" t="s">
        <v>1976</v>
      </c>
      <c r="S157" s="2">
        <v>45520</v>
      </c>
      <c r="T157">
        <v>0</v>
      </c>
      <c r="U157" t="s">
        <v>1979</v>
      </c>
      <c r="V157">
        <v>1</v>
      </c>
      <c r="W157">
        <v>1</v>
      </c>
      <c r="X157">
        <v>136709</v>
      </c>
      <c r="Y157" t="s">
        <v>132</v>
      </c>
      <c r="Z157" t="s">
        <v>1978</v>
      </c>
      <c r="AA157" t="s">
        <v>1853</v>
      </c>
      <c r="AB157" t="s">
        <v>45</v>
      </c>
      <c r="AC157" t="s">
        <v>1854</v>
      </c>
    </row>
    <row r="158" spans="1:29">
      <c r="A158" t="s">
        <v>1502</v>
      </c>
      <c r="B158" s="1">
        <v>143082</v>
      </c>
      <c r="C158" t="s">
        <v>319</v>
      </c>
      <c r="D158" t="s">
        <v>1851</v>
      </c>
      <c r="E158" s="1">
        <v>-4763</v>
      </c>
      <c r="F158" t="s">
        <v>227</v>
      </c>
      <c r="G158" t="s">
        <v>1980</v>
      </c>
      <c r="H158" t="s">
        <v>1981</v>
      </c>
      <c r="I158">
        <v>4</v>
      </c>
      <c r="J158" t="s">
        <v>1982</v>
      </c>
      <c r="K158">
        <v>81</v>
      </c>
      <c r="L158" t="s">
        <v>1983</v>
      </c>
      <c r="M158" t="s">
        <v>1984</v>
      </c>
      <c r="N158" t="s">
        <v>1985</v>
      </c>
      <c r="O158" t="s">
        <v>1852</v>
      </c>
      <c r="P158" t="s">
        <v>1986</v>
      </c>
      <c r="Q158" t="s">
        <v>1987</v>
      </c>
      <c r="R158" t="s">
        <v>1985</v>
      </c>
      <c r="S158" s="2">
        <v>45548</v>
      </c>
      <c r="T158">
        <v>0</v>
      </c>
      <c r="U158" t="s">
        <v>1988</v>
      </c>
      <c r="V158">
        <v>0</v>
      </c>
      <c r="W158">
        <v>9</v>
      </c>
      <c r="X158">
        <v>148053</v>
      </c>
      <c r="Y158" t="s">
        <v>1528</v>
      </c>
      <c r="Z158" t="s">
        <v>1987</v>
      </c>
      <c r="AA158" t="s">
        <v>1853</v>
      </c>
      <c r="AB158" t="s">
        <v>45</v>
      </c>
      <c r="AC158" t="s">
        <v>1854</v>
      </c>
    </row>
    <row r="159" spans="1:29">
      <c r="A159" t="s">
        <v>1989</v>
      </c>
      <c r="B159" s="1">
        <v>147216</v>
      </c>
      <c r="C159" t="s">
        <v>1990</v>
      </c>
      <c r="D159" t="s">
        <v>1851</v>
      </c>
      <c r="E159" s="1">
        <v>-4204</v>
      </c>
      <c r="F159" t="s">
        <v>1882</v>
      </c>
      <c r="G159" t="s">
        <v>1991</v>
      </c>
      <c r="H159" t="s">
        <v>1992</v>
      </c>
      <c r="I159">
        <v>4</v>
      </c>
      <c r="J159" t="s">
        <v>608</v>
      </c>
      <c r="K159">
        <v>73</v>
      </c>
      <c r="L159" t="s">
        <v>1993</v>
      </c>
      <c r="M159" t="s">
        <v>1994</v>
      </c>
      <c r="N159" t="s">
        <v>1995</v>
      </c>
      <c r="O159" t="s">
        <v>1852</v>
      </c>
      <c r="P159" t="s">
        <v>1996</v>
      </c>
      <c r="Q159" t="s">
        <v>1997</v>
      </c>
      <c r="R159" t="s">
        <v>1998</v>
      </c>
      <c r="S159" s="2">
        <v>45555</v>
      </c>
      <c r="T159">
        <v>0</v>
      </c>
      <c r="U159" t="s">
        <v>1999</v>
      </c>
      <c r="V159">
        <v>1</v>
      </c>
      <c r="W159">
        <v>8</v>
      </c>
      <c r="X159">
        <v>150204</v>
      </c>
      <c r="Y159" t="s">
        <v>2000</v>
      </c>
      <c r="Z159" t="s">
        <v>1997</v>
      </c>
      <c r="AA159" t="s">
        <v>1853</v>
      </c>
      <c r="AB159" t="s">
        <v>45</v>
      </c>
      <c r="AC159" t="s">
        <v>1854</v>
      </c>
    </row>
    <row r="160" spans="1:29">
      <c r="A160" t="s">
        <v>1502</v>
      </c>
      <c r="B160" s="1">
        <v>184057</v>
      </c>
      <c r="C160" t="s">
        <v>253</v>
      </c>
      <c r="D160" t="s">
        <v>1851</v>
      </c>
      <c r="E160" s="1">
        <v>-5984</v>
      </c>
      <c r="F160" t="s">
        <v>2001</v>
      </c>
      <c r="G160" t="s">
        <v>2002</v>
      </c>
      <c r="H160" t="s">
        <v>2003</v>
      </c>
      <c r="I160">
        <v>4</v>
      </c>
      <c r="J160" t="s">
        <v>1870</v>
      </c>
      <c r="K160">
        <v>76</v>
      </c>
      <c r="L160" t="s">
        <v>2004</v>
      </c>
      <c r="M160" t="s">
        <v>2005</v>
      </c>
      <c r="N160" t="s">
        <v>2006</v>
      </c>
      <c r="O160" t="s">
        <v>1852</v>
      </c>
      <c r="P160" t="s">
        <v>2007</v>
      </c>
      <c r="Q160" t="s">
        <v>2008</v>
      </c>
      <c r="R160" t="s">
        <v>2009</v>
      </c>
      <c r="S160" s="2">
        <v>45597</v>
      </c>
      <c r="T160">
        <v>0</v>
      </c>
      <c r="U160" t="s">
        <v>2010</v>
      </c>
      <c r="V160">
        <v>1</v>
      </c>
      <c r="W160">
        <v>3</v>
      </c>
      <c r="X160">
        <v>138324</v>
      </c>
      <c r="Y160" t="s">
        <v>757</v>
      </c>
      <c r="Z160" t="s">
        <v>2008</v>
      </c>
      <c r="AA160" t="s">
        <v>1853</v>
      </c>
      <c r="AB160" t="s">
        <v>45</v>
      </c>
      <c r="AC160" t="s">
        <v>1854</v>
      </c>
    </row>
    <row r="161" spans="1:29">
      <c r="A161" t="s">
        <v>580</v>
      </c>
      <c r="B161" s="1">
        <v>114991</v>
      </c>
      <c r="C161" t="s">
        <v>2011</v>
      </c>
      <c r="D161" t="s">
        <v>1851</v>
      </c>
      <c r="E161" s="1">
        <v>-5839</v>
      </c>
      <c r="F161" t="s">
        <v>2012</v>
      </c>
      <c r="G161" t="s">
        <v>1640</v>
      </c>
      <c r="H161" t="s">
        <v>1869</v>
      </c>
      <c r="I161">
        <v>4</v>
      </c>
      <c r="J161" t="s">
        <v>2013</v>
      </c>
      <c r="K161">
        <v>69</v>
      </c>
      <c r="L161" t="s">
        <v>2014</v>
      </c>
      <c r="M161" t="s">
        <v>2015</v>
      </c>
      <c r="N161" t="s">
        <v>1873</v>
      </c>
      <c r="O161" t="s">
        <v>1852</v>
      </c>
      <c r="P161" t="s">
        <v>2016</v>
      </c>
      <c r="Q161" t="s">
        <v>2017</v>
      </c>
      <c r="R161" t="s">
        <v>2018</v>
      </c>
      <c r="S161" s="2">
        <v>45576</v>
      </c>
      <c r="T161">
        <v>0</v>
      </c>
      <c r="U161" t="s">
        <v>1878</v>
      </c>
      <c r="V161">
        <v>1</v>
      </c>
      <c r="W161">
        <v>8</v>
      </c>
      <c r="X161">
        <v>184294</v>
      </c>
      <c r="Y161" t="s">
        <v>2019</v>
      </c>
      <c r="Z161" t="s">
        <v>2017</v>
      </c>
      <c r="AA161" t="s">
        <v>1853</v>
      </c>
      <c r="AB161" t="s">
        <v>45</v>
      </c>
      <c r="AC161" t="s">
        <v>1854</v>
      </c>
    </row>
    <row r="162" spans="1:29">
      <c r="A162" t="s">
        <v>916</v>
      </c>
      <c r="B162" s="1">
        <v>139942</v>
      </c>
      <c r="C162" t="s">
        <v>91</v>
      </c>
      <c r="D162" t="s">
        <v>1851</v>
      </c>
      <c r="E162" s="1">
        <v>-4881</v>
      </c>
      <c r="F162" t="s">
        <v>64</v>
      </c>
      <c r="G162" t="s">
        <v>2020</v>
      </c>
      <c r="H162" t="s">
        <v>2021</v>
      </c>
      <c r="I162">
        <v>4</v>
      </c>
      <c r="J162" t="s">
        <v>2022</v>
      </c>
      <c r="K162">
        <v>76</v>
      </c>
      <c r="L162" t="s">
        <v>2023</v>
      </c>
      <c r="M162" t="s">
        <v>2024</v>
      </c>
      <c r="N162" t="s">
        <v>2025</v>
      </c>
      <c r="O162" t="s">
        <v>1852</v>
      </c>
      <c r="P162" t="s">
        <v>2026</v>
      </c>
      <c r="Q162" t="s">
        <v>2027</v>
      </c>
      <c r="R162" t="s">
        <v>2028</v>
      </c>
      <c r="S162" s="2">
        <v>45534</v>
      </c>
      <c r="T162">
        <v>0</v>
      </c>
      <c r="U162" t="s">
        <v>2029</v>
      </c>
      <c r="V162">
        <v>1</v>
      </c>
      <c r="W162">
        <v>1</v>
      </c>
      <c r="X162">
        <v>278001</v>
      </c>
      <c r="Y162" t="s">
        <v>382</v>
      </c>
      <c r="Z162" t="s">
        <v>2027</v>
      </c>
      <c r="AA162" t="s">
        <v>1853</v>
      </c>
      <c r="AB162" t="s">
        <v>45</v>
      </c>
      <c r="AC162" t="s">
        <v>1854</v>
      </c>
    </row>
    <row r="163" spans="1:29">
      <c r="A163" t="s">
        <v>2030</v>
      </c>
      <c r="B163" s="1">
        <v>139905</v>
      </c>
      <c r="C163" t="s">
        <v>1335</v>
      </c>
      <c r="D163" t="s">
        <v>1851</v>
      </c>
      <c r="E163" s="1">
        <v>-5972</v>
      </c>
      <c r="F163" t="s">
        <v>2031</v>
      </c>
      <c r="G163" t="s">
        <v>1608</v>
      </c>
      <c r="H163" t="s">
        <v>2032</v>
      </c>
      <c r="I163">
        <v>4</v>
      </c>
      <c r="J163" t="s">
        <v>2033</v>
      </c>
      <c r="K163">
        <v>68</v>
      </c>
      <c r="L163" t="s">
        <v>2034</v>
      </c>
      <c r="M163" t="s">
        <v>2035</v>
      </c>
      <c r="N163" t="s">
        <v>2036</v>
      </c>
      <c r="O163" t="s">
        <v>1852</v>
      </c>
      <c r="P163" t="s">
        <v>2037</v>
      </c>
      <c r="Q163" t="s">
        <v>2038</v>
      </c>
      <c r="R163" t="s">
        <v>2036</v>
      </c>
      <c r="S163" s="2">
        <v>45555</v>
      </c>
      <c r="T163">
        <v>0</v>
      </c>
      <c r="U163" t="s">
        <v>2039</v>
      </c>
      <c r="V163">
        <v>0</v>
      </c>
      <c r="W163">
        <v>10</v>
      </c>
      <c r="X163">
        <v>150997</v>
      </c>
      <c r="Y163" t="s">
        <v>2040</v>
      </c>
      <c r="Z163" t="s">
        <v>2038</v>
      </c>
      <c r="AA163" t="s">
        <v>1853</v>
      </c>
      <c r="AB163" t="s">
        <v>45</v>
      </c>
      <c r="AC163" t="s">
        <v>1854</v>
      </c>
    </row>
    <row r="164" spans="1:29">
      <c r="A164" t="s">
        <v>2041</v>
      </c>
      <c r="B164" s="1">
        <v>75013</v>
      </c>
      <c r="C164" t="s">
        <v>174</v>
      </c>
      <c r="D164" t="s">
        <v>1851</v>
      </c>
      <c r="E164" s="1">
        <v>-6723</v>
      </c>
      <c r="F164" t="s">
        <v>1596</v>
      </c>
      <c r="G164" t="s">
        <v>133</v>
      </c>
      <c r="H164" t="s">
        <v>2042</v>
      </c>
      <c r="I164">
        <v>4</v>
      </c>
      <c r="J164" t="s">
        <v>2043</v>
      </c>
      <c r="K164">
        <v>70</v>
      </c>
      <c r="L164" t="s">
        <v>2044</v>
      </c>
      <c r="M164" t="s">
        <v>2045</v>
      </c>
      <c r="N164" t="s">
        <v>2046</v>
      </c>
      <c r="O164" t="s">
        <v>1852</v>
      </c>
      <c r="P164" t="s">
        <v>2047</v>
      </c>
      <c r="Q164" t="s">
        <v>2048</v>
      </c>
      <c r="R164" t="s">
        <v>2049</v>
      </c>
      <c r="S164" s="2">
        <v>45513</v>
      </c>
      <c r="T164">
        <v>0</v>
      </c>
      <c r="U164" t="s">
        <v>2050</v>
      </c>
      <c r="V164">
        <v>1</v>
      </c>
      <c r="W164">
        <v>1</v>
      </c>
      <c r="X164">
        <v>217613</v>
      </c>
      <c r="Y164" t="s">
        <v>2051</v>
      </c>
      <c r="Z164" t="s">
        <v>2048</v>
      </c>
      <c r="AA164" t="s">
        <v>1853</v>
      </c>
      <c r="AB164" t="s">
        <v>45</v>
      </c>
      <c r="AC164" t="s">
        <v>1854</v>
      </c>
    </row>
    <row r="165" spans="1:29">
      <c r="A165" t="s">
        <v>728</v>
      </c>
      <c r="B165" s="1">
        <v>63925</v>
      </c>
      <c r="C165" t="s">
        <v>2052</v>
      </c>
      <c r="D165" t="s">
        <v>1851</v>
      </c>
      <c r="E165" s="1">
        <v>-8269</v>
      </c>
      <c r="F165" t="s">
        <v>743</v>
      </c>
      <c r="G165" t="s">
        <v>2031</v>
      </c>
      <c r="H165" t="s">
        <v>2053</v>
      </c>
      <c r="I165">
        <v>5</v>
      </c>
      <c r="J165" t="s">
        <v>595</v>
      </c>
      <c r="K165">
        <v>76</v>
      </c>
      <c r="L165" t="s">
        <v>2054</v>
      </c>
      <c r="M165" t="s">
        <v>2055</v>
      </c>
      <c r="N165" t="s">
        <v>2056</v>
      </c>
      <c r="O165" t="s">
        <v>1852</v>
      </c>
      <c r="P165" t="s">
        <v>2057</v>
      </c>
      <c r="Q165" t="s">
        <v>2058</v>
      </c>
      <c r="R165">
        <v>25</v>
      </c>
      <c r="S165" s="2">
        <v>45576</v>
      </c>
      <c r="T165">
        <v>0</v>
      </c>
      <c r="U165" t="s">
        <v>2059</v>
      </c>
      <c r="V165">
        <v>1</v>
      </c>
      <c r="W165">
        <v>0</v>
      </c>
      <c r="X165">
        <v>180000</v>
      </c>
      <c r="Y165" t="s">
        <v>2060</v>
      </c>
      <c r="Z165" t="s">
        <v>2058</v>
      </c>
      <c r="AA165" t="s">
        <v>1853</v>
      </c>
      <c r="AB165" t="s">
        <v>45</v>
      </c>
      <c r="AC165" t="s">
        <v>1854</v>
      </c>
    </row>
    <row r="166" spans="1:29">
      <c r="A166" t="s">
        <v>188</v>
      </c>
      <c r="B166" s="1">
        <v>125845</v>
      </c>
      <c r="C166" t="s">
        <v>380</v>
      </c>
      <c r="D166" t="s">
        <v>1851</v>
      </c>
      <c r="E166" s="1">
        <v>-7564</v>
      </c>
      <c r="F166" t="s">
        <v>2061</v>
      </c>
      <c r="G166" t="s">
        <v>1252</v>
      </c>
      <c r="H166" t="s">
        <v>2062</v>
      </c>
      <c r="I166">
        <v>4</v>
      </c>
      <c r="J166" t="s">
        <v>2063</v>
      </c>
      <c r="K166">
        <v>77</v>
      </c>
      <c r="L166" t="s">
        <v>2064</v>
      </c>
      <c r="M166" t="s">
        <v>2065</v>
      </c>
      <c r="N166" t="s">
        <v>2066</v>
      </c>
      <c r="O166" t="s">
        <v>1852</v>
      </c>
      <c r="P166" t="s">
        <v>2067</v>
      </c>
      <c r="Q166" t="s">
        <v>2068</v>
      </c>
      <c r="R166" t="s">
        <v>2066</v>
      </c>
      <c r="S166" s="2">
        <v>45541</v>
      </c>
      <c r="T166">
        <v>0</v>
      </c>
      <c r="U166" t="s">
        <v>2069</v>
      </c>
      <c r="V166">
        <v>0</v>
      </c>
      <c r="W166">
        <v>1</v>
      </c>
      <c r="X166">
        <v>199165</v>
      </c>
      <c r="Y166" t="s">
        <v>255</v>
      </c>
      <c r="Z166" t="s">
        <v>2068</v>
      </c>
      <c r="AA166" t="s">
        <v>1853</v>
      </c>
      <c r="AB166" t="s">
        <v>45</v>
      </c>
      <c r="AC166" t="s">
        <v>1854</v>
      </c>
    </row>
    <row r="167" spans="1:29">
      <c r="A167" t="s">
        <v>420</v>
      </c>
      <c r="B167" s="1">
        <v>144941</v>
      </c>
      <c r="C167" t="s">
        <v>529</v>
      </c>
      <c r="D167" t="s">
        <v>1851</v>
      </c>
      <c r="E167" s="1">
        <v>-5679</v>
      </c>
      <c r="F167" t="s">
        <v>1483</v>
      </c>
      <c r="G167" t="s">
        <v>757</v>
      </c>
      <c r="H167" t="s">
        <v>2070</v>
      </c>
      <c r="I167">
        <v>4</v>
      </c>
      <c r="J167" t="s">
        <v>715</v>
      </c>
      <c r="K167">
        <v>84</v>
      </c>
      <c r="L167" t="s">
        <v>2071</v>
      </c>
      <c r="M167" t="s">
        <v>2072</v>
      </c>
      <c r="N167" t="s">
        <v>2073</v>
      </c>
      <c r="O167" t="s">
        <v>1852</v>
      </c>
      <c r="P167" t="s">
        <v>2074</v>
      </c>
      <c r="Q167" t="s">
        <v>2075</v>
      </c>
      <c r="R167" t="s">
        <v>2076</v>
      </c>
      <c r="S167" s="2">
        <v>45373</v>
      </c>
      <c r="T167">
        <v>0</v>
      </c>
      <c r="U167" t="s">
        <v>2077</v>
      </c>
      <c r="V167">
        <v>1</v>
      </c>
      <c r="W167">
        <v>2</v>
      </c>
      <c r="X167">
        <v>228267</v>
      </c>
      <c r="Y167" t="s">
        <v>2078</v>
      </c>
      <c r="Z167" t="s">
        <v>2075</v>
      </c>
      <c r="AA167" t="s">
        <v>1853</v>
      </c>
      <c r="AB167" t="s">
        <v>45</v>
      </c>
      <c r="AC167" t="s">
        <v>1854</v>
      </c>
    </row>
    <row r="168" spans="1:29">
      <c r="A168" t="s">
        <v>475</v>
      </c>
      <c r="B168" s="1">
        <v>101061</v>
      </c>
      <c r="C168" t="s">
        <v>594</v>
      </c>
      <c r="D168" t="s">
        <v>1851</v>
      </c>
      <c r="E168" s="1">
        <v>-7001</v>
      </c>
      <c r="F168" t="s">
        <v>595</v>
      </c>
      <c r="G168" t="s">
        <v>75</v>
      </c>
      <c r="H168" t="s">
        <v>596</v>
      </c>
      <c r="I168">
        <v>4</v>
      </c>
      <c r="J168" t="s">
        <v>597</v>
      </c>
      <c r="K168">
        <v>88</v>
      </c>
      <c r="L168" t="s">
        <v>598</v>
      </c>
      <c r="M168" t="s">
        <v>599</v>
      </c>
      <c r="N168" t="s">
        <v>600</v>
      </c>
      <c r="O168" t="s">
        <v>1852</v>
      </c>
      <c r="P168" t="s">
        <v>601</v>
      </c>
      <c r="Q168" t="s">
        <v>602</v>
      </c>
      <c r="R168" t="s">
        <v>600</v>
      </c>
      <c r="S168" s="2">
        <v>45416</v>
      </c>
      <c r="T168">
        <v>0</v>
      </c>
      <c r="U168" t="s">
        <v>603</v>
      </c>
      <c r="V168">
        <v>1</v>
      </c>
      <c r="W168">
        <v>1</v>
      </c>
      <c r="X168">
        <v>274192</v>
      </c>
      <c r="Y168" t="s">
        <v>604</v>
      </c>
      <c r="Z168" t="s">
        <v>602</v>
      </c>
      <c r="AA168" t="s">
        <v>1853</v>
      </c>
      <c r="AB168" t="s">
        <v>45</v>
      </c>
      <c r="AC168" t="s">
        <v>1854</v>
      </c>
    </row>
    <row r="169" spans="1:29">
      <c r="A169" t="s">
        <v>2079</v>
      </c>
      <c r="B169" t="s">
        <v>2080</v>
      </c>
      <c r="C169" t="s">
        <v>2081</v>
      </c>
      <c r="D169" t="s">
        <v>1851</v>
      </c>
      <c r="E169" s="1">
        <v>-3382</v>
      </c>
      <c r="F169" t="s">
        <v>892</v>
      </c>
      <c r="G169" t="s">
        <v>529</v>
      </c>
      <c r="H169" t="s">
        <v>2082</v>
      </c>
      <c r="I169">
        <v>4</v>
      </c>
      <c r="J169" t="s">
        <v>2083</v>
      </c>
      <c r="K169">
        <v>85</v>
      </c>
      <c r="L169" t="s">
        <v>2084</v>
      </c>
      <c r="M169" t="s">
        <v>2085</v>
      </c>
      <c r="N169" t="s">
        <v>313</v>
      </c>
      <c r="O169" t="s">
        <v>1852</v>
      </c>
      <c r="P169" t="s">
        <v>2086</v>
      </c>
      <c r="Q169" t="s">
        <v>2087</v>
      </c>
      <c r="R169" t="s">
        <v>2088</v>
      </c>
      <c r="S169" s="2">
        <v>45593</v>
      </c>
      <c r="T169">
        <v>0</v>
      </c>
      <c r="U169" t="s">
        <v>317</v>
      </c>
      <c r="V169">
        <v>0</v>
      </c>
      <c r="W169">
        <v>10</v>
      </c>
      <c r="X169">
        <v>207273</v>
      </c>
      <c r="Y169" t="s">
        <v>2089</v>
      </c>
      <c r="Z169" t="s">
        <v>2087</v>
      </c>
      <c r="AA169" t="s">
        <v>1853</v>
      </c>
      <c r="AB169" t="s">
        <v>45</v>
      </c>
      <c r="AC169" t="s">
        <v>1854</v>
      </c>
    </row>
    <row r="170" spans="1:29">
      <c r="A170" t="s">
        <v>1457</v>
      </c>
      <c r="B170" s="1">
        <v>121991</v>
      </c>
      <c r="C170" t="s">
        <v>380</v>
      </c>
      <c r="D170" t="s">
        <v>1851</v>
      </c>
      <c r="E170" s="1">
        <v>-4707</v>
      </c>
      <c r="F170" t="s">
        <v>2090</v>
      </c>
      <c r="G170" t="s">
        <v>880</v>
      </c>
      <c r="H170" t="s">
        <v>2091</v>
      </c>
      <c r="I170">
        <v>4</v>
      </c>
      <c r="J170" t="s">
        <v>408</v>
      </c>
      <c r="K170">
        <v>72</v>
      </c>
      <c r="L170" t="s">
        <v>2092</v>
      </c>
      <c r="M170" t="s">
        <v>2093</v>
      </c>
      <c r="N170" t="s">
        <v>2094</v>
      </c>
      <c r="O170" t="s">
        <v>1852</v>
      </c>
      <c r="P170" t="s">
        <v>2095</v>
      </c>
      <c r="Q170" t="s">
        <v>2096</v>
      </c>
      <c r="R170" t="s">
        <v>2094</v>
      </c>
      <c r="S170" s="2">
        <v>45507</v>
      </c>
      <c r="T170">
        <v>0</v>
      </c>
      <c r="U170" t="s">
        <v>2097</v>
      </c>
      <c r="V170">
        <v>0</v>
      </c>
      <c r="W170">
        <v>11</v>
      </c>
      <c r="X170">
        <v>167229</v>
      </c>
      <c r="Y170" t="s">
        <v>191</v>
      </c>
      <c r="Z170" t="s">
        <v>2096</v>
      </c>
      <c r="AA170" t="s">
        <v>1853</v>
      </c>
      <c r="AB170" t="s">
        <v>45</v>
      </c>
      <c r="AC170" t="s">
        <v>1854</v>
      </c>
    </row>
    <row r="171" spans="1:29">
      <c r="A171" t="s">
        <v>2098</v>
      </c>
      <c r="B171" s="1">
        <v>124005</v>
      </c>
      <c r="C171" t="s">
        <v>1823</v>
      </c>
      <c r="D171" t="s">
        <v>1851</v>
      </c>
      <c r="E171" s="1">
        <v>-6275</v>
      </c>
      <c r="F171" t="s">
        <v>2099</v>
      </c>
      <c r="G171" t="s">
        <v>2100</v>
      </c>
      <c r="H171" t="s">
        <v>1883</v>
      </c>
      <c r="I171">
        <v>4</v>
      </c>
      <c r="J171" t="s">
        <v>2101</v>
      </c>
      <c r="K171">
        <v>74</v>
      </c>
      <c r="L171" t="s">
        <v>2102</v>
      </c>
      <c r="M171" t="s">
        <v>2103</v>
      </c>
      <c r="N171" t="s">
        <v>1887</v>
      </c>
      <c r="O171" t="s">
        <v>1852</v>
      </c>
      <c r="P171" t="s">
        <v>2104</v>
      </c>
      <c r="Q171" t="s">
        <v>2105</v>
      </c>
      <c r="R171" t="s">
        <v>2106</v>
      </c>
      <c r="S171" s="2">
        <v>45555</v>
      </c>
      <c r="T171" t="s">
        <v>2107</v>
      </c>
      <c r="U171" t="s">
        <v>1892</v>
      </c>
      <c r="V171">
        <v>1</v>
      </c>
      <c r="W171">
        <v>11</v>
      </c>
      <c r="X171">
        <v>159894</v>
      </c>
      <c r="Y171" t="s">
        <v>2108</v>
      </c>
      <c r="Z171" t="s">
        <v>2105</v>
      </c>
      <c r="AA171" t="s">
        <v>1853</v>
      </c>
      <c r="AB171" t="s">
        <v>45</v>
      </c>
      <c r="AC171" t="s">
        <v>1854</v>
      </c>
    </row>
    <row r="172" spans="1:29">
      <c r="A172" t="s">
        <v>1552</v>
      </c>
      <c r="B172" s="1">
        <v>146007</v>
      </c>
      <c r="C172" t="s">
        <v>422</v>
      </c>
      <c r="D172" t="s">
        <v>1851</v>
      </c>
      <c r="E172" s="1">
        <v>-6144</v>
      </c>
      <c r="F172" t="s">
        <v>2109</v>
      </c>
      <c r="G172" t="s">
        <v>2060</v>
      </c>
      <c r="H172" t="s">
        <v>1940</v>
      </c>
      <c r="I172">
        <v>4</v>
      </c>
      <c r="J172" t="s">
        <v>2110</v>
      </c>
      <c r="K172">
        <v>79</v>
      </c>
      <c r="L172" t="s">
        <v>2111</v>
      </c>
      <c r="M172" t="s">
        <v>2112</v>
      </c>
      <c r="N172" t="s">
        <v>2025</v>
      </c>
      <c r="O172" t="s">
        <v>1852</v>
      </c>
      <c r="P172" t="s">
        <v>2113</v>
      </c>
      <c r="Q172" t="s">
        <v>2114</v>
      </c>
      <c r="R172" t="s">
        <v>2115</v>
      </c>
      <c r="S172" s="2">
        <v>45534</v>
      </c>
      <c r="T172">
        <v>0</v>
      </c>
      <c r="U172" t="s">
        <v>2029</v>
      </c>
      <c r="V172">
        <v>0</v>
      </c>
      <c r="W172">
        <v>1</v>
      </c>
      <c r="X172">
        <v>126356</v>
      </c>
      <c r="Y172" t="s">
        <v>655</v>
      </c>
      <c r="Z172" t="s">
        <v>2114</v>
      </c>
      <c r="AA172" t="s">
        <v>1853</v>
      </c>
      <c r="AB172" t="s">
        <v>45</v>
      </c>
      <c r="AC172" t="s">
        <v>1854</v>
      </c>
    </row>
    <row r="173" spans="1:29">
      <c r="A173" t="s">
        <v>2116</v>
      </c>
      <c r="B173" s="1">
        <v>131041</v>
      </c>
      <c r="C173" t="s">
        <v>943</v>
      </c>
      <c r="D173" t="s">
        <v>1851</v>
      </c>
      <c r="E173" s="1">
        <v>-3108</v>
      </c>
      <c r="F173" t="s">
        <v>2117</v>
      </c>
      <c r="G173" t="s">
        <v>2118</v>
      </c>
      <c r="H173" t="s">
        <v>1869</v>
      </c>
      <c r="I173">
        <v>4</v>
      </c>
      <c r="J173" t="s">
        <v>292</v>
      </c>
      <c r="K173">
        <v>68</v>
      </c>
      <c r="L173" t="s">
        <v>2119</v>
      </c>
      <c r="M173" t="s">
        <v>2120</v>
      </c>
      <c r="N173" t="s">
        <v>2121</v>
      </c>
      <c r="O173" t="s">
        <v>1852</v>
      </c>
      <c r="P173" t="s">
        <v>2122</v>
      </c>
      <c r="Q173" t="s">
        <v>2123</v>
      </c>
      <c r="R173" t="s">
        <v>2121</v>
      </c>
      <c r="S173" s="2">
        <v>45513</v>
      </c>
      <c r="T173">
        <v>0</v>
      </c>
      <c r="U173" t="s">
        <v>2124</v>
      </c>
      <c r="V173">
        <v>0</v>
      </c>
      <c r="W173">
        <v>10</v>
      </c>
      <c r="X173">
        <v>132338</v>
      </c>
      <c r="Y173" t="s">
        <v>540</v>
      </c>
      <c r="Z173" t="s">
        <v>2123</v>
      </c>
      <c r="AA173" t="s">
        <v>1853</v>
      </c>
      <c r="AB173" t="s">
        <v>45</v>
      </c>
      <c r="AC173" t="s">
        <v>1854</v>
      </c>
    </row>
    <row r="174" spans="1:29">
      <c r="A174" t="s">
        <v>622</v>
      </c>
      <c r="B174" s="1">
        <v>140203</v>
      </c>
      <c r="C174" t="s">
        <v>2125</v>
      </c>
      <c r="D174" t="s">
        <v>1851</v>
      </c>
      <c r="E174" s="1">
        <v>-7231</v>
      </c>
      <c r="F174" t="s">
        <v>878</v>
      </c>
      <c r="G174" t="s">
        <v>2052</v>
      </c>
      <c r="H174" t="s">
        <v>2003</v>
      </c>
      <c r="I174">
        <v>4</v>
      </c>
      <c r="J174" t="s">
        <v>264</v>
      </c>
      <c r="K174">
        <v>73</v>
      </c>
      <c r="L174" t="s">
        <v>2126</v>
      </c>
      <c r="M174" t="s">
        <v>2127</v>
      </c>
      <c r="N174" t="s">
        <v>2006</v>
      </c>
      <c r="O174" t="s">
        <v>1852</v>
      </c>
      <c r="P174" t="s">
        <v>2128</v>
      </c>
      <c r="Q174" t="s">
        <v>2129</v>
      </c>
      <c r="R174" t="s">
        <v>2130</v>
      </c>
      <c r="S174" s="2">
        <v>45597</v>
      </c>
      <c r="T174">
        <v>0</v>
      </c>
      <c r="U174" t="s">
        <v>2010</v>
      </c>
      <c r="V174">
        <v>0</v>
      </c>
      <c r="W174">
        <v>1</v>
      </c>
      <c r="X174">
        <v>164366</v>
      </c>
      <c r="Y174" t="s">
        <v>2131</v>
      </c>
      <c r="Z174" t="s">
        <v>2129</v>
      </c>
      <c r="AA174" t="s">
        <v>1853</v>
      </c>
      <c r="AB174" t="s">
        <v>45</v>
      </c>
      <c r="AC174" t="s">
        <v>1854</v>
      </c>
    </row>
    <row r="175" spans="1:29">
      <c r="A175" t="s">
        <v>1324</v>
      </c>
      <c r="B175" s="1">
        <v>104563</v>
      </c>
      <c r="C175" t="s">
        <v>2132</v>
      </c>
      <c r="D175" t="s">
        <v>1851</v>
      </c>
      <c r="E175" s="1">
        <v>-10201</v>
      </c>
      <c r="F175" t="s">
        <v>743</v>
      </c>
      <c r="G175" t="s">
        <v>903</v>
      </c>
      <c r="H175" t="s">
        <v>2133</v>
      </c>
      <c r="I175">
        <v>4</v>
      </c>
      <c r="J175" t="s">
        <v>2134</v>
      </c>
      <c r="K175">
        <v>69</v>
      </c>
      <c r="L175" t="s">
        <v>2135</v>
      </c>
      <c r="M175" t="s">
        <v>2136</v>
      </c>
      <c r="N175" t="s">
        <v>2137</v>
      </c>
      <c r="O175" t="s">
        <v>1852</v>
      </c>
      <c r="P175" t="s">
        <v>2138</v>
      </c>
      <c r="Q175" t="s">
        <v>2139</v>
      </c>
      <c r="R175" t="s">
        <v>2137</v>
      </c>
      <c r="S175" s="2">
        <v>45562</v>
      </c>
      <c r="T175" t="s">
        <v>2140</v>
      </c>
      <c r="U175" t="s">
        <v>2141</v>
      </c>
      <c r="V175">
        <v>1</v>
      </c>
      <c r="W175">
        <v>1</v>
      </c>
      <c r="X175">
        <v>210286</v>
      </c>
      <c r="Y175" t="s">
        <v>2142</v>
      </c>
      <c r="Z175" t="s">
        <v>2139</v>
      </c>
      <c r="AA175" t="s">
        <v>1853</v>
      </c>
      <c r="AB175" t="s">
        <v>45</v>
      </c>
      <c r="AC175" t="s">
        <v>1854</v>
      </c>
    </row>
    <row r="176" spans="1:29">
      <c r="A176" t="s">
        <v>2143</v>
      </c>
      <c r="B176" s="1">
        <v>82557</v>
      </c>
      <c r="C176" t="s">
        <v>1131</v>
      </c>
      <c r="D176" t="s">
        <v>1851</v>
      </c>
      <c r="E176" s="1">
        <v>-4099</v>
      </c>
      <c r="F176" t="s">
        <v>2002</v>
      </c>
      <c r="G176" t="s">
        <v>2144</v>
      </c>
      <c r="H176" t="s">
        <v>2145</v>
      </c>
      <c r="I176">
        <v>4</v>
      </c>
      <c r="J176" t="s">
        <v>1336</v>
      </c>
      <c r="K176">
        <v>87</v>
      </c>
      <c r="L176" t="s">
        <v>2146</v>
      </c>
      <c r="M176" t="s">
        <v>2147</v>
      </c>
      <c r="N176" t="s">
        <v>313</v>
      </c>
      <c r="O176" t="s">
        <v>1852</v>
      </c>
      <c r="P176" t="s">
        <v>2148</v>
      </c>
      <c r="Q176" t="s">
        <v>2149</v>
      </c>
      <c r="R176" t="s">
        <v>2150</v>
      </c>
      <c r="S176" s="2">
        <v>45593</v>
      </c>
      <c r="T176">
        <v>0</v>
      </c>
      <c r="U176" t="s">
        <v>317</v>
      </c>
      <c r="V176">
        <v>1</v>
      </c>
      <c r="W176">
        <v>1</v>
      </c>
      <c r="X176">
        <v>165413</v>
      </c>
      <c r="Y176" t="s">
        <v>665</v>
      </c>
      <c r="Z176" t="s">
        <v>2149</v>
      </c>
      <c r="AA176" t="s">
        <v>1853</v>
      </c>
      <c r="AB176" t="s">
        <v>45</v>
      </c>
      <c r="AC176" t="s">
        <v>1854</v>
      </c>
    </row>
    <row r="177" spans="1:29">
      <c r="A177" t="s">
        <v>1455</v>
      </c>
      <c r="B177" s="1">
        <v>78022</v>
      </c>
      <c r="C177" t="s">
        <v>2151</v>
      </c>
      <c r="D177" t="s">
        <v>1851</v>
      </c>
      <c r="E177" s="1">
        <v>-9121</v>
      </c>
      <c r="F177" t="s">
        <v>2152</v>
      </c>
      <c r="G177" t="s">
        <v>799</v>
      </c>
      <c r="H177" t="s">
        <v>2153</v>
      </c>
      <c r="I177">
        <v>4</v>
      </c>
      <c r="J177" t="s">
        <v>1654</v>
      </c>
      <c r="K177">
        <v>73</v>
      </c>
      <c r="L177" t="s">
        <v>2154</v>
      </c>
      <c r="M177" t="s">
        <v>2155</v>
      </c>
      <c r="N177" t="s">
        <v>2156</v>
      </c>
      <c r="O177" t="s">
        <v>1852</v>
      </c>
      <c r="P177" t="s">
        <v>2157</v>
      </c>
      <c r="Q177" t="s">
        <v>2158</v>
      </c>
      <c r="R177" t="s">
        <v>2159</v>
      </c>
      <c r="S177" s="2">
        <v>45579</v>
      </c>
      <c r="T177">
        <v>0</v>
      </c>
      <c r="U177" t="s">
        <v>2160</v>
      </c>
      <c r="V177">
        <v>0</v>
      </c>
      <c r="W177">
        <v>5</v>
      </c>
      <c r="X177">
        <v>197428</v>
      </c>
      <c r="Y177" t="s">
        <v>2031</v>
      </c>
      <c r="Z177" t="s">
        <v>2158</v>
      </c>
      <c r="AA177" t="s">
        <v>1853</v>
      </c>
      <c r="AB177" t="s">
        <v>45</v>
      </c>
      <c r="AC177" t="s">
        <v>1854</v>
      </c>
    </row>
    <row r="178" spans="1:29">
      <c r="A178" t="s">
        <v>605</v>
      </c>
      <c r="B178" s="1">
        <v>117038</v>
      </c>
      <c r="C178" t="s">
        <v>2161</v>
      </c>
      <c r="D178" t="s">
        <v>1851</v>
      </c>
      <c r="E178" s="1">
        <v>-5206</v>
      </c>
      <c r="F178" t="s">
        <v>2162</v>
      </c>
      <c r="G178" t="s">
        <v>744</v>
      </c>
      <c r="H178" t="s">
        <v>2163</v>
      </c>
      <c r="I178">
        <v>4</v>
      </c>
      <c r="J178" t="s">
        <v>2164</v>
      </c>
      <c r="K178">
        <v>72</v>
      </c>
      <c r="L178" t="s">
        <v>2165</v>
      </c>
      <c r="M178" t="s">
        <v>2166</v>
      </c>
      <c r="N178" t="s">
        <v>2167</v>
      </c>
      <c r="O178" t="s">
        <v>1852</v>
      </c>
      <c r="P178" t="s">
        <v>2168</v>
      </c>
      <c r="Q178" t="s">
        <v>2169</v>
      </c>
      <c r="R178" t="s">
        <v>2170</v>
      </c>
      <c r="S178" s="2">
        <v>45534</v>
      </c>
      <c r="T178" t="s">
        <v>2171</v>
      </c>
      <c r="U178" t="s">
        <v>2172</v>
      </c>
      <c r="V178">
        <v>0</v>
      </c>
      <c r="W178">
        <v>11</v>
      </c>
      <c r="X178">
        <v>126832</v>
      </c>
      <c r="Y178" t="s">
        <v>2173</v>
      </c>
      <c r="Z178" t="s">
        <v>2169</v>
      </c>
      <c r="AA178" t="s">
        <v>1853</v>
      </c>
      <c r="AB178" t="s">
        <v>45</v>
      </c>
      <c r="AC178" t="s">
        <v>1854</v>
      </c>
    </row>
    <row r="179" spans="1:29">
      <c r="A179" t="s">
        <v>2152</v>
      </c>
      <c r="B179" s="1">
        <v>77499</v>
      </c>
      <c r="C179" t="s">
        <v>727</v>
      </c>
      <c r="D179" t="s">
        <v>1851</v>
      </c>
      <c r="E179" s="1">
        <v>-5506</v>
      </c>
      <c r="F179" t="s">
        <v>2174</v>
      </c>
      <c r="G179" t="s">
        <v>528</v>
      </c>
      <c r="H179" t="s">
        <v>2175</v>
      </c>
      <c r="I179">
        <v>4</v>
      </c>
      <c r="J179" t="s">
        <v>710</v>
      </c>
      <c r="K179">
        <v>74</v>
      </c>
      <c r="L179" t="s">
        <v>2176</v>
      </c>
      <c r="M179" t="s">
        <v>2177</v>
      </c>
      <c r="N179" t="s">
        <v>2178</v>
      </c>
      <c r="O179" t="s">
        <v>1852</v>
      </c>
      <c r="P179" t="s">
        <v>2179</v>
      </c>
      <c r="Q179" t="s">
        <v>2180</v>
      </c>
      <c r="R179" t="s">
        <v>2178</v>
      </c>
      <c r="S179" s="2">
        <v>45534</v>
      </c>
      <c r="T179">
        <v>0</v>
      </c>
      <c r="U179" t="s">
        <v>2181</v>
      </c>
      <c r="V179">
        <v>1</v>
      </c>
      <c r="W179">
        <v>8</v>
      </c>
      <c r="X179">
        <v>155391</v>
      </c>
      <c r="Y179" t="s">
        <v>2013</v>
      </c>
      <c r="Z179" t="s">
        <v>2180</v>
      </c>
      <c r="AA179" t="s">
        <v>1853</v>
      </c>
      <c r="AB179" t="s">
        <v>45</v>
      </c>
      <c r="AC179" t="s">
        <v>1854</v>
      </c>
    </row>
    <row r="180" spans="1:29">
      <c r="A180" t="s">
        <v>2182</v>
      </c>
      <c r="B180" s="1">
        <v>158042</v>
      </c>
      <c r="C180" t="s">
        <v>377</v>
      </c>
      <c r="D180" t="s">
        <v>1851</v>
      </c>
      <c r="E180" s="1">
        <v>-6227</v>
      </c>
      <c r="F180" t="s">
        <v>134</v>
      </c>
      <c r="G180" t="s">
        <v>515</v>
      </c>
      <c r="H180" t="s">
        <v>2183</v>
      </c>
      <c r="I180">
        <v>4</v>
      </c>
      <c r="J180" t="s">
        <v>2184</v>
      </c>
      <c r="K180">
        <v>72</v>
      </c>
      <c r="L180" t="s">
        <v>2185</v>
      </c>
      <c r="M180" t="s">
        <v>2186</v>
      </c>
      <c r="N180" t="s">
        <v>2187</v>
      </c>
      <c r="O180" t="s">
        <v>1852</v>
      </c>
      <c r="P180" t="s">
        <v>2188</v>
      </c>
      <c r="Q180" t="s">
        <v>2189</v>
      </c>
      <c r="R180" t="s">
        <v>2190</v>
      </c>
      <c r="S180" s="2">
        <v>45583</v>
      </c>
      <c r="T180" t="s">
        <v>251</v>
      </c>
      <c r="U180" t="s">
        <v>2191</v>
      </c>
      <c r="V180">
        <v>0</v>
      </c>
      <c r="W180">
        <v>1</v>
      </c>
      <c r="X180">
        <v>170188</v>
      </c>
      <c r="Y180" t="s">
        <v>2192</v>
      </c>
      <c r="Z180" t="s">
        <v>2189</v>
      </c>
      <c r="AA180" t="s">
        <v>1853</v>
      </c>
      <c r="AB180" t="s">
        <v>45</v>
      </c>
      <c r="AC180" t="s">
        <v>1854</v>
      </c>
    </row>
    <row r="181" spans="1:29">
      <c r="A181" t="s">
        <v>2193</v>
      </c>
      <c r="B181" t="s">
        <v>2194</v>
      </c>
      <c r="C181" t="s">
        <v>1480</v>
      </c>
      <c r="D181" t="s">
        <v>1851</v>
      </c>
      <c r="E181" t="s">
        <v>2195</v>
      </c>
      <c r="F181" t="s">
        <v>956</v>
      </c>
      <c r="G181" t="s">
        <v>2196</v>
      </c>
      <c r="H181" t="s">
        <v>2197</v>
      </c>
      <c r="I181">
        <v>5</v>
      </c>
      <c r="J181" t="s">
        <v>2198</v>
      </c>
      <c r="K181">
        <v>71</v>
      </c>
      <c r="L181" t="s">
        <v>2199</v>
      </c>
      <c r="M181" t="s">
        <v>2200</v>
      </c>
      <c r="N181" t="s">
        <v>2201</v>
      </c>
      <c r="O181" t="s">
        <v>2202</v>
      </c>
      <c r="P181" t="s">
        <v>2203</v>
      </c>
      <c r="Q181" t="s">
        <v>2204</v>
      </c>
      <c r="R181" t="s">
        <v>2205</v>
      </c>
      <c r="S181" s="2">
        <v>37658</v>
      </c>
      <c r="T181" t="s">
        <v>2206</v>
      </c>
      <c r="U181" t="s">
        <v>2207</v>
      </c>
      <c r="V181">
        <v>0</v>
      </c>
      <c r="W181">
        <v>6</v>
      </c>
      <c r="X181">
        <v>256227</v>
      </c>
      <c r="Y181" t="s">
        <v>2131</v>
      </c>
      <c r="Z181" t="s">
        <v>2204</v>
      </c>
      <c r="AA181" t="s">
        <v>2208</v>
      </c>
      <c r="AB181" t="s">
        <v>45</v>
      </c>
      <c r="AC181" t="s">
        <v>2209</v>
      </c>
    </row>
    <row r="182" spans="1:29">
      <c r="A182" t="s">
        <v>475</v>
      </c>
      <c r="B182" s="1">
        <v>101061</v>
      </c>
      <c r="C182" t="s">
        <v>594</v>
      </c>
      <c r="D182" t="s">
        <v>1851</v>
      </c>
      <c r="E182" s="1">
        <v>-7001</v>
      </c>
      <c r="F182" t="s">
        <v>595</v>
      </c>
      <c r="G182" t="s">
        <v>75</v>
      </c>
      <c r="H182" t="s">
        <v>596</v>
      </c>
      <c r="I182">
        <v>4</v>
      </c>
      <c r="J182" t="s">
        <v>597</v>
      </c>
      <c r="K182">
        <v>88</v>
      </c>
      <c r="L182" t="s">
        <v>598</v>
      </c>
      <c r="M182" t="s">
        <v>599</v>
      </c>
      <c r="N182" t="s">
        <v>600</v>
      </c>
      <c r="O182" t="s">
        <v>2202</v>
      </c>
      <c r="P182" t="s">
        <v>601</v>
      </c>
      <c r="Q182" t="s">
        <v>602</v>
      </c>
      <c r="R182" t="s">
        <v>600</v>
      </c>
      <c r="S182" s="2">
        <v>45416</v>
      </c>
      <c r="T182">
        <v>0</v>
      </c>
      <c r="U182" t="s">
        <v>603</v>
      </c>
      <c r="V182">
        <v>1</v>
      </c>
      <c r="W182">
        <v>1</v>
      </c>
      <c r="X182">
        <v>274192</v>
      </c>
      <c r="Y182" t="s">
        <v>604</v>
      </c>
      <c r="Z182" t="s">
        <v>602</v>
      </c>
      <c r="AA182" t="s">
        <v>2208</v>
      </c>
      <c r="AB182" t="s">
        <v>45</v>
      </c>
      <c r="AC182" t="s">
        <v>2209</v>
      </c>
    </row>
    <row r="183" spans="1:29">
      <c r="A183" t="s">
        <v>2210</v>
      </c>
      <c r="B183" s="1">
        <v>140113</v>
      </c>
      <c r="C183" t="s">
        <v>630</v>
      </c>
      <c r="D183" t="s">
        <v>1851</v>
      </c>
      <c r="E183" s="1">
        <v>-5241</v>
      </c>
      <c r="F183" t="s">
        <v>1483</v>
      </c>
      <c r="G183" t="s">
        <v>2211</v>
      </c>
      <c r="H183" t="s">
        <v>2212</v>
      </c>
      <c r="I183">
        <v>4</v>
      </c>
      <c r="J183" t="s">
        <v>351</v>
      </c>
      <c r="K183">
        <v>81</v>
      </c>
      <c r="L183" t="s">
        <v>2213</v>
      </c>
      <c r="M183" t="s">
        <v>2214</v>
      </c>
      <c r="N183" t="s">
        <v>2215</v>
      </c>
      <c r="O183" t="s">
        <v>2202</v>
      </c>
      <c r="P183" t="s">
        <v>2216</v>
      </c>
      <c r="Q183" t="s">
        <v>2217</v>
      </c>
      <c r="R183" t="s">
        <v>2215</v>
      </c>
      <c r="S183" s="2">
        <v>45435</v>
      </c>
      <c r="T183">
        <v>0</v>
      </c>
      <c r="U183" t="s">
        <v>2218</v>
      </c>
      <c r="V183">
        <v>1</v>
      </c>
      <c r="W183">
        <v>11</v>
      </c>
      <c r="X183">
        <v>140733</v>
      </c>
      <c r="Y183" t="s">
        <v>1896</v>
      </c>
      <c r="Z183" t="s">
        <v>2217</v>
      </c>
      <c r="AA183" t="s">
        <v>2208</v>
      </c>
      <c r="AB183" t="s">
        <v>45</v>
      </c>
      <c r="AC183" t="s">
        <v>2209</v>
      </c>
    </row>
    <row r="184" spans="1:29">
      <c r="A184" t="s">
        <v>420</v>
      </c>
      <c r="B184" s="1">
        <v>144941</v>
      </c>
      <c r="C184" t="s">
        <v>529</v>
      </c>
      <c r="D184" t="s">
        <v>1851</v>
      </c>
      <c r="E184" s="1">
        <v>-5679</v>
      </c>
      <c r="F184" t="s">
        <v>1483</v>
      </c>
      <c r="G184" t="s">
        <v>757</v>
      </c>
      <c r="H184" t="s">
        <v>2070</v>
      </c>
      <c r="I184">
        <v>4</v>
      </c>
      <c r="J184" t="s">
        <v>715</v>
      </c>
      <c r="K184">
        <v>84</v>
      </c>
      <c r="L184" t="s">
        <v>2071</v>
      </c>
      <c r="M184" t="s">
        <v>2072</v>
      </c>
      <c r="N184" t="s">
        <v>2073</v>
      </c>
      <c r="O184" t="s">
        <v>2202</v>
      </c>
      <c r="P184" t="s">
        <v>2074</v>
      </c>
      <c r="Q184" t="s">
        <v>2075</v>
      </c>
      <c r="R184" t="s">
        <v>2076</v>
      </c>
      <c r="S184" s="2">
        <v>45373</v>
      </c>
      <c r="T184">
        <v>0</v>
      </c>
      <c r="U184" t="s">
        <v>2077</v>
      </c>
      <c r="V184">
        <v>1</v>
      </c>
      <c r="W184">
        <v>2</v>
      </c>
      <c r="X184">
        <v>228267</v>
      </c>
      <c r="Y184" t="s">
        <v>2078</v>
      </c>
      <c r="Z184" t="s">
        <v>2075</v>
      </c>
      <c r="AA184" t="s">
        <v>2208</v>
      </c>
      <c r="AB184" t="s">
        <v>45</v>
      </c>
      <c r="AC184" t="s">
        <v>2209</v>
      </c>
    </row>
    <row r="185" spans="1:29">
      <c r="A185" t="s">
        <v>2219</v>
      </c>
      <c r="B185" s="1">
        <v>123987</v>
      </c>
      <c r="C185" t="s">
        <v>621</v>
      </c>
      <c r="D185" t="s">
        <v>1851</v>
      </c>
      <c r="E185" s="1">
        <v>-7381</v>
      </c>
      <c r="F185" t="s">
        <v>449</v>
      </c>
      <c r="G185" t="s">
        <v>2220</v>
      </c>
      <c r="H185" t="s">
        <v>2221</v>
      </c>
      <c r="I185">
        <v>4</v>
      </c>
      <c r="J185" t="s">
        <v>2012</v>
      </c>
      <c r="K185">
        <v>68</v>
      </c>
      <c r="L185" t="s">
        <v>2222</v>
      </c>
      <c r="M185" t="s">
        <v>2223</v>
      </c>
      <c r="N185" t="s">
        <v>2224</v>
      </c>
      <c r="O185" t="s">
        <v>2202</v>
      </c>
      <c r="P185" t="s">
        <v>2225</v>
      </c>
      <c r="Q185" t="s">
        <v>2226</v>
      </c>
      <c r="R185" t="s">
        <v>2227</v>
      </c>
      <c r="S185" s="2">
        <v>45247</v>
      </c>
      <c r="T185">
        <v>0</v>
      </c>
      <c r="U185" t="s">
        <v>2228</v>
      </c>
      <c r="V185">
        <v>1</v>
      </c>
      <c r="W185">
        <v>2</v>
      </c>
      <c r="X185">
        <v>171198</v>
      </c>
      <c r="Y185" t="s">
        <v>983</v>
      </c>
      <c r="Z185" t="s">
        <v>2226</v>
      </c>
      <c r="AA185" t="s">
        <v>2208</v>
      </c>
      <c r="AB185" t="s">
        <v>45</v>
      </c>
      <c r="AC185" t="s">
        <v>2209</v>
      </c>
    </row>
    <row r="186" spans="1:29">
      <c r="A186" t="s">
        <v>1023</v>
      </c>
      <c r="B186" s="1">
        <v>142096</v>
      </c>
      <c r="C186" t="s">
        <v>1346</v>
      </c>
      <c r="D186" t="s">
        <v>1851</v>
      </c>
      <c r="E186" s="1">
        <v>-5732</v>
      </c>
      <c r="F186" t="s">
        <v>2229</v>
      </c>
      <c r="G186" t="s">
        <v>1990</v>
      </c>
      <c r="H186" t="s">
        <v>2230</v>
      </c>
      <c r="I186">
        <v>4</v>
      </c>
      <c r="J186" t="s">
        <v>2231</v>
      </c>
      <c r="K186">
        <v>76</v>
      </c>
      <c r="L186" t="s">
        <v>2232</v>
      </c>
      <c r="M186" t="s">
        <v>2233</v>
      </c>
      <c r="N186" t="s">
        <v>2234</v>
      </c>
      <c r="O186" t="s">
        <v>2202</v>
      </c>
      <c r="P186" t="s">
        <v>2235</v>
      </c>
      <c r="Q186" t="s">
        <v>2236</v>
      </c>
      <c r="R186" t="s">
        <v>2237</v>
      </c>
      <c r="S186" s="2">
        <v>43672</v>
      </c>
      <c r="T186" t="s">
        <v>2238</v>
      </c>
      <c r="U186" t="s">
        <v>2239</v>
      </c>
      <c r="V186">
        <v>1</v>
      </c>
      <c r="W186">
        <v>7</v>
      </c>
      <c r="X186">
        <v>216387</v>
      </c>
      <c r="Y186" t="s">
        <v>528</v>
      </c>
      <c r="Z186" t="s">
        <v>2236</v>
      </c>
      <c r="AA186" t="s">
        <v>2208</v>
      </c>
      <c r="AB186" t="s">
        <v>45</v>
      </c>
      <c r="AC186" t="s">
        <v>2209</v>
      </c>
    </row>
    <row r="187" spans="1:29">
      <c r="A187" t="s">
        <v>2240</v>
      </c>
      <c r="B187" s="1">
        <v>121854</v>
      </c>
      <c r="C187" t="s">
        <v>2241</v>
      </c>
      <c r="D187" t="s">
        <v>1851</v>
      </c>
      <c r="E187" s="1">
        <v>-5082</v>
      </c>
      <c r="F187" t="s">
        <v>715</v>
      </c>
      <c r="G187" t="s">
        <v>1370</v>
      </c>
      <c r="H187" t="s">
        <v>2242</v>
      </c>
      <c r="I187">
        <v>4</v>
      </c>
      <c r="J187" t="s">
        <v>136</v>
      </c>
      <c r="K187">
        <v>70</v>
      </c>
      <c r="L187" t="s">
        <v>2243</v>
      </c>
      <c r="M187" t="s">
        <v>2244</v>
      </c>
      <c r="N187" t="s">
        <v>2245</v>
      </c>
      <c r="O187" t="s">
        <v>2202</v>
      </c>
      <c r="P187" t="s">
        <v>2246</v>
      </c>
      <c r="Q187" t="s">
        <v>2247</v>
      </c>
      <c r="R187" t="s">
        <v>2248</v>
      </c>
      <c r="S187" s="2">
        <v>45212</v>
      </c>
      <c r="T187">
        <v>0</v>
      </c>
      <c r="U187" t="s">
        <v>2249</v>
      </c>
      <c r="V187">
        <v>1</v>
      </c>
      <c r="W187">
        <v>10</v>
      </c>
      <c r="X187">
        <v>173253</v>
      </c>
      <c r="Y187" t="s">
        <v>2250</v>
      </c>
      <c r="Z187" t="s">
        <v>2247</v>
      </c>
      <c r="AA187" t="s">
        <v>2208</v>
      </c>
      <c r="AB187" t="s">
        <v>45</v>
      </c>
      <c r="AC187" t="s">
        <v>2209</v>
      </c>
    </row>
    <row r="188" spans="1:29">
      <c r="A188" t="s">
        <v>2251</v>
      </c>
      <c r="B188" s="1">
        <v>125089</v>
      </c>
      <c r="C188" t="s">
        <v>2252</v>
      </c>
      <c r="D188" t="s">
        <v>1851</v>
      </c>
      <c r="E188" s="1">
        <v>-8025</v>
      </c>
      <c r="F188" t="s">
        <v>2253</v>
      </c>
      <c r="G188" t="s">
        <v>2132</v>
      </c>
      <c r="H188" t="s">
        <v>2254</v>
      </c>
      <c r="I188">
        <v>4</v>
      </c>
      <c r="J188" t="s">
        <v>2220</v>
      </c>
      <c r="K188">
        <v>69</v>
      </c>
      <c r="L188" t="s">
        <v>2255</v>
      </c>
      <c r="M188" t="s">
        <v>2256</v>
      </c>
      <c r="N188" t="s">
        <v>2257</v>
      </c>
      <c r="O188" t="s">
        <v>2202</v>
      </c>
      <c r="P188" t="s">
        <v>2258</v>
      </c>
      <c r="Q188" t="s">
        <v>2259</v>
      </c>
      <c r="R188" t="s">
        <v>2257</v>
      </c>
      <c r="S188" s="2">
        <v>43805</v>
      </c>
      <c r="T188">
        <v>0</v>
      </c>
      <c r="U188" t="s">
        <v>2260</v>
      </c>
      <c r="V188">
        <v>1</v>
      </c>
      <c r="W188">
        <v>5</v>
      </c>
      <c r="X188">
        <v>131286</v>
      </c>
      <c r="Y188" t="s">
        <v>2261</v>
      </c>
      <c r="Z188" t="s">
        <v>2259</v>
      </c>
      <c r="AA188" t="s">
        <v>2208</v>
      </c>
      <c r="AB188" t="s">
        <v>45</v>
      </c>
      <c r="AC188" t="s">
        <v>2209</v>
      </c>
    </row>
    <row r="189" spans="1:29">
      <c r="A189" t="s">
        <v>161</v>
      </c>
      <c r="B189" s="1">
        <v>142974</v>
      </c>
      <c r="C189" t="s">
        <v>250</v>
      </c>
      <c r="D189" t="s">
        <v>1851</v>
      </c>
      <c r="E189" s="1">
        <v>-5881</v>
      </c>
      <c r="F189" t="s">
        <v>2022</v>
      </c>
      <c r="G189" t="s">
        <v>2262</v>
      </c>
      <c r="H189" t="s">
        <v>2263</v>
      </c>
      <c r="I189">
        <v>4</v>
      </c>
      <c r="J189" t="s">
        <v>292</v>
      </c>
      <c r="K189">
        <v>69</v>
      </c>
      <c r="L189" t="s">
        <v>2264</v>
      </c>
      <c r="M189" t="s">
        <v>2265</v>
      </c>
      <c r="N189" t="s">
        <v>2266</v>
      </c>
      <c r="O189" t="s">
        <v>2202</v>
      </c>
      <c r="P189" t="s">
        <v>2267</v>
      </c>
      <c r="Q189" t="s">
        <v>2268</v>
      </c>
      <c r="R189" t="s">
        <v>2266</v>
      </c>
      <c r="S189" s="2">
        <v>45058</v>
      </c>
      <c r="T189">
        <v>0</v>
      </c>
      <c r="U189" t="s">
        <v>2269</v>
      </c>
      <c r="V189">
        <v>1</v>
      </c>
      <c r="W189">
        <v>3</v>
      </c>
      <c r="X189">
        <v>223879</v>
      </c>
      <c r="Y189" t="s">
        <v>2270</v>
      </c>
      <c r="Z189" t="s">
        <v>2268</v>
      </c>
      <c r="AA189" t="s">
        <v>2208</v>
      </c>
      <c r="AB189" t="s">
        <v>45</v>
      </c>
      <c r="AC189" t="s">
        <v>2209</v>
      </c>
    </row>
    <row r="190" spans="1:29">
      <c r="A190" t="s">
        <v>1431</v>
      </c>
      <c r="B190" s="1">
        <v>116624</v>
      </c>
      <c r="C190" t="s">
        <v>212</v>
      </c>
      <c r="D190" t="s">
        <v>1851</v>
      </c>
      <c r="E190" s="1">
        <v>-5298</v>
      </c>
      <c r="F190" t="s">
        <v>1864</v>
      </c>
      <c r="G190" t="s">
        <v>1880</v>
      </c>
      <c r="H190" t="s">
        <v>2271</v>
      </c>
      <c r="I190">
        <v>4</v>
      </c>
      <c r="J190" t="s">
        <v>351</v>
      </c>
      <c r="K190">
        <v>79</v>
      </c>
      <c r="L190" t="s">
        <v>2272</v>
      </c>
      <c r="M190" t="s">
        <v>2273</v>
      </c>
      <c r="N190" t="s">
        <v>2274</v>
      </c>
      <c r="O190" t="s">
        <v>2202</v>
      </c>
      <c r="P190" t="s">
        <v>2275</v>
      </c>
      <c r="Q190" t="s">
        <v>2276</v>
      </c>
      <c r="R190" t="s">
        <v>2277</v>
      </c>
      <c r="S190" s="2">
        <v>44897</v>
      </c>
      <c r="T190" t="s">
        <v>2278</v>
      </c>
      <c r="U190" t="s">
        <v>2279</v>
      </c>
      <c r="V190">
        <v>0</v>
      </c>
      <c r="W190">
        <v>5</v>
      </c>
      <c r="X190">
        <v>182667</v>
      </c>
      <c r="Y190" t="s">
        <v>2280</v>
      </c>
      <c r="Z190" t="s">
        <v>2276</v>
      </c>
      <c r="AA190" t="s">
        <v>2208</v>
      </c>
      <c r="AB190" t="s">
        <v>45</v>
      </c>
      <c r="AC190" t="s">
        <v>2209</v>
      </c>
    </row>
    <row r="191" spans="1:29">
      <c r="A191" t="s">
        <v>29</v>
      </c>
      <c r="B191" t="s">
        <v>2281</v>
      </c>
      <c r="C191" t="s">
        <v>1190</v>
      </c>
      <c r="D191" t="s">
        <v>1851</v>
      </c>
      <c r="E191" s="1">
        <v>-7002</v>
      </c>
      <c r="F191" t="s">
        <v>211</v>
      </c>
      <c r="G191" t="s">
        <v>1958</v>
      </c>
      <c r="H191" t="s">
        <v>2282</v>
      </c>
      <c r="I191">
        <v>4</v>
      </c>
      <c r="J191" t="s">
        <v>2283</v>
      </c>
      <c r="K191">
        <v>78</v>
      </c>
      <c r="L191" t="s">
        <v>2284</v>
      </c>
      <c r="M191" t="s">
        <v>2285</v>
      </c>
      <c r="N191" t="s">
        <v>2286</v>
      </c>
      <c r="O191" t="s">
        <v>2202</v>
      </c>
      <c r="P191" t="s">
        <v>2287</v>
      </c>
      <c r="Q191" t="s">
        <v>2288</v>
      </c>
      <c r="R191" t="s">
        <v>2289</v>
      </c>
      <c r="S191" s="2">
        <v>43896</v>
      </c>
      <c r="T191" t="s">
        <v>2290</v>
      </c>
      <c r="U191" t="s">
        <v>2291</v>
      </c>
      <c r="V191">
        <v>1</v>
      </c>
      <c r="W191">
        <v>1</v>
      </c>
      <c r="X191">
        <v>196180</v>
      </c>
      <c r="Y191" t="s">
        <v>2292</v>
      </c>
      <c r="Z191" t="s">
        <v>2288</v>
      </c>
      <c r="AA191" t="s">
        <v>2208</v>
      </c>
      <c r="AB191" t="s">
        <v>45</v>
      </c>
      <c r="AC191" t="s">
        <v>2209</v>
      </c>
    </row>
    <row r="192" spans="1:29">
      <c r="A192" t="s">
        <v>1895</v>
      </c>
      <c r="B192" s="1">
        <v>144006</v>
      </c>
      <c r="C192" t="s">
        <v>2293</v>
      </c>
      <c r="D192" t="s">
        <v>1851</v>
      </c>
      <c r="E192" t="s">
        <v>2294</v>
      </c>
      <c r="F192" t="s">
        <v>2295</v>
      </c>
      <c r="G192" t="s">
        <v>422</v>
      </c>
      <c r="H192" t="s">
        <v>2296</v>
      </c>
      <c r="I192">
        <v>1</v>
      </c>
      <c r="J192" t="s">
        <v>280</v>
      </c>
      <c r="K192">
        <v>70</v>
      </c>
      <c r="L192" t="s">
        <v>2297</v>
      </c>
      <c r="M192" t="s">
        <v>2298</v>
      </c>
      <c r="N192" t="s">
        <v>2299</v>
      </c>
      <c r="O192" t="s">
        <v>2202</v>
      </c>
      <c r="P192" t="s">
        <v>2300</v>
      </c>
      <c r="Q192" t="s">
        <v>2301</v>
      </c>
      <c r="R192" t="s">
        <v>2302</v>
      </c>
      <c r="S192" s="2">
        <v>44267</v>
      </c>
      <c r="T192">
        <v>0</v>
      </c>
      <c r="U192" t="s">
        <v>2303</v>
      </c>
      <c r="V192">
        <v>0</v>
      </c>
      <c r="W192">
        <v>3</v>
      </c>
      <c r="X192">
        <v>173333</v>
      </c>
      <c r="Y192" t="s">
        <v>1396</v>
      </c>
      <c r="Z192" t="s">
        <v>2301</v>
      </c>
      <c r="AA192" t="s">
        <v>2208</v>
      </c>
      <c r="AB192" t="s">
        <v>45</v>
      </c>
      <c r="AC192" t="s">
        <v>2209</v>
      </c>
    </row>
    <row r="193" spans="1:29">
      <c r="A193" t="s">
        <v>1300</v>
      </c>
      <c r="B193" s="1">
        <v>165409</v>
      </c>
      <c r="C193" t="s">
        <v>580</v>
      </c>
      <c r="D193" t="s">
        <v>1851</v>
      </c>
      <c r="E193" s="1">
        <v>-6524</v>
      </c>
      <c r="F193" t="s">
        <v>2304</v>
      </c>
      <c r="G193" t="s">
        <v>1062</v>
      </c>
      <c r="H193" t="s">
        <v>2305</v>
      </c>
      <c r="I193">
        <v>4</v>
      </c>
      <c r="J193" t="s">
        <v>1142</v>
      </c>
      <c r="K193">
        <v>73</v>
      </c>
      <c r="L193" t="s">
        <v>2306</v>
      </c>
      <c r="M193" t="s">
        <v>2307</v>
      </c>
      <c r="N193" t="s">
        <v>2308</v>
      </c>
      <c r="O193" t="s">
        <v>2202</v>
      </c>
      <c r="P193" t="s">
        <v>2309</v>
      </c>
      <c r="Q193" t="s">
        <v>2310</v>
      </c>
      <c r="R193" t="s">
        <v>2311</v>
      </c>
      <c r="S193" s="2">
        <v>45303</v>
      </c>
      <c r="T193">
        <v>0</v>
      </c>
      <c r="U193" t="s">
        <v>2312</v>
      </c>
      <c r="V193">
        <v>1</v>
      </c>
      <c r="W193">
        <v>1</v>
      </c>
      <c r="X193">
        <v>220584</v>
      </c>
      <c r="Y193" t="s">
        <v>2313</v>
      </c>
      <c r="Z193" t="s">
        <v>2310</v>
      </c>
      <c r="AA193" t="s">
        <v>2208</v>
      </c>
      <c r="AB193" t="s">
        <v>45</v>
      </c>
      <c r="AC193" t="s">
        <v>2209</v>
      </c>
    </row>
    <row r="194" spans="1:29">
      <c r="A194" t="s">
        <v>799</v>
      </c>
      <c r="B194" s="1">
        <v>131964</v>
      </c>
      <c r="C194" t="s">
        <v>2241</v>
      </c>
      <c r="D194" t="s">
        <v>1851</v>
      </c>
      <c r="E194" s="1">
        <v>-8194</v>
      </c>
      <c r="F194" t="s">
        <v>160</v>
      </c>
      <c r="G194" t="s">
        <v>2314</v>
      </c>
      <c r="H194" t="s">
        <v>2315</v>
      </c>
      <c r="I194">
        <v>4</v>
      </c>
      <c r="J194" t="s">
        <v>2316</v>
      </c>
      <c r="K194">
        <v>77</v>
      </c>
      <c r="L194" t="s">
        <v>2317</v>
      </c>
      <c r="M194" t="s">
        <v>2318</v>
      </c>
      <c r="N194" t="s">
        <v>2319</v>
      </c>
      <c r="O194" t="s">
        <v>2202</v>
      </c>
      <c r="P194" t="s">
        <v>2320</v>
      </c>
      <c r="Q194" t="s">
        <v>2321</v>
      </c>
      <c r="R194" t="s">
        <v>2322</v>
      </c>
      <c r="S194" s="2">
        <v>40909</v>
      </c>
      <c r="T194">
        <v>0</v>
      </c>
      <c r="U194" t="s">
        <v>2323</v>
      </c>
      <c r="V194">
        <v>0</v>
      </c>
      <c r="W194">
        <v>0</v>
      </c>
      <c r="X194">
        <v>246213</v>
      </c>
      <c r="Y194" t="s">
        <v>2324</v>
      </c>
      <c r="Z194" t="s">
        <v>2321</v>
      </c>
      <c r="AA194" t="s">
        <v>2208</v>
      </c>
      <c r="AB194" t="s">
        <v>45</v>
      </c>
      <c r="AC194" t="s">
        <v>2209</v>
      </c>
    </row>
    <row r="195" spans="1:29">
      <c r="A195" t="s">
        <v>2325</v>
      </c>
      <c r="B195" s="1">
        <v>151951</v>
      </c>
      <c r="C195" t="s">
        <v>2182</v>
      </c>
      <c r="D195" t="s">
        <v>1851</v>
      </c>
      <c r="E195" s="1">
        <v>-6297</v>
      </c>
      <c r="F195" t="s">
        <v>2326</v>
      </c>
      <c r="G195" t="s">
        <v>826</v>
      </c>
      <c r="H195" t="s">
        <v>2327</v>
      </c>
      <c r="I195">
        <v>4</v>
      </c>
      <c r="J195" t="s">
        <v>1359</v>
      </c>
      <c r="K195">
        <v>70</v>
      </c>
      <c r="L195" t="s">
        <v>2328</v>
      </c>
      <c r="M195" t="s">
        <v>2329</v>
      </c>
      <c r="N195" t="s">
        <v>2330</v>
      </c>
      <c r="O195" t="s">
        <v>2202</v>
      </c>
      <c r="P195" t="s">
        <v>2331</v>
      </c>
      <c r="Q195" t="s">
        <v>2332</v>
      </c>
      <c r="R195" t="s">
        <v>2333</v>
      </c>
      <c r="S195" s="2">
        <v>44148</v>
      </c>
      <c r="T195">
        <v>0</v>
      </c>
      <c r="U195" t="s">
        <v>2334</v>
      </c>
      <c r="V195">
        <v>1</v>
      </c>
      <c r="W195">
        <v>0</v>
      </c>
      <c r="X195">
        <v>213520</v>
      </c>
      <c r="Y195" t="s">
        <v>229</v>
      </c>
      <c r="Z195" t="s">
        <v>2332</v>
      </c>
      <c r="AA195" t="s">
        <v>2208</v>
      </c>
      <c r="AB195" t="s">
        <v>45</v>
      </c>
      <c r="AC195" t="s">
        <v>2209</v>
      </c>
    </row>
    <row r="196" spans="1:29">
      <c r="A196" t="s">
        <v>1396</v>
      </c>
      <c r="B196" s="1">
        <v>142791</v>
      </c>
      <c r="C196" t="s">
        <v>1346</v>
      </c>
      <c r="D196" t="s">
        <v>1851</v>
      </c>
      <c r="E196" s="1">
        <v>-5652</v>
      </c>
      <c r="F196" t="s">
        <v>2031</v>
      </c>
      <c r="G196" t="s">
        <v>143</v>
      </c>
      <c r="H196" t="s">
        <v>2230</v>
      </c>
      <c r="I196">
        <v>4</v>
      </c>
      <c r="J196" t="s">
        <v>301</v>
      </c>
      <c r="K196">
        <v>71</v>
      </c>
      <c r="L196" t="s">
        <v>2335</v>
      </c>
      <c r="M196" t="s">
        <v>2336</v>
      </c>
      <c r="N196" t="s">
        <v>2337</v>
      </c>
      <c r="O196" t="s">
        <v>2202</v>
      </c>
      <c r="P196" t="s">
        <v>2338</v>
      </c>
      <c r="Q196" t="s">
        <v>2339</v>
      </c>
      <c r="R196" t="s">
        <v>2340</v>
      </c>
      <c r="S196" s="2">
        <v>43868</v>
      </c>
      <c r="T196">
        <v>0</v>
      </c>
      <c r="U196" t="s">
        <v>2341</v>
      </c>
      <c r="V196">
        <v>0</v>
      </c>
      <c r="W196">
        <v>11</v>
      </c>
      <c r="X196">
        <v>127547</v>
      </c>
      <c r="Y196" t="s">
        <v>2342</v>
      </c>
      <c r="Z196" t="s">
        <v>2339</v>
      </c>
      <c r="AA196" t="s">
        <v>2208</v>
      </c>
      <c r="AB196" t="s">
        <v>45</v>
      </c>
      <c r="AC196" t="s">
        <v>2209</v>
      </c>
    </row>
    <row r="197" spans="1:29">
      <c r="A197" t="s">
        <v>1278</v>
      </c>
      <c r="B197" s="1">
        <v>143477</v>
      </c>
      <c r="C197" t="s">
        <v>2343</v>
      </c>
      <c r="D197" t="s">
        <v>1851</v>
      </c>
      <c r="E197" s="1">
        <v>-5808</v>
      </c>
      <c r="F197" t="s">
        <v>1200</v>
      </c>
      <c r="G197" t="s">
        <v>475</v>
      </c>
      <c r="H197" t="s">
        <v>2344</v>
      </c>
      <c r="I197">
        <v>4</v>
      </c>
      <c r="J197" t="s">
        <v>2345</v>
      </c>
      <c r="K197">
        <v>69</v>
      </c>
      <c r="L197" t="s">
        <v>2346</v>
      </c>
      <c r="M197" t="s">
        <v>2347</v>
      </c>
      <c r="N197" t="s">
        <v>2348</v>
      </c>
      <c r="O197" t="s">
        <v>2202</v>
      </c>
      <c r="P197" t="s">
        <v>2349</v>
      </c>
      <c r="Q197" t="s">
        <v>2350</v>
      </c>
      <c r="R197" t="s">
        <v>2351</v>
      </c>
      <c r="S197" s="2">
        <v>43826</v>
      </c>
      <c r="T197">
        <v>0</v>
      </c>
      <c r="U197" t="s">
        <v>2352</v>
      </c>
      <c r="V197">
        <v>1</v>
      </c>
      <c r="W197">
        <v>2</v>
      </c>
      <c r="X197">
        <v>181145</v>
      </c>
      <c r="Y197" t="s">
        <v>2022</v>
      </c>
      <c r="Z197" t="s">
        <v>2350</v>
      </c>
      <c r="AA197" t="s">
        <v>2208</v>
      </c>
      <c r="AB197" t="s">
        <v>45</v>
      </c>
      <c r="AC197" t="s">
        <v>2209</v>
      </c>
    </row>
    <row r="198" spans="1:29">
      <c r="A198" t="s">
        <v>176</v>
      </c>
      <c r="B198" t="s">
        <v>2353</v>
      </c>
      <c r="C198" t="s">
        <v>1310</v>
      </c>
      <c r="D198" t="s">
        <v>1851</v>
      </c>
      <c r="E198" s="1">
        <v>-5655</v>
      </c>
      <c r="F198" t="s">
        <v>687</v>
      </c>
      <c r="G198" t="s">
        <v>2060</v>
      </c>
      <c r="H198" t="s">
        <v>2354</v>
      </c>
      <c r="I198">
        <v>4</v>
      </c>
      <c r="J198" t="s">
        <v>189</v>
      </c>
      <c r="K198">
        <v>68</v>
      </c>
      <c r="L198" t="s">
        <v>2355</v>
      </c>
      <c r="M198" t="s">
        <v>2356</v>
      </c>
      <c r="N198" t="s">
        <v>2357</v>
      </c>
      <c r="O198" t="s">
        <v>2202</v>
      </c>
      <c r="P198" t="s">
        <v>2358</v>
      </c>
      <c r="Q198" t="s">
        <v>2359</v>
      </c>
      <c r="R198" t="s">
        <v>2360</v>
      </c>
      <c r="S198" s="2">
        <v>44015</v>
      </c>
      <c r="T198" t="s">
        <v>2361</v>
      </c>
      <c r="U198" t="s">
        <v>2362</v>
      </c>
      <c r="V198">
        <v>1</v>
      </c>
      <c r="W198">
        <v>1</v>
      </c>
      <c r="X198">
        <v>201600</v>
      </c>
      <c r="Y198" t="s">
        <v>2363</v>
      </c>
      <c r="Z198" t="s">
        <v>2359</v>
      </c>
      <c r="AA198" t="s">
        <v>2208</v>
      </c>
      <c r="AB198" t="s">
        <v>45</v>
      </c>
      <c r="AC198" t="s">
        <v>2209</v>
      </c>
    </row>
    <row r="199" spans="1:29">
      <c r="A199" t="s">
        <v>1250</v>
      </c>
      <c r="B199" s="1">
        <v>77528</v>
      </c>
      <c r="C199" t="s">
        <v>1227</v>
      </c>
      <c r="D199" t="s">
        <v>1851</v>
      </c>
      <c r="E199" s="1">
        <v>-12207</v>
      </c>
      <c r="F199" t="s">
        <v>2364</v>
      </c>
      <c r="G199" t="s">
        <v>2365</v>
      </c>
      <c r="H199" t="s">
        <v>2366</v>
      </c>
      <c r="I199">
        <v>4</v>
      </c>
      <c r="J199" t="s">
        <v>1552</v>
      </c>
      <c r="K199">
        <v>68</v>
      </c>
      <c r="L199" t="s">
        <v>2367</v>
      </c>
      <c r="M199" t="s">
        <v>2368</v>
      </c>
      <c r="N199" t="s">
        <v>2369</v>
      </c>
      <c r="O199" t="s">
        <v>2202</v>
      </c>
      <c r="P199" t="s">
        <v>2370</v>
      </c>
      <c r="Q199" t="s">
        <v>2371</v>
      </c>
      <c r="R199" t="s">
        <v>2369</v>
      </c>
      <c r="S199" s="2">
        <v>43170</v>
      </c>
      <c r="T199">
        <v>0</v>
      </c>
      <c r="U199" t="s">
        <v>2372</v>
      </c>
      <c r="V199">
        <v>0</v>
      </c>
      <c r="W199">
        <v>1</v>
      </c>
      <c r="X199">
        <v>186000</v>
      </c>
      <c r="Y199" t="s">
        <v>2373</v>
      </c>
      <c r="Z199" t="s">
        <v>2371</v>
      </c>
      <c r="AA199" t="s">
        <v>2208</v>
      </c>
      <c r="AB199" t="s">
        <v>45</v>
      </c>
      <c r="AC199" t="s">
        <v>2209</v>
      </c>
    </row>
    <row r="200" spans="1:29">
      <c r="A200" t="s">
        <v>1236</v>
      </c>
      <c r="B200" s="1">
        <v>150141</v>
      </c>
      <c r="C200" t="s">
        <v>2374</v>
      </c>
      <c r="D200" t="s">
        <v>1851</v>
      </c>
      <c r="E200" s="1">
        <v>-5949</v>
      </c>
      <c r="F200" t="s">
        <v>1896</v>
      </c>
      <c r="G200" t="s">
        <v>2375</v>
      </c>
      <c r="H200" t="s">
        <v>2376</v>
      </c>
      <c r="I200">
        <v>4</v>
      </c>
      <c r="J200" t="s">
        <v>2377</v>
      </c>
      <c r="K200">
        <v>70</v>
      </c>
      <c r="L200" t="s">
        <v>2378</v>
      </c>
      <c r="M200" t="s">
        <v>2379</v>
      </c>
      <c r="N200" t="s">
        <v>2380</v>
      </c>
      <c r="O200" t="s">
        <v>2202</v>
      </c>
      <c r="P200" t="s">
        <v>2381</v>
      </c>
      <c r="Q200" t="s">
        <v>2382</v>
      </c>
      <c r="R200" t="s">
        <v>2383</v>
      </c>
      <c r="S200" s="2">
        <v>43861</v>
      </c>
      <c r="T200">
        <v>0</v>
      </c>
      <c r="U200" t="s">
        <v>2384</v>
      </c>
      <c r="V200">
        <v>1</v>
      </c>
      <c r="W200">
        <v>7</v>
      </c>
      <c r="X200">
        <v>146880</v>
      </c>
      <c r="Y200" t="s">
        <v>2385</v>
      </c>
      <c r="Z200" t="s">
        <v>2382</v>
      </c>
      <c r="AA200" t="s">
        <v>2208</v>
      </c>
      <c r="AB200" t="s">
        <v>45</v>
      </c>
      <c r="AC200" t="s">
        <v>2209</v>
      </c>
    </row>
    <row r="201" spans="1:29">
      <c r="A201" t="s">
        <v>2386</v>
      </c>
      <c r="B201" t="s">
        <v>2387</v>
      </c>
      <c r="C201" t="s">
        <v>2388</v>
      </c>
      <c r="D201" t="s">
        <v>1851</v>
      </c>
      <c r="E201" s="1">
        <v>-4574</v>
      </c>
      <c r="F201" t="s">
        <v>2389</v>
      </c>
      <c r="G201" t="s">
        <v>2390</v>
      </c>
      <c r="H201" t="s">
        <v>2391</v>
      </c>
      <c r="I201">
        <v>4</v>
      </c>
      <c r="J201" t="s">
        <v>2392</v>
      </c>
      <c r="K201">
        <v>78</v>
      </c>
      <c r="L201" t="s">
        <v>2393</v>
      </c>
      <c r="M201" t="s">
        <v>2394</v>
      </c>
      <c r="N201" t="s">
        <v>2395</v>
      </c>
      <c r="O201" t="s">
        <v>2202</v>
      </c>
      <c r="P201" t="s">
        <v>2396</v>
      </c>
      <c r="Q201" t="s">
        <v>2397</v>
      </c>
      <c r="R201" t="s">
        <v>2398</v>
      </c>
      <c r="S201" s="2">
        <v>44106</v>
      </c>
      <c r="T201" t="s">
        <v>366</v>
      </c>
      <c r="U201" t="s">
        <v>2399</v>
      </c>
      <c r="V201">
        <v>0</v>
      </c>
      <c r="W201">
        <v>10</v>
      </c>
      <c r="X201">
        <v>195906</v>
      </c>
      <c r="Y201" t="s">
        <v>2400</v>
      </c>
      <c r="Z201" t="s">
        <v>2397</v>
      </c>
      <c r="AA201" t="s">
        <v>2208</v>
      </c>
      <c r="AB201" t="s">
        <v>45</v>
      </c>
      <c r="AC201" t="s">
        <v>2209</v>
      </c>
    </row>
    <row r="202" spans="1:29">
      <c r="A202" t="s">
        <v>29</v>
      </c>
      <c r="B202" s="1">
        <v>188051</v>
      </c>
      <c r="C202" t="s">
        <v>2401</v>
      </c>
      <c r="D202" t="s">
        <v>1851</v>
      </c>
      <c r="E202" s="1">
        <v>-6281</v>
      </c>
      <c r="F202" t="s">
        <v>743</v>
      </c>
      <c r="G202" t="s">
        <v>2402</v>
      </c>
      <c r="H202" t="s">
        <v>2282</v>
      </c>
      <c r="I202">
        <v>4</v>
      </c>
      <c r="J202" t="s">
        <v>2403</v>
      </c>
      <c r="K202">
        <v>72</v>
      </c>
      <c r="L202" t="s">
        <v>2404</v>
      </c>
      <c r="M202" t="s">
        <v>2405</v>
      </c>
      <c r="N202" t="s">
        <v>2406</v>
      </c>
      <c r="O202" t="s">
        <v>2202</v>
      </c>
      <c r="P202" t="s">
        <v>2407</v>
      </c>
      <c r="Q202" t="s">
        <v>2408</v>
      </c>
      <c r="R202" t="s">
        <v>2409</v>
      </c>
      <c r="S202" s="2">
        <v>44134</v>
      </c>
      <c r="T202">
        <v>0</v>
      </c>
      <c r="U202" t="s">
        <v>2410</v>
      </c>
      <c r="V202">
        <v>1</v>
      </c>
      <c r="W202">
        <v>1</v>
      </c>
      <c r="X202">
        <v>122680</v>
      </c>
      <c r="Y202" t="s">
        <v>608</v>
      </c>
      <c r="Z202" t="s">
        <v>2408</v>
      </c>
      <c r="AA202" t="s">
        <v>2208</v>
      </c>
      <c r="AB202" t="s">
        <v>45</v>
      </c>
      <c r="AC202" t="s">
        <v>2209</v>
      </c>
    </row>
    <row r="203" spans="1:29">
      <c r="A203" t="s">
        <v>2411</v>
      </c>
      <c r="B203" t="s">
        <v>2412</v>
      </c>
      <c r="C203" t="s">
        <v>1810</v>
      </c>
      <c r="D203" t="s">
        <v>1851</v>
      </c>
      <c r="E203" t="s">
        <v>2413</v>
      </c>
      <c r="F203" t="s">
        <v>2414</v>
      </c>
      <c r="G203" t="s">
        <v>1786</v>
      </c>
      <c r="H203" t="s">
        <v>2415</v>
      </c>
      <c r="I203">
        <v>4</v>
      </c>
      <c r="J203" t="s">
        <v>2416</v>
      </c>
      <c r="K203">
        <v>70</v>
      </c>
      <c r="L203" t="s">
        <v>2417</v>
      </c>
      <c r="M203" t="s">
        <v>2418</v>
      </c>
      <c r="N203" t="s">
        <v>2419</v>
      </c>
      <c r="O203" t="s">
        <v>2202</v>
      </c>
      <c r="P203" t="s">
        <v>2420</v>
      </c>
      <c r="Q203" t="s">
        <v>2421</v>
      </c>
      <c r="R203" t="s">
        <v>2422</v>
      </c>
      <c r="S203" s="2">
        <v>44162</v>
      </c>
      <c r="T203" t="s">
        <v>2423</v>
      </c>
      <c r="U203" t="s">
        <v>2424</v>
      </c>
      <c r="V203">
        <v>0</v>
      </c>
      <c r="W203">
        <v>6</v>
      </c>
      <c r="X203">
        <v>89536</v>
      </c>
      <c r="Y203" t="s">
        <v>2425</v>
      </c>
      <c r="Z203" t="s">
        <v>2421</v>
      </c>
      <c r="AA203" t="s">
        <v>2208</v>
      </c>
      <c r="AB203" t="s">
        <v>45</v>
      </c>
      <c r="AC203" t="s">
        <v>2209</v>
      </c>
    </row>
    <row r="204" spans="1:29">
      <c r="A204" t="s">
        <v>2426</v>
      </c>
      <c r="B204" s="1">
        <v>76984</v>
      </c>
      <c r="C204" t="s">
        <v>1153</v>
      </c>
      <c r="D204" t="s">
        <v>1851</v>
      </c>
      <c r="E204" s="1">
        <v>-5578</v>
      </c>
      <c r="F204" t="s">
        <v>1528</v>
      </c>
      <c r="G204" t="s">
        <v>785</v>
      </c>
      <c r="H204" t="s">
        <v>2427</v>
      </c>
      <c r="I204">
        <v>4</v>
      </c>
      <c r="J204" t="s">
        <v>1410</v>
      </c>
      <c r="K204">
        <v>69</v>
      </c>
      <c r="L204" t="s">
        <v>2428</v>
      </c>
      <c r="M204" t="s">
        <v>2429</v>
      </c>
      <c r="N204" t="s">
        <v>2430</v>
      </c>
      <c r="O204" t="s">
        <v>2202</v>
      </c>
      <c r="P204" t="s">
        <v>2431</v>
      </c>
      <c r="Q204" t="s">
        <v>2432</v>
      </c>
      <c r="R204" t="s">
        <v>2433</v>
      </c>
      <c r="S204" s="2">
        <v>43434</v>
      </c>
      <c r="T204" t="s">
        <v>2434</v>
      </c>
      <c r="U204" t="s">
        <v>2435</v>
      </c>
      <c r="V204">
        <v>1</v>
      </c>
      <c r="W204">
        <v>1</v>
      </c>
      <c r="X204">
        <v>213287</v>
      </c>
      <c r="Y204" t="s">
        <v>2012</v>
      </c>
      <c r="Z204" t="s">
        <v>2432</v>
      </c>
      <c r="AA204" t="s">
        <v>2208</v>
      </c>
      <c r="AB204" t="s">
        <v>45</v>
      </c>
      <c r="AC204" t="s">
        <v>2209</v>
      </c>
    </row>
    <row r="205" spans="1:29">
      <c r="A205" t="s">
        <v>1098</v>
      </c>
      <c r="B205" s="1">
        <v>130007</v>
      </c>
      <c r="C205" t="s">
        <v>2116</v>
      </c>
      <c r="D205" t="s">
        <v>1851</v>
      </c>
      <c r="E205" s="1">
        <v>-5791</v>
      </c>
      <c r="F205" t="s">
        <v>2436</v>
      </c>
      <c r="G205" t="s">
        <v>513</v>
      </c>
      <c r="H205" t="s">
        <v>2376</v>
      </c>
      <c r="I205">
        <v>4</v>
      </c>
      <c r="J205" t="s">
        <v>2437</v>
      </c>
      <c r="K205">
        <v>69</v>
      </c>
      <c r="L205" t="s">
        <v>2438</v>
      </c>
      <c r="M205" t="s">
        <v>2439</v>
      </c>
      <c r="N205" t="s">
        <v>2440</v>
      </c>
      <c r="O205" t="s">
        <v>2202</v>
      </c>
      <c r="P205" t="s">
        <v>2441</v>
      </c>
      <c r="Q205" t="s">
        <v>2442</v>
      </c>
      <c r="R205" t="s">
        <v>2443</v>
      </c>
      <c r="S205" s="2">
        <v>43133</v>
      </c>
      <c r="T205">
        <v>0</v>
      </c>
      <c r="U205" t="s">
        <v>2444</v>
      </c>
      <c r="V205">
        <v>0</v>
      </c>
      <c r="W205">
        <v>11</v>
      </c>
      <c r="X205">
        <v>142498</v>
      </c>
      <c r="Y205" t="s">
        <v>437</v>
      </c>
      <c r="Z205" t="s">
        <v>2442</v>
      </c>
      <c r="AA205" t="s">
        <v>2208</v>
      </c>
      <c r="AB205" t="s">
        <v>45</v>
      </c>
      <c r="AC205" t="s">
        <v>2209</v>
      </c>
    </row>
    <row r="206" spans="1:29">
      <c r="A206" t="s">
        <v>929</v>
      </c>
      <c r="B206" s="1">
        <v>136006</v>
      </c>
      <c r="C206" t="s">
        <v>2098</v>
      </c>
      <c r="D206" t="s">
        <v>1851</v>
      </c>
      <c r="E206" s="1">
        <v>-6349</v>
      </c>
      <c r="F206" t="s">
        <v>1483</v>
      </c>
      <c r="G206" t="s">
        <v>984</v>
      </c>
      <c r="H206" t="s">
        <v>2445</v>
      </c>
      <c r="I206">
        <v>4</v>
      </c>
      <c r="J206" t="s">
        <v>2060</v>
      </c>
      <c r="K206">
        <v>73</v>
      </c>
      <c r="L206" t="s">
        <v>2446</v>
      </c>
      <c r="M206" t="s">
        <v>2447</v>
      </c>
      <c r="N206" t="s">
        <v>2448</v>
      </c>
      <c r="O206" t="s">
        <v>2202</v>
      </c>
      <c r="P206" t="s">
        <v>2449</v>
      </c>
      <c r="Q206" t="s">
        <v>2450</v>
      </c>
      <c r="R206" t="s">
        <v>2451</v>
      </c>
      <c r="S206" s="2">
        <v>44260</v>
      </c>
      <c r="T206" t="s">
        <v>2452</v>
      </c>
      <c r="U206" t="s">
        <v>2453</v>
      </c>
      <c r="V206">
        <v>1</v>
      </c>
      <c r="W206">
        <v>1</v>
      </c>
      <c r="X206">
        <v>192956</v>
      </c>
      <c r="Y206" t="s">
        <v>2454</v>
      </c>
      <c r="Z206" t="s">
        <v>2450</v>
      </c>
      <c r="AA206" t="s">
        <v>2208</v>
      </c>
      <c r="AB206" t="s">
        <v>45</v>
      </c>
      <c r="AC206" t="s">
        <v>2209</v>
      </c>
    </row>
    <row r="207" spans="1:29">
      <c r="A207" t="s">
        <v>892</v>
      </c>
      <c r="B207" s="1">
        <v>165921</v>
      </c>
      <c r="C207" t="s">
        <v>1492</v>
      </c>
      <c r="D207" t="s">
        <v>1851</v>
      </c>
      <c r="E207" s="1">
        <v>-4711</v>
      </c>
      <c r="F207" t="s">
        <v>2455</v>
      </c>
      <c r="G207" t="s">
        <v>1434</v>
      </c>
      <c r="H207" t="s">
        <v>2456</v>
      </c>
      <c r="I207">
        <v>4</v>
      </c>
      <c r="J207" t="s">
        <v>2457</v>
      </c>
      <c r="K207">
        <v>80</v>
      </c>
      <c r="L207" t="s">
        <v>2458</v>
      </c>
      <c r="M207" t="s">
        <v>2459</v>
      </c>
      <c r="N207" t="s">
        <v>2460</v>
      </c>
      <c r="O207" t="s">
        <v>2202</v>
      </c>
      <c r="P207" t="s">
        <v>2461</v>
      </c>
      <c r="Q207" t="s">
        <v>2462</v>
      </c>
      <c r="R207" t="s">
        <v>2463</v>
      </c>
      <c r="S207" s="2">
        <v>44729</v>
      </c>
      <c r="T207" t="s">
        <v>2464</v>
      </c>
      <c r="U207" t="s">
        <v>2465</v>
      </c>
      <c r="V207">
        <v>1</v>
      </c>
      <c r="W207">
        <v>0</v>
      </c>
      <c r="X207">
        <v>218365</v>
      </c>
      <c r="Y207" t="s">
        <v>2466</v>
      </c>
      <c r="Z207" t="s">
        <v>2462</v>
      </c>
      <c r="AA207" t="s">
        <v>2208</v>
      </c>
      <c r="AB207" t="s">
        <v>45</v>
      </c>
      <c r="AC207" t="s">
        <v>2209</v>
      </c>
    </row>
    <row r="208" spans="1:29">
      <c r="A208" t="s">
        <v>1085</v>
      </c>
      <c r="B208" s="1">
        <v>156953</v>
      </c>
      <c r="C208" t="s">
        <v>2467</v>
      </c>
      <c r="D208" t="s">
        <v>1851</v>
      </c>
      <c r="E208" t="s">
        <v>2468</v>
      </c>
      <c r="F208" t="s">
        <v>710</v>
      </c>
      <c r="G208" t="s">
        <v>2469</v>
      </c>
      <c r="H208" t="s">
        <v>2282</v>
      </c>
      <c r="I208">
        <v>4</v>
      </c>
      <c r="J208" t="s">
        <v>2470</v>
      </c>
      <c r="K208">
        <v>75</v>
      </c>
      <c r="L208" t="s">
        <v>2471</v>
      </c>
      <c r="M208" t="s">
        <v>2472</v>
      </c>
      <c r="N208" t="s">
        <v>2473</v>
      </c>
      <c r="O208" t="s">
        <v>2202</v>
      </c>
      <c r="P208" t="s">
        <v>2474</v>
      </c>
      <c r="Q208" t="s">
        <v>2475</v>
      </c>
      <c r="R208" t="s">
        <v>2476</v>
      </c>
      <c r="S208" s="2">
        <v>43728</v>
      </c>
      <c r="T208" t="s">
        <v>2477</v>
      </c>
      <c r="U208" t="s">
        <v>2478</v>
      </c>
      <c r="V208">
        <v>0</v>
      </c>
      <c r="W208">
        <v>11</v>
      </c>
      <c r="X208">
        <v>191399</v>
      </c>
      <c r="Y208" t="s">
        <v>752</v>
      </c>
      <c r="Z208" t="s">
        <v>2475</v>
      </c>
      <c r="AA208" t="s">
        <v>2208</v>
      </c>
      <c r="AB208" t="s">
        <v>45</v>
      </c>
      <c r="AC208" t="s">
        <v>2209</v>
      </c>
    </row>
    <row r="209" spans="1:29">
      <c r="A209" t="s">
        <v>606</v>
      </c>
      <c r="B209" t="s">
        <v>2479</v>
      </c>
      <c r="C209" t="s">
        <v>1422</v>
      </c>
      <c r="D209" t="s">
        <v>1851</v>
      </c>
      <c r="E209" s="1">
        <v>-6071</v>
      </c>
      <c r="F209" t="s">
        <v>1211</v>
      </c>
      <c r="G209" t="s">
        <v>1596</v>
      </c>
      <c r="H209" t="s">
        <v>1909</v>
      </c>
      <c r="I209">
        <v>4</v>
      </c>
      <c r="J209" t="s">
        <v>1082</v>
      </c>
      <c r="K209">
        <v>77</v>
      </c>
      <c r="L209" t="s">
        <v>2480</v>
      </c>
      <c r="M209" t="s">
        <v>2481</v>
      </c>
      <c r="N209" t="s">
        <v>2430</v>
      </c>
      <c r="O209" t="s">
        <v>2202</v>
      </c>
      <c r="P209" t="s">
        <v>2482</v>
      </c>
      <c r="Q209" t="s">
        <v>2483</v>
      </c>
      <c r="R209" t="s">
        <v>2484</v>
      </c>
      <c r="S209" s="2">
        <v>43434</v>
      </c>
      <c r="T209" t="s">
        <v>2485</v>
      </c>
      <c r="U209" t="s">
        <v>2435</v>
      </c>
      <c r="V209">
        <v>0</v>
      </c>
      <c r="W209">
        <v>10</v>
      </c>
      <c r="X209">
        <v>154024</v>
      </c>
      <c r="Y209" t="s">
        <v>2486</v>
      </c>
      <c r="Z209" t="s">
        <v>2483</v>
      </c>
      <c r="AA209" t="s">
        <v>2208</v>
      </c>
      <c r="AB209" t="s">
        <v>45</v>
      </c>
      <c r="AC209" t="s">
        <v>2209</v>
      </c>
    </row>
    <row r="210" spans="1:29">
      <c r="A210" t="s">
        <v>1396</v>
      </c>
      <c r="B210" s="1">
        <v>149012</v>
      </c>
      <c r="C210" t="s">
        <v>121</v>
      </c>
      <c r="D210" t="s">
        <v>1851</v>
      </c>
      <c r="E210" s="1">
        <v>-5186</v>
      </c>
      <c r="F210" t="s">
        <v>1812</v>
      </c>
      <c r="G210" t="s">
        <v>2487</v>
      </c>
      <c r="H210" t="s">
        <v>2376</v>
      </c>
      <c r="I210">
        <v>4</v>
      </c>
      <c r="J210" t="s">
        <v>2488</v>
      </c>
      <c r="K210">
        <v>73</v>
      </c>
      <c r="L210" t="s">
        <v>2489</v>
      </c>
      <c r="M210" t="s">
        <v>2490</v>
      </c>
      <c r="N210" t="s">
        <v>2491</v>
      </c>
      <c r="O210" t="s">
        <v>2202</v>
      </c>
      <c r="P210" t="s">
        <v>2492</v>
      </c>
      <c r="Q210" t="s">
        <v>2493</v>
      </c>
      <c r="R210" t="s">
        <v>2494</v>
      </c>
      <c r="S210" s="2">
        <v>44505</v>
      </c>
      <c r="T210" t="s">
        <v>2495</v>
      </c>
      <c r="U210" t="s">
        <v>2496</v>
      </c>
      <c r="V210">
        <v>0</v>
      </c>
      <c r="W210">
        <v>7</v>
      </c>
      <c r="X210">
        <v>143480</v>
      </c>
      <c r="Y210" t="s">
        <v>2497</v>
      </c>
      <c r="Z210" t="s">
        <v>2493</v>
      </c>
      <c r="AA210" t="s">
        <v>2208</v>
      </c>
      <c r="AB210" t="s">
        <v>45</v>
      </c>
      <c r="AC210" t="s">
        <v>2209</v>
      </c>
    </row>
    <row r="211" spans="1:29">
      <c r="A211" t="s">
        <v>1479</v>
      </c>
      <c r="B211" s="1">
        <v>134093</v>
      </c>
      <c r="C211" t="s">
        <v>605</v>
      </c>
      <c r="D211" t="s">
        <v>1851</v>
      </c>
      <c r="E211" s="1">
        <v>-5453</v>
      </c>
      <c r="F211" t="s">
        <v>2498</v>
      </c>
      <c r="G211" t="s">
        <v>1347</v>
      </c>
      <c r="H211" t="s">
        <v>2499</v>
      </c>
      <c r="I211">
        <v>4</v>
      </c>
      <c r="J211" t="s">
        <v>2500</v>
      </c>
      <c r="K211">
        <v>79</v>
      </c>
      <c r="L211" t="s">
        <v>2501</v>
      </c>
      <c r="M211" t="s">
        <v>2502</v>
      </c>
      <c r="N211" t="s">
        <v>2503</v>
      </c>
      <c r="O211" t="s">
        <v>2202</v>
      </c>
      <c r="P211" t="s">
        <v>2504</v>
      </c>
      <c r="Q211" t="s">
        <v>2505</v>
      </c>
      <c r="R211" t="s">
        <v>2506</v>
      </c>
      <c r="S211" s="2">
        <v>44449</v>
      </c>
      <c r="T211">
        <v>0</v>
      </c>
      <c r="U211" t="s">
        <v>2507</v>
      </c>
      <c r="V211">
        <v>1</v>
      </c>
      <c r="W211">
        <v>1</v>
      </c>
      <c r="X211">
        <v>252262</v>
      </c>
      <c r="Y211" t="s">
        <v>2508</v>
      </c>
      <c r="Z211" t="s">
        <v>2505</v>
      </c>
      <c r="AA211" t="s">
        <v>2208</v>
      </c>
      <c r="AB211" t="s">
        <v>45</v>
      </c>
      <c r="AC211" t="s">
        <v>2209</v>
      </c>
    </row>
    <row r="212" spans="1:29">
      <c r="A212" t="s">
        <v>2262</v>
      </c>
      <c r="B212" s="1">
        <v>130029</v>
      </c>
      <c r="C212" t="s">
        <v>2509</v>
      </c>
      <c r="D212" t="s">
        <v>1851</v>
      </c>
      <c r="E212" s="1">
        <v>-6439</v>
      </c>
      <c r="F212" t="s">
        <v>486</v>
      </c>
      <c r="G212" t="s">
        <v>2392</v>
      </c>
      <c r="H212" t="s">
        <v>2391</v>
      </c>
      <c r="I212">
        <v>4</v>
      </c>
      <c r="J212" t="s">
        <v>2510</v>
      </c>
      <c r="K212">
        <v>80</v>
      </c>
      <c r="L212" t="s">
        <v>2511</v>
      </c>
      <c r="M212" t="s">
        <v>2512</v>
      </c>
      <c r="N212" t="s">
        <v>2395</v>
      </c>
      <c r="O212" t="s">
        <v>2202</v>
      </c>
      <c r="P212" t="s">
        <v>2513</v>
      </c>
      <c r="Q212" t="s">
        <v>2514</v>
      </c>
      <c r="R212" t="s">
        <v>2515</v>
      </c>
      <c r="S212" s="2">
        <v>44106</v>
      </c>
      <c r="T212" t="s">
        <v>2516</v>
      </c>
      <c r="U212" t="s">
        <v>2399</v>
      </c>
      <c r="V212">
        <v>0</v>
      </c>
      <c r="W212">
        <v>10</v>
      </c>
      <c r="X212">
        <v>193591</v>
      </c>
      <c r="Y212" t="s">
        <v>681</v>
      </c>
      <c r="Z212" t="s">
        <v>2514</v>
      </c>
      <c r="AA212" t="s">
        <v>2208</v>
      </c>
      <c r="AB212" t="s">
        <v>45</v>
      </c>
      <c r="AC212" t="s">
        <v>2209</v>
      </c>
    </row>
    <row r="213" spans="1:29">
      <c r="A213" t="s">
        <v>2517</v>
      </c>
      <c r="B213" s="1">
        <v>143029</v>
      </c>
      <c r="C213" t="s">
        <v>2518</v>
      </c>
      <c r="D213" t="s">
        <v>1851</v>
      </c>
      <c r="E213" s="1">
        <v>-8618</v>
      </c>
      <c r="F213" t="s">
        <v>2519</v>
      </c>
      <c r="G213" t="s">
        <v>2520</v>
      </c>
      <c r="H213" t="s">
        <v>2521</v>
      </c>
      <c r="I213">
        <v>4</v>
      </c>
      <c r="J213" t="s">
        <v>1896</v>
      </c>
      <c r="K213">
        <v>68</v>
      </c>
      <c r="L213" t="s">
        <v>2522</v>
      </c>
      <c r="M213" t="s">
        <v>2523</v>
      </c>
      <c r="N213" t="s">
        <v>2524</v>
      </c>
      <c r="O213" t="s">
        <v>2202</v>
      </c>
      <c r="P213" t="s">
        <v>2525</v>
      </c>
      <c r="Q213" t="s">
        <v>2526</v>
      </c>
      <c r="R213" t="s">
        <v>2527</v>
      </c>
      <c r="S213" s="2">
        <v>43959</v>
      </c>
      <c r="T213">
        <v>0</v>
      </c>
      <c r="U213" t="s">
        <v>2528</v>
      </c>
      <c r="V213">
        <v>0</v>
      </c>
      <c r="W213">
        <v>8</v>
      </c>
      <c r="X213">
        <v>169532</v>
      </c>
      <c r="Y213" t="s">
        <v>2031</v>
      </c>
      <c r="Z213" t="s">
        <v>2526</v>
      </c>
      <c r="AA213" t="s">
        <v>2208</v>
      </c>
      <c r="AB213" t="s">
        <v>45</v>
      </c>
      <c r="AC213" t="s">
        <v>2209</v>
      </c>
    </row>
    <row r="214" spans="1:29">
      <c r="A214" t="s">
        <v>1467</v>
      </c>
      <c r="B214" s="1">
        <v>120031</v>
      </c>
      <c r="C214" t="s">
        <v>2529</v>
      </c>
      <c r="D214" t="s">
        <v>1851</v>
      </c>
      <c r="E214" s="1">
        <v>-6091</v>
      </c>
      <c r="F214" t="s">
        <v>1528</v>
      </c>
      <c r="G214" t="s">
        <v>1394</v>
      </c>
      <c r="H214" t="s">
        <v>2530</v>
      </c>
      <c r="I214">
        <v>4</v>
      </c>
      <c r="J214" t="s">
        <v>1200</v>
      </c>
      <c r="K214">
        <v>71</v>
      </c>
      <c r="L214" t="s">
        <v>2531</v>
      </c>
      <c r="M214" t="s">
        <v>2532</v>
      </c>
      <c r="N214" t="s">
        <v>2533</v>
      </c>
      <c r="O214" t="s">
        <v>2202</v>
      </c>
      <c r="P214" t="s">
        <v>2534</v>
      </c>
      <c r="Q214" t="s">
        <v>2535</v>
      </c>
      <c r="R214" t="s">
        <v>2536</v>
      </c>
      <c r="S214" s="2">
        <v>44288</v>
      </c>
      <c r="T214">
        <v>0</v>
      </c>
      <c r="U214" t="s">
        <v>2537</v>
      </c>
      <c r="V214">
        <v>1</v>
      </c>
      <c r="W214">
        <v>6</v>
      </c>
      <c r="X214">
        <v>232048</v>
      </c>
      <c r="Y214" t="s">
        <v>2390</v>
      </c>
      <c r="Z214" t="s">
        <v>2535</v>
      </c>
      <c r="AA214" t="s">
        <v>2208</v>
      </c>
      <c r="AB214" t="s">
        <v>45</v>
      </c>
      <c r="AC214" t="s">
        <v>2209</v>
      </c>
    </row>
    <row r="215" spans="1:29">
      <c r="A215" t="s">
        <v>291</v>
      </c>
      <c r="B215" s="1">
        <v>150062</v>
      </c>
      <c r="C215" t="s">
        <v>2538</v>
      </c>
      <c r="D215" t="s">
        <v>1851</v>
      </c>
      <c r="E215" s="1">
        <v>-4053</v>
      </c>
      <c r="F215" t="s">
        <v>1596</v>
      </c>
      <c r="G215" t="s">
        <v>2539</v>
      </c>
      <c r="H215" t="s">
        <v>2540</v>
      </c>
      <c r="I215">
        <v>4</v>
      </c>
      <c r="J215" t="s">
        <v>2060</v>
      </c>
      <c r="K215">
        <v>70</v>
      </c>
      <c r="L215" t="s">
        <v>2541</v>
      </c>
      <c r="M215" t="s">
        <v>2542</v>
      </c>
      <c r="N215" t="s">
        <v>2543</v>
      </c>
      <c r="O215" t="s">
        <v>2202</v>
      </c>
      <c r="P215" t="s">
        <v>2544</v>
      </c>
      <c r="Q215" t="s">
        <v>2545</v>
      </c>
      <c r="R215" t="s">
        <v>2546</v>
      </c>
      <c r="S215" s="2">
        <v>44316</v>
      </c>
      <c r="T215">
        <v>0</v>
      </c>
      <c r="U215" t="s">
        <v>2547</v>
      </c>
      <c r="V215">
        <v>1</v>
      </c>
      <c r="W215">
        <v>2</v>
      </c>
      <c r="X215">
        <v>236524</v>
      </c>
      <c r="Y215" t="s">
        <v>2548</v>
      </c>
      <c r="Z215" t="s">
        <v>2545</v>
      </c>
      <c r="AA215" t="s">
        <v>2208</v>
      </c>
      <c r="AB215" t="s">
        <v>45</v>
      </c>
      <c r="AC215" t="s">
        <v>2209</v>
      </c>
    </row>
    <row r="216" spans="1:29">
      <c r="A216" t="s">
        <v>131</v>
      </c>
      <c r="B216" s="1">
        <v>137027</v>
      </c>
      <c r="C216" t="s">
        <v>1938</v>
      </c>
      <c r="D216" t="s">
        <v>1851</v>
      </c>
      <c r="E216" t="s">
        <v>2549</v>
      </c>
      <c r="F216" t="s">
        <v>2550</v>
      </c>
      <c r="G216" t="s">
        <v>1251</v>
      </c>
      <c r="H216" t="s">
        <v>1940</v>
      </c>
      <c r="I216">
        <v>4</v>
      </c>
      <c r="J216" t="s">
        <v>476</v>
      </c>
      <c r="K216">
        <v>68</v>
      </c>
      <c r="L216" t="s">
        <v>2551</v>
      </c>
      <c r="M216" t="s">
        <v>2552</v>
      </c>
      <c r="N216" t="s">
        <v>2460</v>
      </c>
      <c r="O216" t="s">
        <v>2202</v>
      </c>
      <c r="P216" t="s">
        <v>2553</v>
      </c>
      <c r="Q216" t="s">
        <v>2554</v>
      </c>
      <c r="R216" t="s">
        <v>2555</v>
      </c>
      <c r="S216" s="2">
        <v>44729</v>
      </c>
      <c r="T216" t="s">
        <v>1263</v>
      </c>
      <c r="U216" t="s">
        <v>2465</v>
      </c>
      <c r="V216">
        <v>1</v>
      </c>
      <c r="W216">
        <v>6</v>
      </c>
      <c r="X216">
        <v>243228</v>
      </c>
      <c r="Y216" t="s">
        <v>2556</v>
      </c>
      <c r="Z216" t="s">
        <v>2554</v>
      </c>
      <c r="AA216" t="s">
        <v>2208</v>
      </c>
      <c r="AB216" t="s">
        <v>45</v>
      </c>
      <c r="AC216" t="s">
        <v>2209</v>
      </c>
    </row>
    <row r="217" spans="1:29">
      <c r="A217" t="s">
        <v>2557</v>
      </c>
      <c r="B217" s="1">
        <v>150062</v>
      </c>
      <c r="C217" t="s">
        <v>347</v>
      </c>
      <c r="D217" t="s">
        <v>1851</v>
      </c>
      <c r="E217" s="1">
        <v>-8795</v>
      </c>
      <c r="F217" t="s">
        <v>2558</v>
      </c>
      <c r="G217" t="s">
        <v>568</v>
      </c>
      <c r="H217" t="s">
        <v>1883</v>
      </c>
      <c r="I217">
        <v>4</v>
      </c>
      <c r="J217" t="s">
        <v>2559</v>
      </c>
      <c r="K217">
        <v>81</v>
      </c>
      <c r="L217" t="s">
        <v>2560</v>
      </c>
      <c r="M217" t="s">
        <v>2561</v>
      </c>
      <c r="N217" t="s">
        <v>2562</v>
      </c>
      <c r="O217" t="s">
        <v>2202</v>
      </c>
      <c r="P217" t="s">
        <v>2563</v>
      </c>
      <c r="Q217" t="s">
        <v>2564</v>
      </c>
      <c r="R217" t="s">
        <v>2565</v>
      </c>
      <c r="S217" s="2">
        <v>42916</v>
      </c>
      <c r="T217" t="s">
        <v>2566</v>
      </c>
      <c r="U217" t="s">
        <v>2567</v>
      </c>
      <c r="V217">
        <v>1</v>
      </c>
      <c r="W217">
        <v>2</v>
      </c>
      <c r="X217">
        <v>204600</v>
      </c>
      <c r="Y217" t="s">
        <v>2568</v>
      </c>
      <c r="Z217" t="s">
        <v>2564</v>
      </c>
      <c r="AA217" t="s">
        <v>2208</v>
      </c>
      <c r="AB217" t="s">
        <v>45</v>
      </c>
      <c r="AC217" t="s">
        <v>2209</v>
      </c>
    </row>
    <row r="218" spans="1:29">
      <c r="A218" t="s">
        <v>1025</v>
      </c>
      <c r="B218" s="1">
        <v>77972</v>
      </c>
      <c r="C218" t="s">
        <v>2569</v>
      </c>
      <c r="D218" t="s">
        <v>1851</v>
      </c>
      <c r="E218" s="1">
        <v>-6295</v>
      </c>
      <c r="F218" t="s">
        <v>2001</v>
      </c>
      <c r="G218" t="s">
        <v>2570</v>
      </c>
      <c r="H218" t="s">
        <v>1909</v>
      </c>
      <c r="I218">
        <v>4</v>
      </c>
      <c r="J218" t="s">
        <v>2571</v>
      </c>
      <c r="K218">
        <v>70</v>
      </c>
      <c r="L218" t="s">
        <v>2572</v>
      </c>
      <c r="M218" t="s">
        <v>2573</v>
      </c>
      <c r="N218" t="s">
        <v>2574</v>
      </c>
      <c r="O218" t="s">
        <v>2202</v>
      </c>
      <c r="P218" t="s">
        <v>2575</v>
      </c>
      <c r="Q218" t="s">
        <v>2576</v>
      </c>
      <c r="R218" t="s">
        <v>2574</v>
      </c>
      <c r="S218" s="2">
        <v>44169</v>
      </c>
      <c r="T218">
        <v>0</v>
      </c>
      <c r="U218" t="s">
        <v>2577</v>
      </c>
      <c r="V218">
        <v>0</v>
      </c>
      <c r="W218">
        <v>6</v>
      </c>
      <c r="X218">
        <v>135960</v>
      </c>
      <c r="Y218" t="s">
        <v>2578</v>
      </c>
      <c r="Z218" t="s">
        <v>2576</v>
      </c>
      <c r="AA218" t="s">
        <v>2208</v>
      </c>
      <c r="AB218" t="s">
        <v>45</v>
      </c>
      <c r="AC218" t="s">
        <v>2209</v>
      </c>
    </row>
    <row r="219" spans="1:29">
      <c r="A219" t="s">
        <v>77</v>
      </c>
      <c r="B219" s="1">
        <v>139956</v>
      </c>
      <c r="C219" t="s">
        <v>2579</v>
      </c>
      <c r="D219" t="s">
        <v>1851</v>
      </c>
      <c r="E219" s="1">
        <v>-5527</v>
      </c>
      <c r="F219" t="s">
        <v>1483</v>
      </c>
      <c r="G219" t="s">
        <v>2229</v>
      </c>
      <c r="H219" t="s">
        <v>596</v>
      </c>
      <c r="I219">
        <v>4</v>
      </c>
      <c r="J219" t="s">
        <v>2580</v>
      </c>
      <c r="K219">
        <v>75</v>
      </c>
      <c r="L219" t="s">
        <v>2581</v>
      </c>
      <c r="M219" t="s">
        <v>2582</v>
      </c>
      <c r="N219" t="s">
        <v>2583</v>
      </c>
      <c r="O219" t="s">
        <v>2202</v>
      </c>
      <c r="P219" t="s">
        <v>2584</v>
      </c>
      <c r="Q219" t="s">
        <v>2585</v>
      </c>
      <c r="R219" t="s">
        <v>2586</v>
      </c>
      <c r="S219" s="2">
        <v>44694</v>
      </c>
      <c r="T219" t="s">
        <v>2587</v>
      </c>
      <c r="U219" t="s">
        <v>2588</v>
      </c>
      <c r="V219">
        <v>1</v>
      </c>
      <c r="W219">
        <v>1</v>
      </c>
      <c r="X219">
        <v>195950</v>
      </c>
      <c r="Y219" t="s">
        <v>2589</v>
      </c>
      <c r="Z219" t="s">
        <v>2585</v>
      </c>
      <c r="AA219" t="s">
        <v>2208</v>
      </c>
      <c r="AB219" t="s">
        <v>45</v>
      </c>
      <c r="AC219" t="s">
        <v>2209</v>
      </c>
    </row>
    <row r="220" spans="1:29">
      <c r="A220" t="s">
        <v>2262</v>
      </c>
      <c r="B220" s="1">
        <v>97974</v>
      </c>
      <c r="C220" t="s">
        <v>2590</v>
      </c>
      <c r="D220" t="s">
        <v>1851</v>
      </c>
      <c r="E220" s="1">
        <v>-5625</v>
      </c>
      <c r="F220" t="s">
        <v>757</v>
      </c>
      <c r="G220" t="s">
        <v>391</v>
      </c>
      <c r="H220" t="s">
        <v>2591</v>
      </c>
      <c r="I220">
        <v>4</v>
      </c>
      <c r="J220" t="s">
        <v>2592</v>
      </c>
      <c r="K220">
        <v>75</v>
      </c>
      <c r="L220" t="s">
        <v>2593</v>
      </c>
      <c r="M220" t="s">
        <v>2594</v>
      </c>
      <c r="N220" t="s">
        <v>2395</v>
      </c>
      <c r="O220" t="s">
        <v>2202</v>
      </c>
      <c r="P220" t="s">
        <v>2595</v>
      </c>
      <c r="Q220" t="s">
        <v>2596</v>
      </c>
      <c r="R220" t="s">
        <v>2597</v>
      </c>
      <c r="S220" s="2">
        <v>44106</v>
      </c>
      <c r="T220">
        <v>0</v>
      </c>
      <c r="U220" t="s">
        <v>2399</v>
      </c>
      <c r="V220">
        <v>0</v>
      </c>
      <c r="W220">
        <v>1</v>
      </c>
      <c r="X220">
        <v>190331</v>
      </c>
      <c r="Y220" t="s">
        <v>1264</v>
      </c>
      <c r="Z220" t="s">
        <v>2596</v>
      </c>
      <c r="AA220" t="s">
        <v>2208</v>
      </c>
      <c r="AB220" t="s">
        <v>45</v>
      </c>
      <c r="AC220" t="s">
        <v>2209</v>
      </c>
    </row>
    <row r="221" spans="1:29">
      <c r="A221" t="s">
        <v>2598</v>
      </c>
      <c r="B221" s="1">
        <v>75965</v>
      </c>
      <c r="C221" t="s">
        <v>1552</v>
      </c>
      <c r="D221" t="s">
        <v>1851</v>
      </c>
      <c r="E221" s="1">
        <v>-7126</v>
      </c>
      <c r="F221" t="s">
        <v>1096</v>
      </c>
      <c r="G221" t="s">
        <v>1760</v>
      </c>
      <c r="H221" t="s">
        <v>2599</v>
      </c>
      <c r="I221">
        <v>4</v>
      </c>
      <c r="J221" t="s">
        <v>1666</v>
      </c>
      <c r="K221">
        <v>78</v>
      </c>
      <c r="L221" t="s">
        <v>2600</v>
      </c>
      <c r="M221" t="s">
        <v>2601</v>
      </c>
      <c r="N221" t="s">
        <v>2602</v>
      </c>
      <c r="O221" t="s">
        <v>2202</v>
      </c>
      <c r="P221" t="s">
        <v>2603</v>
      </c>
      <c r="Q221" t="s">
        <v>2604</v>
      </c>
      <c r="R221" t="s">
        <v>2605</v>
      </c>
      <c r="S221" s="2">
        <v>44865</v>
      </c>
      <c r="T221">
        <v>0</v>
      </c>
      <c r="U221" t="s">
        <v>2606</v>
      </c>
      <c r="V221">
        <v>0</v>
      </c>
      <c r="W221">
        <v>7</v>
      </c>
      <c r="X221">
        <v>229938</v>
      </c>
      <c r="Y221" t="s">
        <v>264</v>
      </c>
      <c r="Z221" t="s">
        <v>2604</v>
      </c>
      <c r="AA221" t="s">
        <v>2208</v>
      </c>
      <c r="AB221" t="s">
        <v>45</v>
      </c>
      <c r="AC221" t="s">
        <v>2209</v>
      </c>
    </row>
    <row r="222" spans="1:29">
      <c r="A222" t="s">
        <v>2557</v>
      </c>
      <c r="B222" s="1">
        <v>150062</v>
      </c>
      <c r="C222" t="s">
        <v>347</v>
      </c>
      <c r="D222" t="s">
        <v>1851</v>
      </c>
      <c r="E222" s="1">
        <v>-8795</v>
      </c>
      <c r="F222" t="s">
        <v>2558</v>
      </c>
      <c r="G222" t="s">
        <v>568</v>
      </c>
      <c r="H222" t="s">
        <v>1883</v>
      </c>
      <c r="I222">
        <v>4</v>
      </c>
      <c r="J222" t="s">
        <v>2559</v>
      </c>
      <c r="K222">
        <v>81</v>
      </c>
      <c r="L222" t="s">
        <v>2560</v>
      </c>
      <c r="M222" t="s">
        <v>2561</v>
      </c>
      <c r="N222" t="s">
        <v>2562</v>
      </c>
      <c r="O222" t="s">
        <v>2607</v>
      </c>
      <c r="P222" t="s">
        <v>2563</v>
      </c>
      <c r="Q222" t="s">
        <v>2564</v>
      </c>
      <c r="R222" t="s">
        <v>2565</v>
      </c>
      <c r="S222" s="2">
        <v>42916</v>
      </c>
      <c r="T222" t="s">
        <v>2566</v>
      </c>
      <c r="U222" t="s">
        <v>2567</v>
      </c>
      <c r="V222">
        <v>1</v>
      </c>
      <c r="W222">
        <v>2</v>
      </c>
      <c r="X222">
        <v>204600</v>
      </c>
      <c r="Y222" t="s">
        <v>2568</v>
      </c>
      <c r="Z222" t="s">
        <v>2564</v>
      </c>
      <c r="AA222" t="s">
        <v>2608</v>
      </c>
      <c r="AB222" t="s">
        <v>45</v>
      </c>
      <c r="AC222" t="s">
        <v>2609</v>
      </c>
    </row>
    <row r="223" spans="1:29">
      <c r="A223" t="s">
        <v>2610</v>
      </c>
      <c r="B223" s="1">
        <v>94329</v>
      </c>
      <c r="C223" t="s">
        <v>1431</v>
      </c>
      <c r="D223" t="s">
        <v>1851</v>
      </c>
      <c r="E223" s="1">
        <v>-3885</v>
      </c>
      <c r="F223" t="s">
        <v>757</v>
      </c>
      <c r="G223" t="s">
        <v>2611</v>
      </c>
      <c r="H223" t="s">
        <v>2612</v>
      </c>
      <c r="I223">
        <v>4</v>
      </c>
      <c r="J223" t="s">
        <v>2613</v>
      </c>
      <c r="K223">
        <v>75</v>
      </c>
      <c r="L223" t="s">
        <v>2614</v>
      </c>
      <c r="M223" t="s">
        <v>2615</v>
      </c>
      <c r="N223">
        <v>333</v>
      </c>
      <c r="O223" t="s">
        <v>2607</v>
      </c>
      <c r="P223" t="s">
        <v>2616</v>
      </c>
      <c r="Q223" t="s">
        <v>2617</v>
      </c>
      <c r="R223" t="s">
        <v>2618</v>
      </c>
      <c r="S223" s="2">
        <v>45544</v>
      </c>
      <c r="T223">
        <v>0</v>
      </c>
      <c r="U223" t="s">
        <v>2619</v>
      </c>
      <c r="V223">
        <v>1</v>
      </c>
      <c r="W223">
        <v>1</v>
      </c>
      <c r="X223">
        <v>155368</v>
      </c>
      <c r="Y223" t="s">
        <v>2620</v>
      </c>
      <c r="Z223" t="s">
        <v>2617</v>
      </c>
      <c r="AA223" t="s">
        <v>2608</v>
      </c>
      <c r="AB223" t="s">
        <v>45</v>
      </c>
      <c r="AC223" t="s">
        <v>2609</v>
      </c>
    </row>
    <row r="224" spans="1:29">
      <c r="A224" t="s">
        <v>2365</v>
      </c>
      <c r="B224" s="1">
        <v>119957</v>
      </c>
      <c r="C224" t="s">
        <v>2621</v>
      </c>
      <c r="D224" t="s">
        <v>1851</v>
      </c>
      <c r="E224" s="1">
        <v>-9309</v>
      </c>
      <c r="F224" t="s">
        <v>1596</v>
      </c>
      <c r="G224" t="s">
        <v>239</v>
      </c>
      <c r="H224" t="s">
        <v>2622</v>
      </c>
      <c r="I224">
        <v>4</v>
      </c>
      <c r="J224" t="s">
        <v>278</v>
      </c>
      <c r="K224">
        <v>75</v>
      </c>
      <c r="L224" t="s">
        <v>2623</v>
      </c>
      <c r="M224" t="s">
        <v>2624</v>
      </c>
      <c r="N224" t="s">
        <v>2625</v>
      </c>
      <c r="O224" t="s">
        <v>2607</v>
      </c>
      <c r="P224" t="s">
        <v>2626</v>
      </c>
      <c r="Q224" t="s">
        <v>2627</v>
      </c>
      <c r="R224" t="s">
        <v>2628</v>
      </c>
      <c r="S224" s="2">
        <v>43238</v>
      </c>
      <c r="T224">
        <v>0</v>
      </c>
      <c r="U224" t="s">
        <v>2629</v>
      </c>
      <c r="V224">
        <v>0</v>
      </c>
      <c r="W224">
        <v>5</v>
      </c>
      <c r="X224">
        <v>142273</v>
      </c>
      <c r="Y224" t="s">
        <v>2630</v>
      </c>
      <c r="Z224" t="s">
        <v>2627</v>
      </c>
      <c r="AA224" t="s">
        <v>2608</v>
      </c>
      <c r="AB224" t="s">
        <v>45</v>
      </c>
      <c r="AC224" t="s">
        <v>2609</v>
      </c>
    </row>
    <row r="225" spans="1:29">
      <c r="A225" t="s">
        <v>1287</v>
      </c>
      <c r="B225" s="1">
        <v>148107</v>
      </c>
      <c r="C225" t="s">
        <v>2631</v>
      </c>
      <c r="D225" t="s">
        <v>1851</v>
      </c>
      <c r="E225" s="1">
        <v>-5617</v>
      </c>
      <c r="F225" t="s">
        <v>1951</v>
      </c>
      <c r="G225" t="s">
        <v>134</v>
      </c>
      <c r="H225" t="s">
        <v>2632</v>
      </c>
      <c r="I225">
        <v>4</v>
      </c>
      <c r="J225" t="s">
        <v>1864</v>
      </c>
      <c r="K225">
        <v>72</v>
      </c>
      <c r="L225" t="s">
        <v>2633</v>
      </c>
      <c r="M225" t="s">
        <v>2634</v>
      </c>
      <c r="N225" t="s">
        <v>2635</v>
      </c>
      <c r="O225" t="s">
        <v>2607</v>
      </c>
      <c r="P225" t="s">
        <v>2636</v>
      </c>
      <c r="Q225" t="s">
        <v>2637</v>
      </c>
      <c r="R225" t="s">
        <v>2638</v>
      </c>
      <c r="S225" s="2">
        <v>45596</v>
      </c>
      <c r="T225">
        <v>0</v>
      </c>
      <c r="U225" t="s">
        <v>2639</v>
      </c>
      <c r="V225">
        <v>1</v>
      </c>
      <c r="W225">
        <v>1</v>
      </c>
      <c r="X225">
        <v>206031</v>
      </c>
      <c r="Y225" t="s">
        <v>2640</v>
      </c>
      <c r="Z225" t="s">
        <v>2637</v>
      </c>
      <c r="AA225" t="s">
        <v>2608</v>
      </c>
      <c r="AB225" t="s">
        <v>45</v>
      </c>
      <c r="AC225" t="s">
        <v>2609</v>
      </c>
    </row>
    <row r="226" spans="1:29">
      <c r="A226" t="s">
        <v>2641</v>
      </c>
      <c r="B226" t="s">
        <v>2642</v>
      </c>
      <c r="C226" t="s">
        <v>2529</v>
      </c>
      <c r="D226" t="s">
        <v>1851</v>
      </c>
      <c r="E226" s="1">
        <v>-4709</v>
      </c>
      <c r="F226" t="s">
        <v>1619</v>
      </c>
      <c r="G226" t="s">
        <v>916</v>
      </c>
      <c r="H226" t="s">
        <v>2643</v>
      </c>
      <c r="I226">
        <v>4</v>
      </c>
      <c r="J226" t="s">
        <v>351</v>
      </c>
      <c r="K226">
        <v>68</v>
      </c>
      <c r="L226" t="s">
        <v>2644</v>
      </c>
      <c r="M226" t="s">
        <v>2645</v>
      </c>
      <c r="N226" t="s">
        <v>2646</v>
      </c>
      <c r="O226" t="s">
        <v>2607</v>
      </c>
      <c r="P226" t="s">
        <v>2647</v>
      </c>
      <c r="Q226" t="s">
        <v>2648</v>
      </c>
      <c r="R226" t="s">
        <v>2646</v>
      </c>
      <c r="S226" s="2">
        <v>44216</v>
      </c>
      <c r="T226">
        <v>0</v>
      </c>
      <c r="U226" t="s">
        <v>2649</v>
      </c>
      <c r="V226">
        <v>0</v>
      </c>
      <c r="W226">
        <v>8</v>
      </c>
      <c r="X226">
        <v>170000</v>
      </c>
      <c r="Y226" t="s">
        <v>2650</v>
      </c>
      <c r="Z226" t="s">
        <v>2648</v>
      </c>
      <c r="AA226" t="s">
        <v>2608</v>
      </c>
      <c r="AB226" t="s">
        <v>45</v>
      </c>
      <c r="AC226" t="s">
        <v>2609</v>
      </c>
    </row>
    <row r="227" spans="1:29">
      <c r="A227" t="s">
        <v>2240</v>
      </c>
      <c r="B227" s="1">
        <v>129902</v>
      </c>
      <c r="C227" t="s">
        <v>2651</v>
      </c>
      <c r="D227" t="s">
        <v>1851</v>
      </c>
      <c r="E227" s="1">
        <v>-4883</v>
      </c>
      <c r="F227" t="s">
        <v>49</v>
      </c>
      <c r="G227" t="s">
        <v>135</v>
      </c>
      <c r="H227" t="s">
        <v>2652</v>
      </c>
      <c r="I227">
        <v>4</v>
      </c>
      <c r="J227" t="s">
        <v>160</v>
      </c>
      <c r="K227">
        <v>70</v>
      </c>
      <c r="L227" t="s">
        <v>2653</v>
      </c>
      <c r="M227" t="s">
        <v>2654</v>
      </c>
      <c r="N227" t="s">
        <v>2655</v>
      </c>
      <c r="O227" t="s">
        <v>2607</v>
      </c>
      <c r="P227" t="s">
        <v>2656</v>
      </c>
      <c r="Q227" t="s">
        <v>2657</v>
      </c>
      <c r="R227" t="s">
        <v>2658</v>
      </c>
      <c r="S227" s="2">
        <v>42650</v>
      </c>
      <c r="T227">
        <v>0</v>
      </c>
      <c r="U227" t="s">
        <v>2659</v>
      </c>
      <c r="V227">
        <v>1</v>
      </c>
      <c r="W227">
        <v>8</v>
      </c>
      <c r="X227">
        <v>213613</v>
      </c>
      <c r="Y227" t="s">
        <v>2660</v>
      </c>
      <c r="Z227" t="s">
        <v>2657</v>
      </c>
      <c r="AA227" t="s">
        <v>2608</v>
      </c>
      <c r="AB227" t="s">
        <v>45</v>
      </c>
      <c r="AC227" t="s">
        <v>2609</v>
      </c>
    </row>
    <row r="228" spans="1:29">
      <c r="A228" t="s">
        <v>799</v>
      </c>
      <c r="B228" s="1">
        <v>131964</v>
      </c>
      <c r="C228" t="s">
        <v>2241</v>
      </c>
      <c r="D228" t="s">
        <v>1851</v>
      </c>
      <c r="E228" s="1">
        <v>-8194</v>
      </c>
      <c r="F228" t="s">
        <v>160</v>
      </c>
      <c r="G228" t="s">
        <v>2314</v>
      </c>
      <c r="H228" t="s">
        <v>2315</v>
      </c>
      <c r="I228">
        <v>4</v>
      </c>
      <c r="J228" t="s">
        <v>2316</v>
      </c>
      <c r="K228">
        <v>77</v>
      </c>
      <c r="L228" t="s">
        <v>2317</v>
      </c>
      <c r="M228" t="s">
        <v>2318</v>
      </c>
      <c r="N228" t="s">
        <v>2319</v>
      </c>
      <c r="O228" t="s">
        <v>2607</v>
      </c>
      <c r="P228" t="s">
        <v>2320</v>
      </c>
      <c r="Q228" t="s">
        <v>2321</v>
      </c>
      <c r="R228" t="s">
        <v>2322</v>
      </c>
      <c r="S228" s="2">
        <v>40909</v>
      </c>
      <c r="T228">
        <v>0</v>
      </c>
      <c r="U228" t="s">
        <v>2323</v>
      </c>
      <c r="V228">
        <v>0</v>
      </c>
      <c r="W228">
        <v>0</v>
      </c>
      <c r="X228">
        <v>246213</v>
      </c>
      <c r="Y228" t="s">
        <v>2324</v>
      </c>
      <c r="Z228" t="s">
        <v>2321</v>
      </c>
      <c r="AA228" t="s">
        <v>2608</v>
      </c>
      <c r="AB228" t="s">
        <v>45</v>
      </c>
      <c r="AC228" t="s">
        <v>2609</v>
      </c>
    </row>
    <row r="229" spans="1:29">
      <c r="A229" t="s">
        <v>1227</v>
      </c>
      <c r="B229" s="1">
        <v>165946</v>
      </c>
      <c r="C229" t="s">
        <v>2661</v>
      </c>
      <c r="D229" t="s">
        <v>1851</v>
      </c>
      <c r="E229" t="s">
        <v>2662</v>
      </c>
      <c r="F229" t="s">
        <v>437</v>
      </c>
      <c r="G229" t="s">
        <v>1539</v>
      </c>
      <c r="H229" t="s">
        <v>2663</v>
      </c>
      <c r="I229">
        <v>4</v>
      </c>
      <c r="J229" t="s">
        <v>2664</v>
      </c>
      <c r="K229">
        <v>69</v>
      </c>
      <c r="L229" t="s">
        <v>2665</v>
      </c>
      <c r="M229" t="s">
        <v>2666</v>
      </c>
      <c r="N229" t="s">
        <v>2667</v>
      </c>
      <c r="O229" t="s">
        <v>2607</v>
      </c>
      <c r="P229" t="s">
        <v>2668</v>
      </c>
      <c r="Q229" t="s">
        <v>2669</v>
      </c>
      <c r="R229" t="s">
        <v>2670</v>
      </c>
      <c r="S229" s="2">
        <v>45575</v>
      </c>
      <c r="T229">
        <v>0</v>
      </c>
      <c r="U229" t="s">
        <v>2671</v>
      </c>
      <c r="V229">
        <v>1</v>
      </c>
      <c r="W229">
        <v>1</v>
      </c>
      <c r="X229">
        <v>204668</v>
      </c>
      <c r="Y229" t="s">
        <v>476</v>
      </c>
      <c r="Z229" t="s">
        <v>2669</v>
      </c>
      <c r="AA229" t="s">
        <v>2608</v>
      </c>
      <c r="AB229" t="s">
        <v>45</v>
      </c>
      <c r="AC229" t="s">
        <v>2609</v>
      </c>
    </row>
    <row r="230" spans="1:29">
      <c r="A230" t="s">
        <v>1598</v>
      </c>
      <c r="B230" s="1">
        <v>127079</v>
      </c>
      <c r="C230" t="s">
        <v>2672</v>
      </c>
      <c r="D230" t="s">
        <v>1851</v>
      </c>
      <c r="E230" s="1">
        <v>-5314</v>
      </c>
      <c r="F230" t="s">
        <v>1723</v>
      </c>
      <c r="G230" t="s">
        <v>2673</v>
      </c>
      <c r="H230" t="s">
        <v>2674</v>
      </c>
      <c r="I230">
        <v>4</v>
      </c>
      <c r="J230" t="s">
        <v>585</v>
      </c>
      <c r="K230">
        <v>70</v>
      </c>
      <c r="L230" t="s">
        <v>2675</v>
      </c>
      <c r="M230" t="s">
        <v>2676</v>
      </c>
      <c r="N230" t="s">
        <v>2677</v>
      </c>
      <c r="O230" t="s">
        <v>2607</v>
      </c>
      <c r="P230" t="s">
        <v>2678</v>
      </c>
      <c r="Q230" t="s">
        <v>2679</v>
      </c>
      <c r="R230" t="s">
        <v>2680</v>
      </c>
      <c r="S230" s="2">
        <v>42762</v>
      </c>
      <c r="T230">
        <v>0</v>
      </c>
      <c r="U230" t="s">
        <v>2681</v>
      </c>
      <c r="V230">
        <v>1</v>
      </c>
      <c r="W230">
        <v>11</v>
      </c>
      <c r="X230">
        <v>343150</v>
      </c>
      <c r="Y230" t="s">
        <v>1952</v>
      </c>
      <c r="Z230" t="s">
        <v>2679</v>
      </c>
      <c r="AA230" t="s">
        <v>2608</v>
      </c>
      <c r="AB230" t="s">
        <v>45</v>
      </c>
      <c r="AC230" t="s">
        <v>2609</v>
      </c>
    </row>
    <row r="231" spans="1:29">
      <c r="A231" t="s">
        <v>1467</v>
      </c>
      <c r="B231" t="s">
        <v>2682</v>
      </c>
      <c r="C231" t="s">
        <v>2683</v>
      </c>
      <c r="D231" t="s">
        <v>1851</v>
      </c>
      <c r="E231" s="1">
        <v>-6706</v>
      </c>
      <c r="F231" t="s">
        <v>1320</v>
      </c>
      <c r="G231" t="s">
        <v>375</v>
      </c>
      <c r="H231" t="s">
        <v>2684</v>
      </c>
      <c r="I231">
        <v>4</v>
      </c>
      <c r="J231" t="s">
        <v>499</v>
      </c>
      <c r="K231">
        <v>72</v>
      </c>
      <c r="L231" t="s">
        <v>2685</v>
      </c>
      <c r="M231" t="s">
        <v>2686</v>
      </c>
      <c r="N231" t="s">
        <v>2687</v>
      </c>
      <c r="O231" t="s">
        <v>2607</v>
      </c>
      <c r="P231" t="s">
        <v>2688</v>
      </c>
      <c r="Q231" t="s">
        <v>2689</v>
      </c>
      <c r="R231" t="s">
        <v>2690</v>
      </c>
      <c r="S231" s="2">
        <v>44302</v>
      </c>
      <c r="T231">
        <v>0</v>
      </c>
      <c r="U231" t="s">
        <v>2691</v>
      </c>
      <c r="V231">
        <v>1</v>
      </c>
      <c r="W231">
        <v>1</v>
      </c>
      <c r="X231">
        <v>226400</v>
      </c>
      <c r="Y231" t="s">
        <v>2692</v>
      </c>
      <c r="Z231" t="s">
        <v>2689</v>
      </c>
      <c r="AA231" t="s">
        <v>2608</v>
      </c>
      <c r="AB231" t="s">
        <v>45</v>
      </c>
      <c r="AC231" t="s">
        <v>2609</v>
      </c>
    </row>
    <row r="232" spans="1:29">
      <c r="A232" t="s">
        <v>188</v>
      </c>
      <c r="B232" s="1">
        <v>124041</v>
      </c>
      <c r="C232" t="s">
        <v>62</v>
      </c>
      <c r="D232" t="s">
        <v>1851</v>
      </c>
      <c r="E232" s="1">
        <v>-7242</v>
      </c>
      <c r="F232" t="s">
        <v>476</v>
      </c>
      <c r="G232" t="s">
        <v>1655</v>
      </c>
      <c r="H232" t="s">
        <v>2693</v>
      </c>
      <c r="I232">
        <v>4</v>
      </c>
      <c r="J232" t="s">
        <v>1320</v>
      </c>
      <c r="K232">
        <v>68</v>
      </c>
      <c r="L232" t="s">
        <v>2694</v>
      </c>
      <c r="M232" t="s">
        <v>2695</v>
      </c>
      <c r="N232" t="s">
        <v>2696</v>
      </c>
      <c r="O232" t="s">
        <v>2607</v>
      </c>
      <c r="P232" t="s">
        <v>2697</v>
      </c>
      <c r="Q232" t="s">
        <v>2698</v>
      </c>
      <c r="R232" t="s">
        <v>2696</v>
      </c>
      <c r="S232" s="2">
        <v>42836</v>
      </c>
      <c r="T232">
        <v>0</v>
      </c>
      <c r="U232" t="s">
        <v>2699</v>
      </c>
      <c r="V232">
        <v>0</v>
      </c>
      <c r="W232">
        <v>10</v>
      </c>
      <c r="X232">
        <v>263288</v>
      </c>
      <c r="Y232" t="s">
        <v>1371</v>
      </c>
      <c r="Z232" t="s">
        <v>2698</v>
      </c>
      <c r="AA232" t="s">
        <v>2608</v>
      </c>
      <c r="AB232" t="s">
        <v>45</v>
      </c>
      <c r="AC232" t="s">
        <v>2609</v>
      </c>
    </row>
    <row r="233" spans="1:29">
      <c r="A233" t="s">
        <v>1278</v>
      </c>
      <c r="B233" s="1">
        <v>162012</v>
      </c>
      <c r="C233" t="s">
        <v>891</v>
      </c>
      <c r="D233" t="s">
        <v>1851</v>
      </c>
      <c r="E233" t="s">
        <v>2700</v>
      </c>
      <c r="F233" t="s">
        <v>1483</v>
      </c>
      <c r="G233" t="s">
        <v>252</v>
      </c>
      <c r="H233" t="s">
        <v>2701</v>
      </c>
      <c r="I233">
        <v>4</v>
      </c>
      <c r="J233" t="s">
        <v>2702</v>
      </c>
      <c r="K233">
        <v>83</v>
      </c>
      <c r="L233" t="s">
        <v>2703</v>
      </c>
      <c r="M233" t="s">
        <v>2704</v>
      </c>
      <c r="N233" t="s">
        <v>2073</v>
      </c>
      <c r="O233" t="s">
        <v>2607</v>
      </c>
      <c r="P233" t="s">
        <v>2705</v>
      </c>
      <c r="Q233" t="s">
        <v>2706</v>
      </c>
      <c r="R233" t="s">
        <v>2707</v>
      </c>
      <c r="S233" s="2">
        <v>45373</v>
      </c>
      <c r="T233" t="s">
        <v>2708</v>
      </c>
      <c r="U233" t="s">
        <v>2077</v>
      </c>
      <c r="V233">
        <v>0</v>
      </c>
      <c r="W233">
        <v>11</v>
      </c>
      <c r="X233">
        <v>267707</v>
      </c>
      <c r="Y233" t="s">
        <v>2709</v>
      </c>
      <c r="Z233" t="s">
        <v>2706</v>
      </c>
      <c r="AA233" t="s">
        <v>2608</v>
      </c>
      <c r="AB233" t="s">
        <v>45</v>
      </c>
      <c r="AC233" t="s">
        <v>2609</v>
      </c>
    </row>
    <row r="234" spans="1:29">
      <c r="A234" t="s">
        <v>2710</v>
      </c>
      <c r="B234" s="1">
        <v>109966</v>
      </c>
      <c r="C234" t="s">
        <v>2711</v>
      </c>
      <c r="D234" t="s">
        <v>1851</v>
      </c>
      <c r="E234" t="s">
        <v>2712</v>
      </c>
      <c r="F234" t="s">
        <v>1553</v>
      </c>
      <c r="G234" t="s">
        <v>2498</v>
      </c>
      <c r="H234" t="s">
        <v>2713</v>
      </c>
      <c r="I234">
        <v>4</v>
      </c>
      <c r="J234" t="s">
        <v>2714</v>
      </c>
      <c r="K234">
        <v>70</v>
      </c>
      <c r="L234" t="s">
        <v>2715</v>
      </c>
      <c r="M234" t="s">
        <v>2716</v>
      </c>
      <c r="N234">
        <v>333</v>
      </c>
      <c r="O234" t="s">
        <v>2607</v>
      </c>
      <c r="P234" t="s">
        <v>2717</v>
      </c>
      <c r="Q234" t="s">
        <v>2718</v>
      </c>
      <c r="R234" t="s">
        <v>2719</v>
      </c>
      <c r="S234" s="2">
        <v>45544</v>
      </c>
      <c r="T234">
        <v>0</v>
      </c>
      <c r="U234" t="s">
        <v>2619</v>
      </c>
      <c r="V234">
        <v>0</v>
      </c>
      <c r="W234">
        <v>9</v>
      </c>
      <c r="X234">
        <v>230182</v>
      </c>
      <c r="Y234" t="s">
        <v>2720</v>
      </c>
      <c r="Z234" t="s">
        <v>2718</v>
      </c>
      <c r="AA234" t="s">
        <v>2608</v>
      </c>
      <c r="AB234" t="s">
        <v>45</v>
      </c>
      <c r="AC234" t="s">
        <v>2609</v>
      </c>
    </row>
    <row r="235" spans="1:29">
      <c r="A235" t="s">
        <v>2721</v>
      </c>
      <c r="B235" t="s">
        <v>2722</v>
      </c>
      <c r="C235" t="s">
        <v>2672</v>
      </c>
      <c r="D235" t="s">
        <v>1851</v>
      </c>
      <c r="E235" s="1">
        <v>-5064</v>
      </c>
      <c r="F235" t="s">
        <v>2723</v>
      </c>
      <c r="G235" t="s">
        <v>1025</v>
      </c>
      <c r="H235" t="s">
        <v>2724</v>
      </c>
      <c r="I235">
        <v>4</v>
      </c>
      <c r="J235" t="s">
        <v>2725</v>
      </c>
      <c r="K235">
        <v>70</v>
      </c>
      <c r="L235" t="s">
        <v>2726</v>
      </c>
      <c r="M235" t="s">
        <v>2727</v>
      </c>
      <c r="N235" t="s">
        <v>2728</v>
      </c>
      <c r="O235" t="s">
        <v>2607</v>
      </c>
      <c r="P235" t="s">
        <v>2729</v>
      </c>
      <c r="Q235" t="s">
        <v>2730</v>
      </c>
      <c r="R235" t="s">
        <v>2731</v>
      </c>
      <c r="S235" s="2">
        <v>43952</v>
      </c>
      <c r="T235">
        <v>0</v>
      </c>
      <c r="U235" t="s">
        <v>2732</v>
      </c>
      <c r="V235">
        <v>1</v>
      </c>
      <c r="W235">
        <v>1</v>
      </c>
      <c r="X235">
        <v>181929</v>
      </c>
      <c r="Y235" t="s">
        <v>2022</v>
      </c>
      <c r="Z235" t="s">
        <v>2730</v>
      </c>
      <c r="AA235" t="s">
        <v>2608</v>
      </c>
      <c r="AB235" t="s">
        <v>45</v>
      </c>
      <c r="AC235" t="s">
        <v>2609</v>
      </c>
    </row>
    <row r="236" spans="1:29">
      <c r="A236" t="s">
        <v>2125</v>
      </c>
      <c r="B236" s="1">
        <v>135055</v>
      </c>
      <c r="C236" t="s">
        <v>2733</v>
      </c>
      <c r="D236" t="s">
        <v>1851</v>
      </c>
      <c r="E236" s="1">
        <v>-6149</v>
      </c>
      <c r="F236" t="s">
        <v>2539</v>
      </c>
      <c r="G236" t="s">
        <v>2711</v>
      </c>
      <c r="H236" t="s">
        <v>2734</v>
      </c>
      <c r="I236">
        <v>4</v>
      </c>
      <c r="J236" t="s">
        <v>189</v>
      </c>
      <c r="K236">
        <v>73</v>
      </c>
      <c r="L236" t="s">
        <v>2735</v>
      </c>
      <c r="M236" t="s">
        <v>2736</v>
      </c>
      <c r="N236" t="s">
        <v>2635</v>
      </c>
      <c r="O236" t="s">
        <v>2607</v>
      </c>
      <c r="P236" t="s">
        <v>2737</v>
      </c>
      <c r="Q236" t="s">
        <v>2738</v>
      </c>
      <c r="R236" t="s">
        <v>2739</v>
      </c>
      <c r="S236" s="2">
        <v>45596</v>
      </c>
      <c r="T236">
        <v>0</v>
      </c>
      <c r="U236" t="s">
        <v>2639</v>
      </c>
      <c r="V236">
        <v>1</v>
      </c>
      <c r="W236">
        <v>0</v>
      </c>
      <c r="X236">
        <v>179556</v>
      </c>
      <c r="Y236" t="s">
        <v>292</v>
      </c>
      <c r="Z236" t="s">
        <v>2738</v>
      </c>
      <c r="AA236" t="s">
        <v>2608</v>
      </c>
      <c r="AB236" t="s">
        <v>45</v>
      </c>
      <c r="AC236" t="s">
        <v>2609</v>
      </c>
    </row>
    <row r="237" spans="1:29">
      <c r="A237" t="s">
        <v>2740</v>
      </c>
      <c r="B237" t="s">
        <v>2741</v>
      </c>
      <c r="C237" t="s">
        <v>319</v>
      </c>
      <c r="D237" t="s">
        <v>1851</v>
      </c>
      <c r="E237" s="1">
        <v>-3017</v>
      </c>
      <c r="F237" t="s">
        <v>2742</v>
      </c>
      <c r="G237" t="s">
        <v>2743</v>
      </c>
      <c r="H237" t="s">
        <v>2744</v>
      </c>
      <c r="I237">
        <v>4</v>
      </c>
      <c r="J237" t="s">
        <v>2402</v>
      </c>
      <c r="K237">
        <v>72</v>
      </c>
      <c r="L237" t="s">
        <v>2745</v>
      </c>
      <c r="M237" t="s">
        <v>2746</v>
      </c>
      <c r="N237" t="s">
        <v>2747</v>
      </c>
      <c r="O237" t="s">
        <v>2607</v>
      </c>
      <c r="P237" t="s">
        <v>2748</v>
      </c>
      <c r="Q237" t="s">
        <v>2749</v>
      </c>
      <c r="R237" t="s">
        <v>2747</v>
      </c>
      <c r="S237" s="2">
        <v>42737</v>
      </c>
      <c r="T237">
        <v>0</v>
      </c>
      <c r="U237" t="s">
        <v>2750</v>
      </c>
      <c r="V237">
        <v>1</v>
      </c>
      <c r="W237">
        <v>1</v>
      </c>
      <c r="X237">
        <v>191295</v>
      </c>
      <c r="Y237" t="s">
        <v>2751</v>
      </c>
      <c r="Z237" t="s">
        <v>2749</v>
      </c>
      <c r="AA237" t="s">
        <v>2608</v>
      </c>
      <c r="AB237" t="s">
        <v>45</v>
      </c>
      <c r="AC237" t="s">
        <v>2609</v>
      </c>
    </row>
    <row r="238" spans="1:29">
      <c r="A238" t="s">
        <v>1501</v>
      </c>
      <c r="B238" t="s">
        <v>2752</v>
      </c>
      <c r="C238" t="s">
        <v>2182</v>
      </c>
      <c r="D238" t="s">
        <v>1851</v>
      </c>
      <c r="E238" s="1">
        <v>-3755</v>
      </c>
      <c r="F238" t="s">
        <v>2580</v>
      </c>
      <c r="G238" t="s">
        <v>2753</v>
      </c>
      <c r="H238" t="s">
        <v>2754</v>
      </c>
      <c r="I238">
        <v>4</v>
      </c>
      <c r="J238" t="s">
        <v>2755</v>
      </c>
      <c r="K238">
        <v>70</v>
      </c>
      <c r="L238" t="s">
        <v>2756</v>
      </c>
      <c r="M238" t="s">
        <v>2757</v>
      </c>
      <c r="N238" t="s">
        <v>2758</v>
      </c>
      <c r="O238" t="s">
        <v>2607</v>
      </c>
      <c r="P238" t="s">
        <v>2759</v>
      </c>
      <c r="Q238" t="s">
        <v>2760</v>
      </c>
      <c r="R238" t="s">
        <v>2761</v>
      </c>
      <c r="S238" s="2">
        <v>42772</v>
      </c>
      <c r="T238">
        <v>0</v>
      </c>
      <c r="U238" t="s">
        <v>2762</v>
      </c>
      <c r="V238">
        <v>1</v>
      </c>
      <c r="W238">
        <v>6</v>
      </c>
      <c r="X238">
        <v>295304</v>
      </c>
      <c r="Y238" t="s">
        <v>2763</v>
      </c>
      <c r="Z238" t="s">
        <v>2760</v>
      </c>
      <c r="AA238" t="s">
        <v>2608</v>
      </c>
      <c r="AB238" t="s">
        <v>45</v>
      </c>
      <c r="AC238" t="s">
        <v>2609</v>
      </c>
    </row>
    <row r="239" spans="1:29">
      <c r="A239" t="s">
        <v>2764</v>
      </c>
      <c r="B239" s="1">
        <v>119967</v>
      </c>
      <c r="C239" t="s">
        <v>552</v>
      </c>
      <c r="D239" t="s">
        <v>1851</v>
      </c>
      <c r="E239" s="1">
        <v>-8861</v>
      </c>
      <c r="F239" t="s">
        <v>1320</v>
      </c>
      <c r="G239" t="s">
        <v>1264</v>
      </c>
      <c r="H239" t="s">
        <v>2765</v>
      </c>
      <c r="I239">
        <v>4</v>
      </c>
      <c r="J239" t="s">
        <v>2766</v>
      </c>
      <c r="K239">
        <v>69</v>
      </c>
      <c r="L239" t="s">
        <v>2767</v>
      </c>
      <c r="M239" t="s">
        <v>2768</v>
      </c>
      <c r="N239" t="s">
        <v>2769</v>
      </c>
      <c r="O239" t="s">
        <v>2607</v>
      </c>
      <c r="P239" t="s">
        <v>2770</v>
      </c>
      <c r="Q239" t="s">
        <v>2771</v>
      </c>
      <c r="R239" t="s">
        <v>2772</v>
      </c>
      <c r="S239" s="2">
        <v>42462</v>
      </c>
      <c r="T239">
        <v>0</v>
      </c>
      <c r="U239" t="s">
        <v>2773</v>
      </c>
      <c r="V239">
        <v>1</v>
      </c>
      <c r="W239">
        <v>8</v>
      </c>
      <c r="X239">
        <v>341135</v>
      </c>
      <c r="Y239" t="s">
        <v>969</v>
      </c>
      <c r="Z239" t="s">
        <v>2771</v>
      </c>
      <c r="AA239" t="s">
        <v>2608</v>
      </c>
      <c r="AB239" t="s">
        <v>45</v>
      </c>
      <c r="AC239" t="s">
        <v>2609</v>
      </c>
    </row>
    <row r="240" spans="1:29">
      <c r="A240" t="s">
        <v>2774</v>
      </c>
      <c r="B240" t="s">
        <v>2775</v>
      </c>
      <c r="C240" t="s">
        <v>1750</v>
      </c>
      <c r="D240" t="s">
        <v>1851</v>
      </c>
      <c r="E240" s="1">
        <v>-6635</v>
      </c>
      <c r="F240" t="s">
        <v>2776</v>
      </c>
      <c r="G240" t="s">
        <v>836</v>
      </c>
      <c r="H240" t="s">
        <v>2777</v>
      </c>
      <c r="I240">
        <v>4</v>
      </c>
      <c r="J240" t="s">
        <v>2778</v>
      </c>
      <c r="K240">
        <v>73</v>
      </c>
      <c r="L240" t="s">
        <v>2779</v>
      </c>
      <c r="M240" t="s">
        <v>2780</v>
      </c>
      <c r="N240" t="s">
        <v>2781</v>
      </c>
      <c r="O240" t="s">
        <v>2607</v>
      </c>
      <c r="P240" t="s">
        <v>2782</v>
      </c>
      <c r="Q240" t="s">
        <v>2783</v>
      </c>
      <c r="R240" t="s">
        <v>2784</v>
      </c>
      <c r="S240" s="2">
        <v>43608</v>
      </c>
      <c r="T240">
        <v>0</v>
      </c>
      <c r="U240" t="s">
        <v>2785</v>
      </c>
      <c r="V240">
        <v>1</v>
      </c>
      <c r="W240">
        <v>6</v>
      </c>
      <c r="X240">
        <v>227518</v>
      </c>
      <c r="Y240" t="s">
        <v>2100</v>
      </c>
      <c r="Z240" t="s">
        <v>2783</v>
      </c>
      <c r="AA240" t="s">
        <v>2608</v>
      </c>
      <c r="AB240" t="s">
        <v>45</v>
      </c>
      <c r="AC240" t="s">
        <v>2609</v>
      </c>
    </row>
    <row r="241" spans="1:29">
      <c r="A241" t="s">
        <v>2786</v>
      </c>
      <c r="B241" s="1">
        <v>124992</v>
      </c>
      <c r="C241" t="s">
        <v>1384</v>
      </c>
      <c r="D241" t="s">
        <v>1851</v>
      </c>
      <c r="E241" s="1">
        <v>-5748</v>
      </c>
      <c r="F241" t="s">
        <v>785</v>
      </c>
      <c r="G241" t="s">
        <v>491</v>
      </c>
      <c r="H241" t="s">
        <v>1883</v>
      </c>
      <c r="I241">
        <v>4</v>
      </c>
      <c r="J241" t="s">
        <v>227</v>
      </c>
      <c r="K241">
        <v>77</v>
      </c>
      <c r="L241" t="s">
        <v>2787</v>
      </c>
      <c r="M241" t="s">
        <v>2788</v>
      </c>
      <c r="N241" t="s">
        <v>2789</v>
      </c>
      <c r="O241" t="s">
        <v>2607</v>
      </c>
      <c r="P241" t="s">
        <v>2790</v>
      </c>
      <c r="Q241" t="s">
        <v>2791</v>
      </c>
      <c r="R241" t="s">
        <v>2792</v>
      </c>
      <c r="S241" s="2">
        <v>44680</v>
      </c>
      <c r="T241">
        <v>0</v>
      </c>
      <c r="U241" t="s">
        <v>2793</v>
      </c>
      <c r="V241">
        <v>1</v>
      </c>
      <c r="W241">
        <v>8</v>
      </c>
      <c r="X241">
        <v>172933</v>
      </c>
      <c r="Y241" t="s">
        <v>479</v>
      </c>
      <c r="Z241" t="s">
        <v>2791</v>
      </c>
      <c r="AA241" t="s">
        <v>2608</v>
      </c>
      <c r="AB241" t="s">
        <v>45</v>
      </c>
      <c r="AC241" t="s">
        <v>2609</v>
      </c>
    </row>
    <row r="242" spans="1:29">
      <c r="A242" t="s">
        <v>2529</v>
      </c>
      <c r="B242" s="1">
        <v>92055</v>
      </c>
      <c r="C242" t="s">
        <v>2794</v>
      </c>
      <c r="D242" t="s">
        <v>1851</v>
      </c>
      <c r="E242" s="1">
        <v>-3165</v>
      </c>
      <c r="F242" t="s">
        <v>2795</v>
      </c>
      <c r="G242" t="s">
        <v>104</v>
      </c>
      <c r="H242" t="s">
        <v>2713</v>
      </c>
      <c r="I242">
        <v>4</v>
      </c>
      <c r="J242" t="s">
        <v>2796</v>
      </c>
      <c r="K242">
        <v>73</v>
      </c>
      <c r="L242" t="s">
        <v>2797</v>
      </c>
      <c r="M242" t="s">
        <v>2798</v>
      </c>
      <c r="N242">
        <v>333</v>
      </c>
      <c r="O242" t="s">
        <v>2607</v>
      </c>
      <c r="P242" t="s">
        <v>2799</v>
      </c>
      <c r="Q242" t="s">
        <v>2800</v>
      </c>
      <c r="R242">
        <v>1993</v>
      </c>
      <c r="S242" s="2">
        <v>45544</v>
      </c>
      <c r="T242">
        <v>0</v>
      </c>
      <c r="U242" t="s">
        <v>2619</v>
      </c>
      <c r="V242">
        <v>1</v>
      </c>
      <c r="W242">
        <v>11</v>
      </c>
      <c r="X242">
        <v>127826</v>
      </c>
      <c r="Y242" t="s">
        <v>1010</v>
      </c>
      <c r="Z242" t="s">
        <v>2800</v>
      </c>
      <c r="AA242" t="s">
        <v>2608</v>
      </c>
      <c r="AB242" t="s">
        <v>45</v>
      </c>
      <c r="AC242" t="s">
        <v>2609</v>
      </c>
    </row>
    <row r="243" spans="1:29">
      <c r="A243" t="s">
        <v>434</v>
      </c>
      <c r="B243" s="1">
        <v>86003</v>
      </c>
      <c r="C243" t="s">
        <v>2801</v>
      </c>
      <c r="D243" t="s">
        <v>1851</v>
      </c>
      <c r="E243" s="1">
        <v>-6365</v>
      </c>
      <c r="F243" t="s">
        <v>2802</v>
      </c>
      <c r="G243" t="s">
        <v>2803</v>
      </c>
      <c r="H243" t="s">
        <v>2804</v>
      </c>
      <c r="I243">
        <v>4</v>
      </c>
      <c r="J243" t="s">
        <v>2805</v>
      </c>
      <c r="K243">
        <v>74</v>
      </c>
      <c r="L243" t="s">
        <v>2806</v>
      </c>
      <c r="M243" t="s">
        <v>2807</v>
      </c>
      <c r="N243" t="s">
        <v>2808</v>
      </c>
      <c r="O243" t="s">
        <v>2607</v>
      </c>
      <c r="P243" t="s">
        <v>2809</v>
      </c>
      <c r="Q243" t="s">
        <v>2810</v>
      </c>
      <c r="R243" t="s">
        <v>2811</v>
      </c>
      <c r="S243" s="2">
        <v>43434</v>
      </c>
      <c r="T243">
        <v>0</v>
      </c>
      <c r="U243" t="s">
        <v>2812</v>
      </c>
      <c r="V243">
        <v>0</v>
      </c>
      <c r="W243">
        <v>4</v>
      </c>
      <c r="X243">
        <v>180522</v>
      </c>
      <c r="Y243" t="s">
        <v>687</v>
      </c>
      <c r="Z243" t="s">
        <v>2810</v>
      </c>
      <c r="AA243" t="s">
        <v>2608</v>
      </c>
      <c r="AB243" t="s">
        <v>45</v>
      </c>
      <c r="AC243" t="s">
        <v>2609</v>
      </c>
    </row>
    <row r="244" spans="1:29">
      <c r="A244" t="s">
        <v>2813</v>
      </c>
      <c r="B244" s="1">
        <v>96914</v>
      </c>
      <c r="C244" t="s">
        <v>489</v>
      </c>
      <c r="D244" t="s">
        <v>1851</v>
      </c>
      <c r="E244" s="1">
        <v>-5715</v>
      </c>
      <c r="F244" t="s">
        <v>2283</v>
      </c>
      <c r="G244" t="s">
        <v>2814</v>
      </c>
      <c r="H244" t="s">
        <v>2815</v>
      </c>
      <c r="I244">
        <v>4</v>
      </c>
      <c r="J244" t="s">
        <v>132</v>
      </c>
      <c r="K244">
        <v>71</v>
      </c>
      <c r="L244" t="s">
        <v>2816</v>
      </c>
      <c r="M244" t="s">
        <v>2817</v>
      </c>
      <c r="N244" t="s">
        <v>2635</v>
      </c>
      <c r="O244" t="s">
        <v>2607</v>
      </c>
      <c r="P244" t="s">
        <v>2818</v>
      </c>
      <c r="Q244" t="s">
        <v>2819</v>
      </c>
      <c r="R244" t="s">
        <v>2820</v>
      </c>
      <c r="S244" s="2">
        <v>45596</v>
      </c>
      <c r="T244">
        <v>0</v>
      </c>
      <c r="U244" t="s">
        <v>2639</v>
      </c>
      <c r="V244">
        <v>0</v>
      </c>
      <c r="W244">
        <v>10</v>
      </c>
      <c r="X244">
        <v>165773</v>
      </c>
      <c r="Y244" t="s">
        <v>1690</v>
      </c>
      <c r="Z244" t="s">
        <v>2819</v>
      </c>
      <c r="AA244" t="s">
        <v>2608</v>
      </c>
      <c r="AB244" t="s">
        <v>45</v>
      </c>
      <c r="AC244" t="s">
        <v>2609</v>
      </c>
    </row>
    <row r="245" spans="1:29">
      <c r="A245" t="s">
        <v>2401</v>
      </c>
      <c r="B245" s="1">
        <v>120146</v>
      </c>
      <c r="C245" t="s">
        <v>487</v>
      </c>
      <c r="D245" t="s">
        <v>1851</v>
      </c>
      <c r="E245" s="1">
        <v>-5015</v>
      </c>
      <c r="F245" t="s">
        <v>2821</v>
      </c>
      <c r="G245" t="s">
        <v>276</v>
      </c>
      <c r="H245" t="s">
        <v>2822</v>
      </c>
      <c r="I245">
        <v>4</v>
      </c>
      <c r="J245" t="s">
        <v>49</v>
      </c>
      <c r="K245">
        <v>69</v>
      </c>
      <c r="L245" t="s">
        <v>2823</v>
      </c>
      <c r="M245" t="s">
        <v>2824</v>
      </c>
      <c r="N245" t="s">
        <v>2825</v>
      </c>
      <c r="O245" t="s">
        <v>2607</v>
      </c>
      <c r="P245" t="s">
        <v>2826</v>
      </c>
      <c r="Q245" t="s">
        <v>2827</v>
      </c>
      <c r="R245" t="s">
        <v>2828</v>
      </c>
      <c r="S245" s="2">
        <v>43203</v>
      </c>
      <c r="T245">
        <v>0</v>
      </c>
      <c r="U245" t="s">
        <v>2829</v>
      </c>
      <c r="V245">
        <v>0</v>
      </c>
      <c r="W245">
        <v>8</v>
      </c>
      <c r="X245">
        <v>260493</v>
      </c>
      <c r="Y245" t="s">
        <v>2830</v>
      </c>
      <c r="Z245" t="s">
        <v>2827</v>
      </c>
      <c r="AA245" t="s">
        <v>2608</v>
      </c>
      <c r="AB245" t="s">
        <v>45</v>
      </c>
      <c r="AC245" t="s">
        <v>2609</v>
      </c>
    </row>
    <row r="246" spans="1:29">
      <c r="A246" t="s">
        <v>2831</v>
      </c>
      <c r="B246" s="1">
        <v>140101</v>
      </c>
      <c r="C246" t="s">
        <v>2832</v>
      </c>
      <c r="D246" t="s">
        <v>1851</v>
      </c>
      <c r="E246" s="1">
        <v>-4058</v>
      </c>
      <c r="F246" t="s">
        <v>2833</v>
      </c>
      <c r="G246" t="s">
        <v>1980</v>
      </c>
      <c r="H246" t="s">
        <v>2834</v>
      </c>
      <c r="I246">
        <v>4</v>
      </c>
      <c r="J246" t="s">
        <v>2835</v>
      </c>
      <c r="K246">
        <v>68</v>
      </c>
      <c r="L246" t="s">
        <v>2836</v>
      </c>
      <c r="M246" t="s">
        <v>2837</v>
      </c>
      <c r="N246" t="s">
        <v>2838</v>
      </c>
      <c r="O246" t="s">
        <v>2607</v>
      </c>
      <c r="P246" t="s">
        <v>2839</v>
      </c>
      <c r="Q246" t="s">
        <v>2840</v>
      </c>
      <c r="R246" t="s">
        <v>2838</v>
      </c>
      <c r="S246" s="2">
        <v>42891</v>
      </c>
      <c r="T246">
        <v>0</v>
      </c>
      <c r="U246" t="s">
        <v>2841</v>
      </c>
      <c r="V246">
        <v>1</v>
      </c>
      <c r="W246">
        <v>1</v>
      </c>
      <c r="X246">
        <v>283121</v>
      </c>
      <c r="Y246" t="s">
        <v>1553</v>
      </c>
      <c r="Z246" t="s">
        <v>2840</v>
      </c>
      <c r="AA246" t="s">
        <v>2608</v>
      </c>
      <c r="AB246" t="s">
        <v>45</v>
      </c>
      <c r="AC246" t="s">
        <v>2609</v>
      </c>
    </row>
    <row r="247" spans="1:29">
      <c r="A247" t="s">
        <v>1279</v>
      </c>
      <c r="B247" s="1">
        <v>99827</v>
      </c>
      <c r="C247" t="s">
        <v>1097</v>
      </c>
      <c r="D247" t="s">
        <v>1851</v>
      </c>
      <c r="E247" t="s">
        <v>2842</v>
      </c>
      <c r="F247" t="s">
        <v>2843</v>
      </c>
      <c r="G247" t="s">
        <v>2844</v>
      </c>
      <c r="H247" t="s">
        <v>2845</v>
      </c>
      <c r="I247">
        <v>3</v>
      </c>
      <c r="J247" t="s">
        <v>1229</v>
      </c>
      <c r="K247">
        <v>73</v>
      </c>
      <c r="L247" t="s">
        <v>2846</v>
      </c>
      <c r="M247" t="s">
        <v>2847</v>
      </c>
      <c r="N247" t="s">
        <v>2848</v>
      </c>
      <c r="O247" t="s">
        <v>2607</v>
      </c>
      <c r="P247" t="s">
        <v>2849</v>
      </c>
      <c r="Q247" t="s">
        <v>2850</v>
      </c>
      <c r="R247" t="s">
        <v>2851</v>
      </c>
      <c r="S247" s="2">
        <v>45554</v>
      </c>
      <c r="T247">
        <v>0</v>
      </c>
      <c r="U247" t="s">
        <v>2852</v>
      </c>
      <c r="V247">
        <v>0</v>
      </c>
      <c r="W247">
        <v>10</v>
      </c>
      <c r="X247">
        <v>162970</v>
      </c>
      <c r="Y247" t="s">
        <v>2063</v>
      </c>
      <c r="Z247" t="s">
        <v>2850</v>
      </c>
      <c r="AA247" t="s">
        <v>2608</v>
      </c>
      <c r="AB247" t="s">
        <v>45</v>
      </c>
      <c r="AC247" t="s">
        <v>2609</v>
      </c>
    </row>
    <row r="248" spans="1:29">
      <c r="A248" t="s">
        <v>1394</v>
      </c>
      <c r="B248" s="1">
        <v>147037</v>
      </c>
      <c r="C248" t="s">
        <v>2853</v>
      </c>
      <c r="D248" t="s">
        <v>1851</v>
      </c>
      <c r="E248" s="1">
        <v>-6934</v>
      </c>
      <c r="F248" t="s">
        <v>785</v>
      </c>
      <c r="G248" t="s">
        <v>2854</v>
      </c>
      <c r="H248" t="s">
        <v>2855</v>
      </c>
      <c r="I248">
        <v>4</v>
      </c>
      <c r="J248" t="s">
        <v>2856</v>
      </c>
      <c r="K248">
        <v>68</v>
      </c>
      <c r="L248" t="s">
        <v>2857</v>
      </c>
      <c r="M248" t="s">
        <v>2858</v>
      </c>
      <c r="N248" t="s">
        <v>2859</v>
      </c>
      <c r="O248" t="s">
        <v>2607</v>
      </c>
      <c r="P248" t="s">
        <v>2860</v>
      </c>
      <c r="Q248" t="s">
        <v>2861</v>
      </c>
      <c r="R248" t="s">
        <v>2859</v>
      </c>
      <c r="S248" s="2">
        <v>45006</v>
      </c>
      <c r="T248" t="s">
        <v>2862</v>
      </c>
      <c r="U248" t="s">
        <v>2863</v>
      </c>
      <c r="V248">
        <v>0</v>
      </c>
      <c r="W248">
        <v>4</v>
      </c>
      <c r="X248">
        <v>137143</v>
      </c>
      <c r="Y248" t="s">
        <v>2844</v>
      </c>
      <c r="Z248" t="s">
        <v>2861</v>
      </c>
      <c r="AA248" t="s">
        <v>2608</v>
      </c>
      <c r="AB248" t="s">
        <v>45</v>
      </c>
      <c r="AC248" t="s">
        <v>2609</v>
      </c>
    </row>
    <row r="249" spans="1:29">
      <c r="A249" t="s">
        <v>930</v>
      </c>
      <c r="B249" s="1">
        <v>110964</v>
      </c>
      <c r="C249" t="s">
        <v>2864</v>
      </c>
      <c r="D249" t="s">
        <v>1851</v>
      </c>
      <c r="E249" s="1">
        <v>-6497</v>
      </c>
      <c r="F249" t="s">
        <v>366</v>
      </c>
      <c r="G249" t="s">
        <v>2865</v>
      </c>
      <c r="H249" t="s">
        <v>1883</v>
      </c>
      <c r="I249">
        <v>4</v>
      </c>
      <c r="J249" t="s">
        <v>2866</v>
      </c>
      <c r="K249">
        <v>80</v>
      </c>
      <c r="L249" t="s">
        <v>2867</v>
      </c>
      <c r="M249" t="s">
        <v>2868</v>
      </c>
      <c r="N249" t="s">
        <v>2869</v>
      </c>
      <c r="O249" t="s">
        <v>2607</v>
      </c>
      <c r="P249" t="s">
        <v>2870</v>
      </c>
      <c r="Q249" t="s">
        <v>2871</v>
      </c>
      <c r="R249" t="s">
        <v>2872</v>
      </c>
      <c r="S249" s="2">
        <v>42943</v>
      </c>
      <c r="T249" t="s">
        <v>2753</v>
      </c>
      <c r="U249" t="s">
        <v>2873</v>
      </c>
      <c r="V249">
        <v>0</v>
      </c>
      <c r="W249">
        <v>5</v>
      </c>
      <c r="X249">
        <v>265996</v>
      </c>
      <c r="Y249" t="s">
        <v>2874</v>
      </c>
      <c r="Z249" t="s">
        <v>2871</v>
      </c>
      <c r="AA249" t="s">
        <v>2608</v>
      </c>
      <c r="AB249" t="s">
        <v>45</v>
      </c>
      <c r="AC249" t="s">
        <v>2609</v>
      </c>
    </row>
    <row r="250" spans="1:29">
      <c r="A250" t="s">
        <v>1431</v>
      </c>
      <c r="B250" s="1">
        <v>116624</v>
      </c>
      <c r="C250" t="s">
        <v>212</v>
      </c>
      <c r="D250" t="s">
        <v>1851</v>
      </c>
      <c r="E250" s="1">
        <v>-5298</v>
      </c>
      <c r="F250" t="s">
        <v>1864</v>
      </c>
      <c r="G250" t="s">
        <v>1880</v>
      </c>
      <c r="H250" t="s">
        <v>2271</v>
      </c>
      <c r="I250">
        <v>4</v>
      </c>
      <c r="J250" t="s">
        <v>351</v>
      </c>
      <c r="K250">
        <v>79</v>
      </c>
      <c r="L250" t="s">
        <v>2272</v>
      </c>
      <c r="M250" t="s">
        <v>2273</v>
      </c>
      <c r="N250" t="s">
        <v>2274</v>
      </c>
      <c r="O250" t="s">
        <v>2607</v>
      </c>
      <c r="P250" t="s">
        <v>2275</v>
      </c>
      <c r="Q250" t="s">
        <v>2276</v>
      </c>
      <c r="R250" t="s">
        <v>2277</v>
      </c>
      <c r="S250" s="2">
        <v>44897</v>
      </c>
      <c r="T250" t="s">
        <v>2278</v>
      </c>
      <c r="U250" t="s">
        <v>2279</v>
      </c>
      <c r="V250">
        <v>0</v>
      </c>
      <c r="W250">
        <v>5</v>
      </c>
      <c r="X250">
        <v>182667</v>
      </c>
      <c r="Y250" t="s">
        <v>2280</v>
      </c>
      <c r="Z250" t="s">
        <v>2276</v>
      </c>
      <c r="AA250" t="s">
        <v>2608</v>
      </c>
      <c r="AB250" t="s">
        <v>45</v>
      </c>
      <c r="AC250" t="s">
        <v>2609</v>
      </c>
    </row>
    <row r="251" spans="1:29">
      <c r="A251" t="s">
        <v>1410</v>
      </c>
      <c r="B251" s="1">
        <v>129958</v>
      </c>
      <c r="C251" t="s">
        <v>322</v>
      </c>
      <c r="D251" t="s">
        <v>1851</v>
      </c>
      <c r="E251" s="1">
        <v>-8444</v>
      </c>
      <c r="F251" t="s">
        <v>2875</v>
      </c>
      <c r="G251" t="s">
        <v>2488</v>
      </c>
      <c r="H251" t="s">
        <v>2876</v>
      </c>
      <c r="I251">
        <v>4</v>
      </c>
      <c r="J251" t="s">
        <v>2877</v>
      </c>
      <c r="K251">
        <v>68</v>
      </c>
      <c r="L251" t="s">
        <v>2878</v>
      </c>
      <c r="M251" t="s">
        <v>2879</v>
      </c>
      <c r="N251" t="s">
        <v>2880</v>
      </c>
      <c r="O251" t="s">
        <v>2607</v>
      </c>
      <c r="P251" t="s">
        <v>2881</v>
      </c>
      <c r="Q251" t="s">
        <v>2882</v>
      </c>
      <c r="R251" t="s">
        <v>2880</v>
      </c>
      <c r="S251" s="2">
        <v>43200</v>
      </c>
      <c r="T251">
        <v>0</v>
      </c>
      <c r="U251" t="s">
        <v>2883</v>
      </c>
      <c r="V251">
        <v>1</v>
      </c>
      <c r="W251">
        <v>0</v>
      </c>
      <c r="X251">
        <v>226101</v>
      </c>
      <c r="Y251" t="s">
        <v>2884</v>
      </c>
      <c r="Z251" t="s">
        <v>2882</v>
      </c>
      <c r="AA251" t="s">
        <v>2608</v>
      </c>
      <c r="AB251" t="s">
        <v>45</v>
      </c>
      <c r="AC251" t="s">
        <v>2609</v>
      </c>
    </row>
    <row r="252" spans="1:29">
      <c r="A252" t="s">
        <v>1214</v>
      </c>
      <c r="B252" s="1">
        <v>172445</v>
      </c>
      <c r="C252" t="s">
        <v>158</v>
      </c>
      <c r="D252" t="s">
        <v>1851</v>
      </c>
      <c r="E252" s="1">
        <v>-9963</v>
      </c>
      <c r="F252" t="s">
        <v>2885</v>
      </c>
      <c r="G252" t="s">
        <v>2886</v>
      </c>
      <c r="H252" t="s">
        <v>2887</v>
      </c>
      <c r="I252">
        <v>3</v>
      </c>
      <c r="J252" t="s">
        <v>826</v>
      </c>
      <c r="K252">
        <v>70</v>
      </c>
      <c r="L252" t="s">
        <v>2888</v>
      </c>
      <c r="M252" t="s">
        <v>2889</v>
      </c>
      <c r="N252" t="s">
        <v>2890</v>
      </c>
      <c r="O252" t="s">
        <v>2607</v>
      </c>
      <c r="P252" t="s">
        <v>2891</v>
      </c>
      <c r="Q252" t="s">
        <v>2892</v>
      </c>
      <c r="R252" t="s">
        <v>2890</v>
      </c>
      <c r="S252" s="2">
        <v>44812</v>
      </c>
      <c r="T252">
        <v>0</v>
      </c>
      <c r="U252" t="s">
        <v>2893</v>
      </c>
      <c r="V252">
        <v>0</v>
      </c>
      <c r="W252">
        <v>2</v>
      </c>
      <c r="X252">
        <v>142026</v>
      </c>
      <c r="Y252" t="s">
        <v>1456</v>
      </c>
      <c r="Z252" t="s">
        <v>2892</v>
      </c>
      <c r="AA252" t="s">
        <v>2608</v>
      </c>
      <c r="AB252" t="s">
        <v>45</v>
      </c>
      <c r="AC252" t="s">
        <v>2609</v>
      </c>
    </row>
    <row r="253" spans="1:29">
      <c r="A253" t="s">
        <v>1919</v>
      </c>
      <c r="B253" t="s">
        <v>2894</v>
      </c>
      <c r="C253" t="s">
        <v>2895</v>
      </c>
      <c r="D253" t="s">
        <v>1851</v>
      </c>
      <c r="E253" s="1">
        <v>-5486</v>
      </c>
      <c r="F253" t="s">
        <v>2896</v>
      </c>
      <c r="G253" t="s">
        <v>48</v>
      </c>
      <c r="H253" t="s">
        <v>2897</v>
      </c>
      <c r="I253">
        <v>4</v>
      </c>
      <c r="J253" t="s">
        <v>687</v>
      </c>
      <c r="K253">
        <v>70</v>
      </c>
      <c r="L253" t="s">
        <v>2898</v>
      </c>
      <c r="M253" t="s">
        <v>2899</v>
      </c>
      <c r="N253" t="s">
        <v>2900</v>
      </c>
      <c r="O253" t="s">
        <v>2607</v>
      </c>
      <c r="P253" t="s">
        <v>2901</v>
      </c>
      <c r="Q253" t="s">
        <v>2902</v>
      </c>
      <c r="R253" t="s">
        <v>2900</v>
      </c>
      <c r="S253" s="2">
        <v>45392</v>
      </c>
      <c r="T253" t="s">
        <v>2903</v>
      </c>
      <c r="U253" t="s">
        <v>2904</v>
      </c>
      <c r="V253">
        <v>1</v>
      </c>
      <c r="W253">
        <v>2</v>
      </c>
      <c r="X253">
        <v>144361</v>
      </c>
      <c r="Y253" t="s">
        <v>93</v>
      </c>
      <c r="Z253" t="s">
        <v>2902</v>
      </c>
      <c r="AA253" t="s">
        <v>2608</v>
      </c>
      <c r="AB253" t="s">
        <v>45</v>
      </c>
      <c r="AC253" t="s">
        <v>2609</v>
      </c>
    </row>
    <row r="254" spans="1:29">
      <c r="A254" t="s">
        <v>2905</v>
      </c>
      <c r="B254" s="1">
        <v>113903</v>
      </c>
      <c r="C254" t="s">
        <v>1384</v>
      </c>
      <c r="D254" t="s">
        <v>1851</v>
      </c>
      <c r="E254" s="1">
        <v>-7188</v>
      </c>
      <c r="F254" t="s">
        <v>2906</v>
      </c>
      <c r="G254" t="s">
        <v>447</v>
      </c>
      <c r="H254" t="s">
        <v>2907</v>
      </c>
      <c r="I254">
        <v>4</v>
      </c>
      <c r="J254" t="s">
        <v>2908</v>
      </c>
      <c r="K254">
        <v>72</v>
      </c>
      <c r="L254" t="s">
        <v>2909</v>
      </c>
      <c r="M254" t="s">
        <v>2910</v>
      </c>
      <c r="N254" t="s">
        <v>2911</v>
      </c>
      <c r="O254" t="s">
        <v>2607</v>
      </c>
      <c r="P254" t="s">
        <v>2912</v>
      </c>
      <c r="Q254" t="s">
        <v>2913</v>
      </c>
      <c r="R254" t="s">
        <v>2914</v>
      </c>
      <c r="S254" s="2">
        <v>44162</v>
      </c>
      <c r="T254" t="s">
        <v>2915</v>
      </c>
      <c r="U254" t="s">
        <v>2916</v>
      </c>
      <c r="V254">
        <v>1</v>
      </c>
      <c r="W254">
        <v>7</v>
      </c>
      <c r="X254">
        <v>156430</v>
      </c>
      <c r="Y254" t="s">
        <v>2917</v>
      </c>
      <c r="Z254" t="s">
        <v>2913</v>
      </c>
      <c r="AA254" t="s">
        <v>2608</v>
      </c>
      <c r="AB254" t="s">
        <v>45</v>
      </c>
      <c r="AC254" t="s">
        <v>2609</v>
      </c>
    </row>
    <row r="255" spans="1:29">
      <c r="A255" t="s">
        <v>1085</v>
      </c>
      <c r="B255" s="1">
        <v>155008</v>
      </c>
      <c r="C255" t="s">
        <v>2918</v>
      </c>
      <c r="D255" t="s">
        <v>1851</v>
      </c>
      <c r="E255" s="1">
        <v>-3714</v>
      </c>
      <c r="F255" t="s">
        <v>2101</v>
      </c>
      <c r="G255" t="s">
        <v>550</v>
      </c>
      <c r="H255" t="s">
        <v>2919</v>
      </c>
      <c r="I255">
        <v>4</v>
      </c>
      <c r="J255" t="s">
        <v>2920</v>
      </c>
      <c r="K255">
        <v>81</v>
      </c>
      <c r="L255" t="s">
        <v>2921</v>
      </c>
      <c r="M255" t="s">
        <v>2922</v>
      </c>
      <c r="N255" t="s">
        <v>2923</v>
      </c>
      <c r="O255" t="s">
        <v>2607</v>
      </c>
      <c r="P255" t="s">
        <v>2924</v>
      </c>
      <c r="Q255" t="s">
        <v>2925</v>
      </c>
      <c r="R255" t="s">
        <v>2926</v>
      </c>
      <c r="S255" s="2">
        <v>43315</v>
      </c>
      <c r="T255">
        <v>0</v>
      </c>
      <c r="U255" t="s">
        <v>2927</v>
      </c>
      <c r="V255">
        <v>1</v>
      </c>
      <c r="W255">
        <v>8</v>
      </c>
      <c r="X255">
        <v>312820</v>
      </c>
      <c r="Y255" t="s">
        <v>2928</v>
      </c>
      <c r="Z255" t="s">
        <v>2925</v>
      </c>
      <c r="AA255" t="s">
        <v>2608</v>
      </c>
      <c r="AB255" t="s">
        <v>45</v>
      </c>
      <c r="AC255" t="s">
        <v>2609</v>
      </c>
    </row>
    <row r="256" spans="1:29">
      <c r="A256" t="s">
        <v>527</v>
      </c>
      <c r="B256" s="1">
        <v>87973</v>
      </c>
      <c r="C256" t="s">
        <v>1737</v>
      </c>
      <c r="D256" t="s">
        <v>1851</v>
      </c>
      <c r="E256" s="1">
        <v>-4356</v>
      </c>
      <c r="F256" t="s">
        <v>1528</v>
      </c>
      <c r="G256" t="s">
        <v>2929</v>
      </c>
      <c r="H256" t="s">
        <v>2930</v>
      </c>
      <c r="I256">
        <v>4</v>
      </c>
      <c r="J256" t="s">
        <v>2931</v>
      </c>
      <c r="K256">
        <v>82</v>
      </c>
      <c r="L256" t="s">
        <v>2932</v>
      </c>
      <c r="M256" t="s">
        <v>2933</v>
      </c>
      <c r="N256" t="s">
        <v>2274</v>
      </c>
      <c r="O256" t="s">
        <v>2607</v>
      </c>
      <c r="P256" t="s">
        <v>2934</v>
      </c>
      <c r="Q256" t="s">
        <v>2935</v>
      </c>
      <c r="R256" t="s">
        <v>2936</v>
      </c>
      <c r="S256" s="2">
        <v>44897</v>
      </c>
      <c r="T256" t="s">
        <v>2937</v>
      </c>
      <c r="U256" t="s">
        <v>2279</v>
      </c>
      <c r="V256">
        <v>0</v>
      </c>
      <c r="W256">
        <v>7</v>
      </c>
      <c r="X256">
        <v>199920</v>
      </c>
      <c r="Y256" t="s">
        <v>375</v>
      </c>
      <c r="Z256" t="s">
        <v>2935</v>
      </c>
      <c r="AA256" t="s">
        <v>2608</v>
      </c>
      <c r="AB256" t="s">
        <v>45</v>
      </c>
      <c r="AC256" t="s">
        <v>2609</v>
      </c>
    </row>
    <row r="257" spans="1:29">
      <c r="A257" t="s">
        <v>852</v>
      </c>
      <c r="B257" s="1">
        <v>135993</v>
      </c>
      <c r="C257" t="s">
        <v>1279</v>
      </c>
      <c r="D257" t="s">
        <v>1851</v>
      </c>
      <c r="E257" s="1">
        <v>-9474</v>
      </c>
      <c r="F257" t="s">
        <v>2550</v>
      </c>
      <c r="G257" t="s">
        <v>2938</v>
      </c>
      <c r="H257" t="s">
        <v>2939</v>
      </c>
      <c r="I257">
        <v>4</v>
      </c>
      <c r="J257" t="s">
        <v>146</v>
      </c>
      <c r="K257">
        <v>71</v>
      </c>
      <c r="L257" t="s">
        <v>2940</v>
      </c>
      <c r="M257" t="s">
        <v>2941</v>
      </c>
      <c r="N257" t="s">
        <v>2942</v>
      </c>
      <c r="O257" t="s">
        <v>2607</v>
      </c>
      <c r="P257" t="s">
        <v>2943</v>
      </c>
      <c r="Q257" t="s">
        <v>2944</v>
      </c>
      <c r="R257" t="s">
        <v>2942</v>
      </c>
      <c r="S257" s="2">
        <v>42614</v>
      </c>
      <c r="T257" t="s">
        <v>2945</v>
      </c>
      <c r="U257" t="s">
        <v>2946</v>
      </c>
      <c r="V257">
        <v>0</v>
      </c>
      <c r="W257">
        <v>6</v>
      </c>
      <c r="X257">
        <v>326937</v>
      </c>
      <c r="Y257" t="s">
        <v>2947</v>
      </c>
      <c r="Z257" t="s">
        <v>2944</v>
      </c>
      <c r="AA257" t="s">
        <v>2608</v>
      </c>
      <c r="AB257" t="s">
        <v>45</v>
      </c>
      <c r="AC257" t="s">
        <v>2609</v>
      </c>
    </row>
    <row r="258" spans="1:29">
      <c r="A258" t="s">
        <v>2125</v>
      </c>
      <c r="B258" s="1">
        <v>171264</v>
      </c>
      <c r="C258" t="s">
        <v>2598</v>
      </c>
      <c r="D258" t="s">
        <v>2948</v>
      </c>
      <c r="E258" s="1">
        <v>-4032</v>
      </c>
      <c r="F258" t="s">
        <v>2949</v>
      </c>
      <c r="G258" t="s">
        <v>630</v>
      </c>
      <c r="H258" t="s">
        <v>2950</v>
      </c>
      <c r="I258">
        <v>3</v>
      </c>
      <c r="J258" t="s">
        <v>971</v>
      </c>
      <c r="K258">
        <v>68</v>
      </c>
      <c r="L258" t="s">
        <v>2951</v>
      </c>
      <c r="M258" t="s">
        <v>2952</v>
      </c>
      <c r="N258" t="s">
        <v>2953</v>
      </c>
      <c r="O258" t="s">
        <v>2954</v>
      </c>
      <c r="P258" t="s">
        <v>2955</v>
      </c>
      <c r="Q258" t="s">
        <v>2956</v>
      </c>
      <c r="R258" t="s">
        <v>2957</v>
      </c>
      <c r="S258" s="2">
        <v>45478</v>
      </c>
      <c r="T258" t="s">
        <v>2958</v>
      </c>
      <c r="U258" t="s">
        <v>2959</v>
      </c>
      <c r="V258">
        <v>0</v>
      </c>
      <c r="W258">
        <v>9</v>
      </c>
      <c r="X258">
        <v>131765</v>
      </c>
      <c r="Y258" t="s">
        <v>2960</v>
      </c>
      <c r="Z258" t="s">
        <v>2956</v>
      </c>
      <c r="AA258" t="s">
        <v>2961</v>
      </c>
      <c r="AB258" t="s">
        <v>45</v>
      </c>
      <c r="AC258" t="s">
        <v>2962</v>
      </c>
    </row>
    <row r="259" spans="1:29">
      <c r="A259" t="s">
        <v>2963</v>
      </c>
      <c r="B259" s="1">
        <v>118079</v>
      </c>
      <c r="C259" t="s">
        <v>1098</v>
      </c>
      <c r="D259" t="s">
        <v>2948</v>
      </c>
      <c r="E259" s="1">
        <v>-5641</v>
      </c>
      <c r="F259" t="s">
        <v>799</v>
      </c>
      <c r="G259" t="s">
        <v>1407</v>
      </c>
      <c r="H259" t="s">
        <v>2964</v>
      </c>
      <c r="I259">
        <v>4</v>
      </c>
      <c r="J259" t="s">
        <v>1775</v>
      </c>
      <c r="K259">
        <v>75</v>
      </c>
      <c r="L259" t="s">
        <v>2965</v>
      </c>
      <c r="M259" t="s">
        <v>2966</v>
      </c>
      <c r="N259" t="s">
        <v>2967</v>
      </c>
      <c r="O259" t="s">
        <v>2954</v>
      </c>
      <c r="P259" t="s">
        <v>2968</v>
      </c>
      <c r="Q259" t="s">
        <v>2969</v>
      </c>
      <c r="R259" t="s">
        <v>2967</v>
      </c>
      <c r="S259" s="2">
        <v>45611</v>
      </c>
      <c r="T259" t="s">
        <v>2970</v>
      </c>
      <c r="U259" t="s">
        <v>2971</v>
      </c>
      <c r="V259">
        <v>0</v>
      </c>
      <c r="W259">
        <v>5</v>
      </c>
      <c r="X259">
        <v>174053</v>
      </c>
      <c r="Y259" t="s">
        <v>2117</v>
      </c>
      <c r="Z259" t="s">
        <v>2969</v>
      </c>
      <c r="AA259" t="s">
        <v>2961</v>
      </c>
      <c r="AB259" t="s">
        <v>45</v>
      </c>
      <c r="AC259" t="s">
        <v>2962</v>
      </c>
    </row>
    <row r="260" spans="1:29">
      <c r="A260" t="s">
        <v>2972</v>
      </c>
      <c r="B260" s="1">
        <v>113981</v>
      </c>
      <c r="C260" t="s">
        <v>1445</v>
      </c>
      <c r="D260" t="s">
        <v>2948</v>
      </c>
      <c r="E260" s="1">
        <v>-4621</v>
      </c>
      <c r="F260" t="s">
        <v>2973</v>
      </c>
      <c r="G260" t="s">
        <v>2974</v>
      </c>
      <c r="H260" t="s">
        <v>2975</v>
      </c>
      <c r="I260">
        <v>4</v>
      </c>
      <c r="J260" t="s">
        <v>2976</v>
      </c>
      <c r="K260">
        <v>76</v>
      </c>
      <c r="L260" t="s">
        <v>2977</v>
      </c>
      <c r="M260" t="s">
        <v>2978</v>
      </c>
      <c r="N260" t="s">
        <v>2979</v>
      </c>
      <c r="O260" t="s">
        <v>2954</v>
      </c>
      <c r="P260" t="s">
        <v>2980</v>
      </c>
      <c r="Q260" t="s">
        <v>2981</v>
      </c>
      <c r="R260" t="s">
        <v>2979</v>
      </c>
      <c r="S260" s="2">
        <v>45596</v>
      </c>
      <c r="T260" t="s">
        <v>2982</v>
      </c>
      <c r="U260" t="s">
        <v>2983</v>
      </c>
      <c r="V260">
        <v>1</v>
      </c>
      <c r="W260">
        <v>5</v>
      </c>
      <c r="X260">
        <v>172632</v>
      </c>
      <c r="Y260" t="s">
        <v>43</v>
      </c>
      <c r="Z260" t="s">
        <v>2981</v>
      </c>
      <c r="AA260" t="s">
        <v>2961</v>
      </c>
      <c r="AB260" t="s">
        <v>45</v>
      </c>
      <c r="AC260" t="s">
        <v>2962</v>
      </c>
    </row>
    <row r="261" spans="1:29">
      <c r="A261" t="s">
        <v>304</v>
      </c>
      <c r="B261" s="1">
        <v>100049</v>
      </c>
      <c r="C261" t="s">
        <v>1010</v>
      </c>
      <c r="D261" t="s">
        <v>2948</v>
      </c>
      <c r="E261" s="1">
        <v>-3455</v>
      </c>
      <c r="F261" t="s">
        <v>526</v>
      </c>
      <c r="G261" t="s">
        <v>2984</v>
      </c>
      <c r="H261" t="s">
        <v>2985</v>
      </c>
      <c r="I261">
        <v>4</v>
      </c>
      <c r="J261" t="s">
        <v>2314</v>
      </c>
      <c r="K261">
        <v>68</v>
      </c>
      <c r="L261" t="s">
        <v>2986</v>
      </c>
      <c r="M261" t="s">
        <v>2987</v>
      </c>
      <c r="N261" t="s">
        <v>2988</v>
      </c>
      <c r="O261" t="s">
        <v>2954</v>
      </c>
      <c r="P261" t="s">
        <v>2989</v>
      </c>
      <c r="Q261" t="s">
        <v>2990</v>
      </c>
      <c r="R261" t="s">
        <v>2988</v>
      </c>
      <c r="S261" s="2">
        <v>45512</v>
      </c>
      <c r="T261">
        <v>0</v>
      </c>
      <c r="U261" t="s">
        <v>2991</v>
      </c>
      <c r="V261">
        <v>1</v>
      </c>
      <c r="W261">
        <v>8</v>
      </c>
      <c r="X261">
        <v>184249</v>
      </c>
      <c r="Y261" t="s">
        <v>65</v>
      </c>
      <c r="Z261" t="s">
        <v>2990</v>
      </c>
      <c r="AA261" t="s">
        <v>2961</v>
      </c>
      <c r="AB261" t="s">
        <v>45</v>
      </c>
      <c r="AC261" t="s">
        <v>2962</v>
      </c>
    </row>
    <row r="262" spans="1:29">
      <c r="A262" t="s">
        <v>1608</v>
      </c>
      <c r="B262" t="s">
        <v>2992</v>
      </c>
      <c r="C262" t="s">
        <v>1583</v>
      </c>
      <c r="D262" t="s">
        <v>2948</v>
      </c>
      <c r="E262" s="1">
        <v>-5493</v>
      </c>
      <c r="F262" t="s">
        <v>2580</v>
      </c>
      <c r="G262" t="s">
        <v>265</v>
      </c>
      <c r="H262" t="s">
        <v>2993</v>
      </c>
      <c r="I262">
        <v>4</v>
      </c>
      <c r="J262" t="s">
        <v>2280</v>
      </c>
      <c r="K262">
        <v>77</v>
      </c>
      <c r="L262" t="s">
        <v>2994</v>
      </c>
      <c r="M262" t="s">
        <v>2995</v>
      </c>
      <c r="N262" t="s">
        <v>2996</v>
      </c>
      <c r="O262" t="s">
        <v>2954</v>
      </c>
      <c r="P262" t="s">
        <v>2997</v>
      </c>
      <c r="Q262" t="s">
        <v>2998</v>
      </c>
      <c r="R262" t="s">
        <v>2996</v>
      </c>
      <c r="S262" s="2">
        <v>45583</v>
      </c>
      <c r="T262" t="s">
        <v>2999</v>
      </c>
      <c r="U262" t="s">
        <v>3000</v>
      </c>
      <c r="V262">
        <v>1</v>
      </c>
      <c r="W262">
        <v>1</v>
      </c>
      <c r="X262">
        <v>259354</v>
      </c>
      <c r="Y262" t="s">
        <v>2802</v>
      </c>
      <c r="Z262" t="s">
        <v>2998</v>
      </c>
      <c r="AA262" t="s">
        <v>2961</v>
      </c>
      <c r="AB262" t="s">
        <v>45</v>
      </c>
      <c r="AC262" t="s">
        <v>2962</v>
      </c>
    </row>
    <row r="263" spans="1:29">
      <c r="A263" t="s">
        <v>891</v>
      </c>
      <c r="B263" s="1">
        <v>93482</v>
      </c>
      <c r="C263" t="s">
        <v>1536</v>
      </c>
      <c r="D263" t="s">
        <v>2948</v>
      </c>
      <c r="E263" s="1">
        <v>-3505</v>
      </c>
      <c r="F263" t="s">
        <v>1110</v>
      </c>
      <c r="G263" t="s">
        <v>1300</v>
      </c>
      <c r="H263" t="s">
        <v>3001</v>
      </c>
      <c r="I263">
        <v>4</v>
      </c>
      <c r="J263" t="s">
        <v>1692</v>
      </c>
      <c r="K263">
        <v>78</v>
      </c>
      <c r="L263" t="s">
        <v>3002</v>
      </c>
      <c r="M263" t="s">
        <v>3003</v>
      </c>
      <c r="N263" t="s">
        <v>3004</v>
      </c>
      <c r="O263" t="s">
        <v>2954</v>
      </c>
      <c r="P263" t="s">
        <v>3005</v>
      </c>
      <c r="Q263" t="s">
        <v>3006</v>
      </c>
      <c r="R263" t="s">
        <v>3007</v>
      </c>
      <c r="S263" s="2">
        <v>45576</v>
      </c>
      <c r="T263" t="s">
        <v>3008</v>
      </c>
      <c r="U263" t="s">
        <v>3009</v>
      </c>
      <c r="V263">
        <v>1</v>
      </c>
      <c r="W263">
        <v>2</v>
      </c>
      <c r="X263">
        <v>156826</v>
      </c>
      <c r="Y263" t="s">
        <v>2012</v>
      </c>
      <c r="Z263" t="s">
        <v>3006</v>
      </c>
      <c r="AA263" t="s">
        <v>2961</v>
      </c>
      <c r="AB263" t="s">
        <v>45</v>
      </c>
      <c r="AC263" t="s">
        <v>2962</v>
      </c>
    </row>
    <row r="264" spans="1:29">
      <c r="A264" t="s">
        <v>1536</v>
      </c>
      <c r="B264" s="1">
        <v>145379</v>
      </c>
      <c r="C264" t="s">
        <v>241</v>
      </c>
      <c r="D264" t="s">
        <v>2948</v>
      </c>
      <c r="E264" s="1">
        <v>-7881</v>
      </c>
      <c r="F264" t="s">
        <v>3010</v>
      </c>
      <c r="G264" t="s">
        <v>1736</v>
      </c>
      <c r="H264" t="s">
        <v>3011</v>
      </c>
      <c r="I264">
        <v>5</v>
      </c>
      <c r="J264" t="s">
        <v>2314</v>
      </c>
      <c r="K264">
        <v>71</v>
      </c>
      <c r="L264" t="s">
        <v>3012</v>
      </c>
      <c r="M264" t="s">
        <v>3013</v>
      </c>
      <c r="N264" t="s">
        <v>3014</v>
      </c>
      <c r="O264" t="s">
        <v>2954</v>
      </c>
      <c r="P264" t="s">
        <v>3015</v>
      </c>
      <c r="Q264" t="s">
        <v>3016</v>
      </c>
      <c r="R264" t="s">
        <v>3014</v>
      </c>
      <c r="S264" s="2">
        <v>45580</v>
      </c>
      <c r="T264" t="s">
        <v>3017</v>
      </c>
      <c r="U264" t="s">
        <v>3018</v>
      </c>
      <c r="V264">
        <v>0</v>
      </c>
      <c r="W264">
        <v>6</v>
      </c>
      <c r="X264">
        <v>161379</v>
      </c>
      <c r="Y264" t="s">
        <v>1528</v>
      </c>
      <c r="Z264" t="s">
        <v>3016</v>
      </c>
      <c r="AA264" t="s">
        <v>2961</v>
      </c>
      <c r="AB264" t="s">
        <v>45</v>
      </c>
      <c r="AC264" t="s">
        <v>2962</v>
      </c>
    </row>
    <row r="265" spans="1:29">
      <c r="A265" t="s">
        <v>2814</v>
      </c>
      <c r="B265" s="1">
        <v>101837</v>
      </c>
      <c r="C265" t="s">
        <v>579</v>
      </c>
      <c r="D265" t="s">
        <v>2948</v>
      </c>
      <c r="E265" s="1">
        <v>-3367</v>
      </c>
      <c r="F265" t="s">
        <v>1142</v>
      </c>
      <c r="G265" t="s">
        <v>461</v>
      </c>
      <c r="H265" t="s">
        <v>3019</v>
      </c>
      <c r="I265">
        <v>3</v>
      </c>
      <c r="J265" t="s">
        <v>1347</v>
      </c>
      <c r="K265">
        <v>72</v>
      </c>
      <c r="L265" t="s">
        <v>3020</v>
      </c>
      <c r="M265" t="s">
        <v>3021</v>
      </c>
      <c r="N265" t="s">
        <v>3022</v>
      </c>
      <c r="O265" t="s">
        <v>2954</v>
      </c>
      <c r="P265" t="s">
        <v>3023</v>
      </c>
      <c r="Q265" t="s">
        <v>3024</v>
      </c>
      <c r="R265" t="s">
        <v>3025</v>
      </c>
      <c r="S265" s="2">
        <v>45512</v>
      </c>
      <c r="T265" t="s">
        <v>3026</v>
      </c>
      <c r="U265" t="s">
        <v>3027</v>
      </c>
      <c r="V265">
        <v>0</v>
      </c>
      <c r="W265">
        <v>8</v>
      </c>
      <c r="X265">
        <v>219628</v>
      </c>
      <c r="Y265" t="s">
        <v>3028</v>
      </c>
      <c r="Z265" t="s">
        <v>3024</v>
      </c>
      <c r="AA265" t="s">
        <v>2961</v>
      </c>
      <c r="AB265" t="s">
        <v>45</v>
      </c>
      <c r="AC265" t="s">
        <v>2962</v>
      </c>
    </row>
    <row r="266" spans="1:29">
      <c r="A266" t="s">
        <v>421</v>
      </c>
      <c r="B266" s="1">
        <v>112648</v>
      </c>
      <c r="C266" t="s">
        <v>422</v>
      </c>
      <c r="D266" t="s">
        <v>3029</v>
      </c>
      <c r="E266" s="1">
        <v>-6968</v>
      </c>
      <c r="F266" t="s">
        <v>423</v>
      </c>
      <c r="G266" t="s">
        <v>424</v>
      </c>
      <c r="H266" t="s">
        <v>425</v>
      </c>
      <c r="I266">
        <v>3</v>
      </c>
      <c r="J266" t="s">
        <v>426</v>
      </c>
      <c r="K266">
        <v>93</v>
      </c>
      <c r="L266" t="s">
        <v>427</v>
      </c>
      <c r="M266" t="s">
        <v>428</v>
      </c>
      <c r="N266" t="s">
        <v>429</v>
      </c>
      <c r="O266" t="s">
        <v>3030</v>
      </c>
      <c r="P266" t="s">
        <v>430</v>
      </c>
      <c r="Q266" t="s">
        <v>431</v>
      </c>
      <c r="R266" t="s">
        <v>429</v>
      </c>
      <c r="S266" s="2">
        <v>45561</v>
      </c>
      <c r="T266" t="s">
        <v>432</v>
      </c>
      <c r="U266" t="s">
        <v>433</v>
      </c>
      <c r="V266">
        <v>1</v>
      </c>
      <c r="W266">
        <v>6</v>
      </c>
      <c r="X266">
        <v>225881</v>
      </c>
      <c r="Y266" t="s">
        <v>434</v>
      </c>
      <c r="Z266" t="s">
        <v>431</v>
      </c>
      <c r="AA266" t="s">
        <v>1853</v>
      </c>
      <c r="AB266" t="s">
        <v>45</v>
      </c>
      <c r="AC266" t="s">
        <v>3031</v>
      </c>
    </row>
    <row r="267" spans="1:29">
      <c r="A267" t="s">
        <v>3032</v>
      </c>
      <c r="B267" s="1">
        <v>99973</v>
      </c>
      <c r="C267" t="s">
        <v>1023</v>
      </c>
      <c r="D267" t="s">
        <v>3029</v>
      </c>
      <c r="E267" s="1">
        <v>-5091</v>
      </c>
      <c r="F267" t="s">
        <v>3033</v>
      </c>
      <c r="G267" t="s">
        <v>360</v>
      </c>
      <c r="H267" t="s">
        <v>3034</v>
      </c>
      <c r="I267">
        <v>4</v>
      </c>
      <c r="J267" t="s">
        <v>633</v>
      </c>
      <c r="K267">
        <v>86</v>
      </c>
      <c r="L267" t="s">
        <v>3035</v>
      </c>
      <c r="M267" t="s">
        <v>3036</v>
      </c>
      <c r="N267" t="s">
        <v>3037</v>
      </c>
      <c r="O267" t="s">
        <v>3030</v>
      </c>
      <c r="P267" t="s">
        <v>3038</v>
      </c>
      <c r="Q267" t="s">
        <v>3039</v>
      </c>
      <c r="R267" t="s">
        <v>3040</v>
      </c>
      <c r="S267" s="2">
        <v>45547</v>
      </c>
      <c r="T267" t="s">
        <v>3041</v>
      </c>
      <c r="U267" t="s">
        <v>3042</v>
      </c>
      <c r="V267">
        <v>0</v>
      </c>
      <c r="W267">
        <v>6</v>
      </c>
      <c r="X267">
        <v>177600</v>
      </c>
      <c r="Y267" t="s">
        <v>1087</v>
      </c>
      <c r="Z267" t="s">
        <v>3039</v>
      </c>
      <c r="AA267" t="s">
        <v>1853</v>
      </c>
      <c r="AB267" t="s">
        <v>45</v>
      </c>
      <c r="AC267" t="s">
        <v>3031</v>
      </c>
    </row>
    <row r="268" spans="1:29">
      <c r="A268" t="s">
        <v>346</v>
      </c>
      <c r="B268" s="1">
        <v>105008</v>
      </c>
      <c r="C268" t="s">
        <v>347</v>
      </c>
      <c r="D268" t="s">
        <v>3029</v>
      </c>
      <c r="E268" s="1">
        <v>-5593</v>
      </c>
      <c r="F268" t="s">
        <v>348</v>
      </c>
      <c r="G268" t="s">
        <v>349</v>
      </c>
      <c r="H268" t="s">
        <v>350</v>
      </c>
      <c r="I268">
        <v>4</v>
      </c>
      <c r="J268" t="s">
        <v>351</v>
      </c>
      <c r="K268">
        <v>82</v>
      </c>
      <c r="L268" t="s">
        <v>352</v>
      </c>
      <c r="M268" t="s">
        <v>353</v>
      </c>
      <c r="N268" t="s">
        <v>354</v>
      </c>
      <c r="O268" t="s">
        <v>3030</v>
      </c>
      <c r="P268" t="s">
        <v>355</v>
      </c>
      <c r="Q268" t="s">
        <v>356</v>
      </c>
      <c r="R268" t="s">
        <v>357</v>
      </c>
      <c r="S268" s="2">
        <v>45611</v>
      </c>
      <c r="T268" t="s">
        <v>358</v>
      </c>
      <c r="U268" t="s">
        <v>359</v>
      </c>
      <c r="V268">
        <v>0</v>
      </c>
      <c r="W268">
        <v>4</v>
      </c>
      <c r="X268">
        <v>182857</v>
      </c>
      <c r="Y268" t="s">
        <v>360</v>
      </c>
      <c r="Z268" t="s">
        <v>356</v>
      </c>
      <c r="AA268" t="s">
        <v>1853</v>
      </c>
      <c r="AB268" t="s">
        <v>45</v>
      </c>
      <c r="AC268" t="s">
        <v>3031</v>
      </c>
    </row>
    <row r="269" spans="1:29">
      <c r="A269" t="s">
        <v>1583</v>
      </c>
      <c r="B269" s="1">
        <v>101923</v>
      </c>
      <c r="C269" t="s">
        <v>3043</v>
      </c>
      <c r="D269" t="s">
        <v>3029</v>
      </c>
      <c r="E269" s="1">
        <v>-4667</v>
      </c>
      <c r="F269" t="s">
        <v>3044</v>
      </c>
      <c r="G269" t="s">
        <v>756</v>
      </c>
      <c r="H269" t="s">
        <v>3045</v>
      </c>
      <c r="I269">
        <v>4</v>
      </c>
      <c r="J269" t="s">
        <v>1528</v>
      </c>
      <c r="K269">
        <v>76</v>
      </c>
      <c r="L269" t="s">
        <v>3046</v>
      </c>
      <c r="M269" t="s">
        <v>3047</v>
      </c>
      <c r="N269" t="s">
        <v>3048</v>
      </c>
      <c r="O269" t="s">
        <v>3030</v>
      </c>
      <c r="P269" t="s">
        <v>3049</v>
      </c>
      <c r="Q269" t="s">
        <v>3050</v>
      </c>
      <c r="R269" t="s">
        <v>3048</v>
      </c>
      <c r="S269" s="2">
        <v>45603</v>
      </c>
      <c r="T269">
        <v>0</v>
      </c>
      <c r="U269" t="s">
        <v>3051</v>
      </c>
      <c r="V269">
        <v>1</v>
      </c>
      <c r="W269">
        <v>11</v>
      </c>
      <c r="X269">
        <v>170366</v>
      </c>
      <c r="Y269" t="s">
        <v>2001</v>
      </c>
      <c r="Z269" t="s">
        <v>3050</v>
      </c>
      <c r="AA269" t="s">
        <v>1853</v>
      </c>
      <c r="AB269" t="s">
        <v>45</v>
      </c>
      <c r="AC269" t="s">
        <v>3031</v>
      </c>
    </row>
    <row r="270" spans="1:29">
      <c r="A270" t="s">
        <v>1584</v>
      </c>
      <c r="B270" s="1">
        <v>95999</v>
      </c>
      <c r="C270" t="s">
        <v>915</v>
      </c>
      <c r="D270" t="s">
        <v>3029</v>
      </c>
      <c r="E270" s="1">
        <v>-5855</v>
      </c>
      <c r="F270" t="s">
        <v>3052</v>
      </c>
      <c r="G270" t="s">
        <v>3053</v>
      </c>
      <c r="H270" t="s">
        <v>3054</v>
      </c>
      <c r="I270">
        <v>4</v>
      </c>
      <c r="J270" t="s">
        <v>3055</v>
      </c>
      <c r="K270">
        <v>72</v>
      </c>
      <c r="L270" t="s">
        <v>3056</v>
      </c>
      <c r="M270" t="s">
        <v>3057</v>
      </c>
      <c r="N270" t="s">
        <v>3058</v>
      </c>
      <c r="O270" t="s">
        <v>3030</v>
      </c>
      <c r="P270" t="s">
        <v>3059</v>
      </c>
      <c r="Q270" t="s">
        <v>3060</v>
      </c>
      <c r="R270" t="s">
        <v>3058</v>
      </c>
      <c r="S270" s="2">
        <v>45610</v>
      </c>
      <c r="T270" t="s">
        <v>3061</v>
      </c>
      <c r="U270" t="s">
        <v>3062</v>
      </c>
      <c r="V270">
        <v>0</v>
      </c>
      <c r="W270">
        <v>4</v>
      </c>
      <c r="X270">
        <v>248363</v>
      </c>
      <c r="Y270" t="s">
        <v>767</v>
      </c>
      <c r="Z270" t="s">
        <v>3060</v>
      </c>
      <c r="AA270" t="s">
        <v>1853</v>
      </c>
      <c r="AB270" t="s">
        <v>45</v>
      </c>
      <c r="AC270" t="s">
        <v>3031</v>
      </c>
    </row>
    <row r="271" spans="1:29">
      <c r="A271" t="s">
        <v>1152</v>
      </c>
      <c r="B271" s="1">
        <v>100029</v>
      </c>
      <c r="C271" t="s">
        <v>322</v>
      </c>
      <c r="D271" t="s">
        <v>3029</v>
      </c>
      <c r="E271" s="1">
        <v>-6335</v>
      </c>
      <c r="F271" t="s">
        <v>3063</v>
      </c>
      <c r="G271" t="s">
        <v>997</v>
      </c>
      <c r="H271" t="s">
        <v>3064</v>
      </c>
      <c r="I271">
        <v>4</v>
      </c>
      <c r="J271" t="s">
        <v>61</v>
      </c>
      <c r="K271">
        <v>88</v>
      </c>
      <c r="L271" t="s">
        <v>3065</v>
      </c>
      <c r="M271" t="s">
        <v>3066</v>
      </c>
      <c r="N271" t="s">
        <v>3067</v>
      </c>
      <c r="O271" t="s">
        <v>3030</v>
      </c>
      <c r="P271" t="s">
        <v>3068</v>
      </c>
      <c r="Q271" t="s">
        <v>3069</v>
      </c>
      <c r="R271" t="s">
        <v>3070</v>
      </c>
      <c r="S271" s="2">
        <v>45498</v>
      </c>
      <c r="T271" t="s">
        <v>3071</v>
      </c>
      <c r="U271" t="s">
        <v>3072</v>
      </c>
      <c r="V271">
        <v>0</v>
      </c>
      <c r="W271">
        <v>7</v>
      </c>
      <c r="X271">
        <v>149074</v>
      </c>
      <c r="Y271" t="s">
        <v>2832</v>
      </c>
      <c r="Z271" t="s">
        <v>3069</v>
      </c>
      <c r="AA271" t="s">
        <v>1853</v>
      </c>
      <c r="AB271" t="s">
        <v>45</v>
      </c>
      <c r="AC271" t="s">
        <v>3031</v>
      </c>
    </row>
    <row r="272" spans="1:29">
      <c r="A272" t="s">
        <v>527</v>
      </c>
      <c r="B272" s="1">
        <v>128027</v>
      </c>
      <c r="C272" t="s">
        <v>539</v>
      </c>
      <c r="D272" t="s">
        <v>3029</v>
      </c>
      <c r="E272" s="1">
        <v>-6795</v>
      </c>
      <c r="F272" t="s">
        <v>540</v>
      </c>
      <c r="G272" t="s">
        <v>250</v>
      </c>
      <c r="H272" t="s">
        <v>541</v>
      </c>
      <c r="I272">
        <v>4</v>
      </c>
      <c r="J272" t="s">
        <v>542</v>
      </c>
      <c r="K272">
        <v>93</v>
      </c>
      <c r="L272" t="s">
        <v>543</v>
      </c>
      <c r="M272" t="s">
        <v>544</v>
      </c>
      <c r="N272" t="s">
        <v>545</v>
      </c>
      <c r="O272" t="s">
        <v>3030</v>
      </c>
      <c r="P272" t="s">
        <v>546</v>
      </c>
      <c r="Q272" t="s">
        <v>547</v>
      </c>
      <c r="R272" t="s">
        <v>545</v>
      </c>
      <c r="S272" s="2">
        <v>45464</v>
      </c>
      <c r="T272" t="s">
        <v>548</v>
      </c>
      <c r="U272" t="s">
        <v>549</v>
      </c>
      <c r="V272">
        <v>1</v>
      </c>
      <c r="W272">
        <v>11</v>
      </c>
      <c r="X272">
        <v>195824</v>
      </c>
      <c r="Y272" t="s">
        <v>550</v>
      </c>
      <c r="Z272" t="s">
        <v>547</v>
      </c>
      <c r="AA272" t="s">
        <v>1853</v>
      </c>
      <c r="AB272" t="s">
        <v>45</v>
      </c>
      <c r="AC272" t="s">
        <v>3031</v>
      </c>
    </row>
    <row r="273" spans="1:29">
      <c r="A273" t="s">
        <v>3073</v>
      </c>
      <c r="B273" s="1">
        <v>90025</v>
      </c>
      <c r="C273" t="s">
        <v>3074</v>
      </c>
      <c r="D273" t="s">
        <v>3029</v>
      </c>
      <c r="E273" s="1">
        <v>-2864</v>
      </c>
      <c r="F273" t="s">
        <v>3075</v>
      </c>
      <c r="G273" t="s">
        <v>290</v>
      </c>
      <c r="H273" t="s">
        <v>3076</v>
      </c>
      <c r="I273">
        <v>4</v>
      </c>
      <c r="J273" t="s">
        <v>3077</v>
      </c>
      <c r="K273">
        <v>72</v>
      </c>
      <c r="L273" t="s">
        <v>3078</v>
      </c>
      <c r="M273" t="s">
        <v>3079</v>
      </c>
      <c r="N273" t="s">
        <v>3080</v>
      </c>
      <c r="O273" t="s">
        <v>3030</v>
      </c>
      <c r="P273" t="s">
        <v>3081</v>
      </c>
      <c r="Q273" t="s">
        <v>3082</v>
      </c>
      <c r="R273" t="s">
        <v>3080</v>
      </c>
      <c r="S273" s="2">
        <v>45610</v>
      </c>
      <c r="T273" t="s">
        <v>3083</v>
      </c>
      <c r="U273" t="s">
        <v>3084</v>
      </c>
      <c r="V273">
        <v>1</v>
      </c>
      <c r="W273">
        <v>0</v>
      </c>
      <c r="X273">
        <v>218701</v>
      </c>
      <c r="Y273" t="s">
        <v>3085</v>
      </c>
      <c r="Z273" t="s">
        <v>3082</v>
      </c>
      <c r="AA273" t="s">
        <v>1853</v>
      </c>
      <c r="AB273" t="s">
        <v>45</v>
      </c>
      <c r="AC273" t="s">
        <v>3031</v>
      </c>
    </row>
    <row r="274" spans="1:29">
      <c r="A274" t="s">
        <v>2740</v>
      </c>
      <c r="B274" s="1">
        <v>105002</v>
      </c>
      <c r="C274" t="s">
        <v>621</v>
      </c>
      <c r="D274" t="s">
        <v>3029</v>
      </c>
      <c r="E274" s="1">
        <v>-4385</v>
      </c>
      <c r="F274" t="s">
        <v>255</v>
      </c>
      <c r="G274" t="s">
        <v>1025</v>
      </c>
      <c r="H274" t="s">
        <v>3086</v>
      </c>
      <c r="I274">
        <v>4</v>
      </c>
      <c r="J274" t="s">
        <v>3087</v>
      </c>
      <c r="K274">
        <v>74</v>
      </c>
      <c r="L274" t="s">
        <v>3088</v>
      </c>
      <c r="M274" t="s">
        <v>3089</v>
      </c>
      <c r="N274" t="s">
        <v>3090</v>
      </c>
      <c r="O274" t="s">
        <v>3030</v>
      </c>
      <c r="P274" t="s">
        <v>3091</v>
      </c>
      <c r="Q274" t="s">
        <v>3092</v>
      </c>
      <c r="R274" t="s">
        <v>3090</v>
      </c>
      <c r="S274" s="2">
        <v>45596</v>
      </c>
      <c r="T274" t="s">
        <v>524</v>
      </c>
      <c r="U274" t="s">
        <v>3093</v>
      </c>
      <c r="V274">
        <v>0</v>
      </c>
      <c r="W274">
        <v>9</v>
      </c>
      <c r="X274">
        <v>165901</v>
      </c>
      <c r="Y274" t="s">
        <v>1617</v>
      </c>
      <c r="Z274" t="s">
        <v>3092</v>
      </c>
      <c r="AA274" t="s">
        <v>1853</v>
      </c>
      <c r="AB274" t="s">
        <v>45</v>
      </c>
      <c r="AC274" t="s">
        <v>3031</v>
      </c>
    </row>
    <row r="275" spans="1:29">
      <c r="A275" t="s">
        <v>489</v>
      </c>
      <c r="B275" t="s">
        <v>620</v>
      </c>
      <c r="C275" t="s">
        <v>621</v>
      </c>
      <c r="D275" t="s">
        <v>3029</v>
      </c>
      <c r="E275" s="1">
        <v>-3574</v>
      </c>
      <c r="F275" t="s">
        <v>582</v>
      </c>
      <c r="G275" t="s">
        <v>622</v>
      </c>
      <c r="H275" t="s">
        <v>623</v>
      </c>
      <c r="I275">
        <v>4</v>
      </c>
      <c r="J275" t="s">
        <v>624</v>
      </c>
      <c r="K275">
        <v>84</v>
      </c>
      <c r="L275" t="s">
        <v>625</v>
      </c>
      <c r="M275" t="s">
        <v>626</v>
      </c>
      <c r="N275">
        <v>57</v>
      </c>
      <c r="O275" t="s">
        <v>3030</v>
      </c>
      <c r="P275" t="s">
        <v>627</v>
      </c>
      <c r="Q275" t="s">
        <v>628</v>
      </c>
      <c r="R275">
        <v>57</v>
      </c>
      <c r="S275" s="2">
        <v>45604</v>
      </c>
      <c r="T275">
        <v>0</v>
      </c>
      <c r="U275" t="s">
        <v>629</v>
      </c>
      <c r="V275">
        <v>0</v>
      </c>
      <c r="W275">
        <v>1</v>
      </c>
      <c r="X275">
        <v>298131</v>
      </c>
      <c r="Y275" t="s">
        <v>363</v>
      </c>
      <c r="Z275" t="s">
        <v>628</v>
      </c>
      <c r="AA275" t="s">
        <v>1853</v>
      </c>
      <c r="AB275" t="s">
        <v>45</v>
      </c>
      <c r="AC275" t="s">
        <v>3031</v>
      </c>
    </row>
    <row r="276" spans="1:29">
      <c r="A276" t="s">
        <v>3094</v>
      </c>
      <c r="B276" s="1">
        <v>155865</v>
      </c>
      <c r="C276" t="s">
        <v>3095</v>
      </c>
      <c r="D276" t="s">
        <v>3029</v>
      </c>
      <c r="E276" s="1">
        <v>-4975</v>
      </c>
      <c r="F276" t="s">
        <v>3096</v>
      </c>
      <c r="G276" t="s">
        <v>3097</v>
      </c>
      <c r="H276" t="s">
        <v>3098</v>
      </c>
      <c r="I276">
        <v>4</v>
      </c>
      <c r="J276" t="s">
        <v>2884</v>
      </c>
      <c r="K276">
        <v>78</v>
      </c>
      <c r="L276" t="s">
        <v>3099</v>
      </c>
      <c r="M276" t="s">
        <v>3100</v>
      </c>
      <c r="N276" t="s">
        <v>354</v>
      </c>
      <c r="O276" t="s">
        <v>3030</v>
      </c>
      <c r="P276" t="s">
        <v>3101</v>
      </c>
      <c r="Q276" t="s">
        <v>3102</v>
      </c>
      <c r="R276" t="s">
        <v>3103</v>
      </c>
      <c r="S276" s="2">
        <v>45611</v>
      </c>
      <c r="T276">
        <v>0</v>
      </c>
      <c r="U276" t="s">
        <v>359</v>
      </c>
      <c r="V276">
        <v>1</v>
      </c>
      <c r="W276">
        <v>7</v>
      </c>
      <c r="X276">
        <v>206066</v>
      </c>
      <c r="Y276" t="s">
        <v>824</v>
      </c>
      <c r="Z276" t="s">
        <v>3102</v>
      </c>
      <c r="AA276" t="s">
        <v>1853</v>
      </c>
      <c r="AB276" t="s">
        <v>45</v>
      </c>
      <c r="AC276" t="s">
        <v>3031</v>
      </c>
    </row>
    <row r="277" spans="1:29">
      <c r="A277" t="s">
        <v>2570</v>
      </c>
      <c r="B277" s="1">
        <v>171831</v>
      </c>
      <c r="C277" t="s">
        <v>2794</v>
      </c>
      <c r="D277" t="s">
        <v>3029</v>
      </c>
      <c r="E277" s="1">
        <v>-6436</v>
      </c>
      <c r="F277" t="s">
        <v>3104</v>
      </c>
      <c r="G277" t="s">
        <v>2193</v>
      </c>
      <c r="H277" t="s">
        <v>3105</v>
      </c>
      <c r="I277">
        <v>4</v>
      </c>
      <c r="J277" t="s">
        <v>3106</v>
      </c>
      <c r="K277">
        <v>72</v>
      </c>
      <c r="L277" t="s">
        <v>3107</v>
      </c>
      <c r="M277" t="s">
        <v>3108</v>
      </c>
      <c r="N277" t="s">
        <v>3109</v>
      </c>
      <c r="O277" t="s">
        <v>3030</v>
      </c>
      <c r="P277" t="s">
        <v>3110</v>
      </c>
      <c r="Q277" t="s">
        <v>3111</v>
      </c>
      <c r="R277" t="s">
        <v>3109</v>
      </c>
      <c r="S277" s="2">
        <v>45596</v>
      </c>
      <c r="T277">
        <v>0</v>
      </c>
      <c r="U277" t="s">
        <v>3112</v>
      </c>
      <c r="V277">
        <v>0</v>
      </c>
      <c r="W277">
        <v>3</v>
      </c>
      <c r="X277">
        <v>177209</v>
      </c>
      <c r="Y277" t="s">
        <v>3113</v>
      </c>
      <c r="Z277" t="s">
        <v>3111</v>
      </c>
      <c r="AA277" t="s">
        <v>1853</v>
      </c>
      <c r="AB277" t="s">
        <v>45</v>
      </c>
      <c r="AC277" t="s">
        <v>3031</v>
      </c>
    </row>
    <row r="278" spans="1:29">
      <c r="A278" t="s">
        <v>3114</v>
      </c>
      <c r="B278" s="1">
        <v>101097</v>
      </c>
      <c r="C278" t="s">
        <v>3115</v>
      </c>
      <c r="D278" t="s">
        <v>3029</v>
      </c>
      <c r="E278" s="1">
        <v>-3165</v>
      </c>
      <c r="F278" t="s">
        <v>686</v>
      </c>
      <c r="G278" t="s">
        <v>580</v>
      </c>
      <c r="H278" t="s">
        <v>3116</v>
      </c>
      <c r="I278">
        <v>3</v>
      </c>
      <c r="J278" t="s">
        <v>1483</v>
      </c>
      <c r="K278">
        <v>82</v>
      </c>
      <c r="L278" t="s">
        <v>3117</v>
      </c>
      <c r="M278" t="s">
        <v>3118</v>
      </c>
      <c r="N278" t="s">
        <v>2635</v>
      </c>
      <c r="O278" t="s">
        <v>3030</v>
      </c>
      <c r="P278" t="s">
        <v>3119</v>
      </c>
      <c r="Q278" t="s">
        <v>3120</v>
      </c>
      <c r="R278" t="s">
        <v>3121</v>
      </c>
      <c r="S278" s="2">
        <v>45596</v>
      </c>
      <c r="T278">
        <v>0</v>
      </c>
      <c r="U278" t="s">
        <v>2639</v>
      </c>
      <c r="V278">
        <v>1</v>
      </c>
      <c r="W278">
        <v>0</v>
      </c>
      <c r="X278">
        <v>246889</v>
      </c>
      <c r="Y278" t="s">
        <v>1653</v>
      </c>
      <c r="Z278" t="s">
        <v>3120</v>
      </c>
      <c r="AA278" t="s">
        <v>1853</v>
      </c>
      <c r="AB278" t="s">
        <v>45</v>
      </c>
      <c r="AC278" t="s">
        <v>3031</v>
      </c>
    </row>
    <row r="279" spans="1:29">
      <c r="A279" t="s">
        <v>864</v>
      </c>
      <c r="B279" s="1">
        <v>100021</v>
      </c>
      <c r="C279" t="s">
        <v>174</v>
      </c>
      <c r="D279" t="s">
        <v>3029</v>
      </c>
      <c r="E279" t="s">
        <v>3122</v>
      </c>
      <c r="F279" t="s">
        <v>3123</v>
      </c>
      <c r="G279" t="s">
        <v>335</v>
      </c>
      <c r="H279" t="s">
        <v>3124</v>
      </c>
      <c r="I279">
        <v>4</v>
      </c>
      <c r="J279" t="s">
        <v>668</v>
      </c>
      <c r="K279">
        <v>81</v>
      </c>
      <c r="L279" t="s">
        <v>3125</v>
      </c>
      <c r="M279" t="s">
        <v>3126</v>
      </c>
      <c r="N279" t="s">
        <v>3127</v>
      </c>
      <c r="O279" t="s">
        <v>3030</v>
      </c>
      <c r="P279" t="s">
        <v>3128</v>
      </c>
      <c r="Q279" t="s">
        <v>3129</v>
      </c>
      <c r="R279" t="s">
        <v>3127</v>
      </c>
      <c r="S279" s="2">
        <v>45485</v>
      </c>
      <c r="T279" t="s">
        <v>3130</v>
      </c>
      <c r="U279" t="s">
        <v>3131</v>
      </c>
      <c r="V279">
        <v>0</v>
      </c>
      <c r="W279">
        <v>6</v>
      </c>
      <c r="X279">
        <v>136944</v>
      </c>
      <c r="Y279" t="s">
        <v>2403</v>
      </c>
      <c r="Z279" t="s">
        <v>3129</v>
      </c>
      <c r="AA279" t="s">
        <v>1853</v>
      </c>
      <c r="AB279" t="s">
        <v>45</v>
      </c>
      <c r="AC279" t="s">
        <v>3031</v>
      </c>
    </row>
    <row r="280" spans="1:29">
      <c r="A280" t="s">
        <v>3132</v>
      </c>
      <c r="B280" s="1">
        <v>119893</v>
      </c>
      <c r="C280" t="s">
        <v>2325</v>
      </c>
      <c r="D280" t="s">
        <v>3029</v>
      </c>
      <c r="E280" s="1">
        <v>-6981</v>
      </c>
      <c r="F280" t="s">
        <v>1301</v>
      </c>
      <c r="G280" t="s">
        <v>1666</v>
      </c>
      <c r="H280" t="s">
        <v>3133</v>
      </c>
      <c r="I280">
        <v>3</v>
      </c>
      <c r="J280" t="s">
        <v>3134</v>
      </c>
      <c r="K280">
        <v>79</v>
      </c>
      <c r="L280" t="s">
        <v>3135</v>
      </c>
      <c r="M280" t="s">
        <v>3136</v>
      </c>
      <c r="N280" t="s">
        <v>3137</v>
      </c>
      <c r="O280" t="s">
        <v>3030</v>
      </c>
      <c r="P280" t="s">
        <v>3138</v>
      </c>
      <c r="Q280" t="s">
        <v>3139</v>
      </c>
      <c r="R280" t="s">
        <v>3140</v>
      </c>
      <c r="S280" s="2">
        <v>45583</v>
      </c>
      <c r="T280" t="s">
        <v>2495</v>
      </c>
      <c r="U280" t="s">
        <v>3141</v>
      </c>
      <c r="V280">
        <v>1</v>
      </c>
      <c r="W280">
        <v>10</v>
      </c>
      <c r="X280">
        <v>178337</v>
      </c>
      <c r="Y280" t="s">
        <v>2580</v>
      </c>
      <c r="Z280" t="s">
        <v>3139</v>
      </c>
      <c r="AA280" t="s">
        <v>1853</v>
      </c>
      <c r="AB280" t="s">
        <v>45</v>
      </c>
      <c r="AC280" t="s">
        <v>3031</v>
      </c>
    </row>
    <row r="281" spans="1:29">
      <c r="A281" t="s">
        <v>580</v>
      </c>
      <c r="B281" s="1">
        <v>155079</v>
      </c>
      <c r="C281" t="s">
        <v>581</v>
      </c>
      <c r="D281" t="s">
        <v>3029</v>
      </c>
      <c r="E281" s="1">
        <v>-6304</v>
      </c>
      <c r="F281" t="s">
        <v>582</v>
      </c>
      <c r="G281" t="s">
        <v>583</v>
      </c>
      <c r="H281" t="s">
        <v>584</v>
      </c>
      <c r="I281">
        <v>4</v>
      </c>
      <c r="J281" t="s">
        <v>585</v>
      </c>
      <c r="K281">
        <v>89</v>
      </c>
      <c r="L281" t="s">
        <v>586</v>
      </c>
      <c r="M281" t="s">
        <v>587</v>
      </c>
      <c r="N281" t="s">
        <v>588</v>
      </c>
      <c r="O281" t="s">
        <v>3030</v>
      </c>
      <c r="P281" t="s">
        <v>589</v>
      </c>
      <c r="Q281" t="s">
        <v>590</v>
      </c>
      <c r="R281" t="s">
        <v>591</v>
      </c>
      <c r="S281" s="2">
        <v>45555</v>
      </c>
      <c r="T281">
        <v>0</v>
      </c>
      <c r="U281" t="s">
        <v>592</v>
      </c>
      <c r="V281">
        <v>0</v>
      </c>
      <c r="W281">
        <v>6</v>
      </c>
      <c r="X281">
        <v>223320</v>
      </c>
      <c r="Y281" t="s">
        <v>593</v>
      </c>
      <c r="Z281" t="s">
        <v>590</v>
      </c>
      <c r="AA281" t="s">
        <v>1853</v>
      </c>
      <c r="AB281" t="s">
        <v>45</v>
      </c>
      <c r="AC281" t="s">
        <v>3031</v>
      </c>
    </row>
    <row r="282" spans="1:29">
      <c r="A282" t="s">
        <v>3142</v>
      </c>
      <c r="B282" s="1">
        <v>104033</v>
      </c>
      <c r="C282" t="s">
        <v>3143</v>
      </c>
      <c r="D282" t="s">
        <v>3029</v>
      </c>
      <c r="E282" s="1">
        <v>-4963</v>
      </c>
      <c r="F282" t="s">
        <v>3144</v>
      </c>
      <c r="G282" t="s">
        <v>320</v>
      </c>
      <c r="H282" t="s">
        <v>3145</v>
      </c>
      <c r="I282">
        <v>4</v>
      </c>
      <c r="J282" t="s">
        <v>3146</v>
      </c>
      <c r="K282">
        <v>76</v>
      </c>
      <c r="L282" t="s">
        <v>3147</v>
      </c>
      <c r="M282" t="s">
        <v>3148</v>
      </c>
      <c r="N282" t="s">
        <v>3149</v>
      </c>
      <c r="O282" t="s">
        <v>3030</v>
      </c>
      <c r="P282" t="s">
        <v>3150</v>
      </c>
      <c r="Q282" t="s">
        <v>3151</v>
      </c>
      <c r="R282" t="s">
        <v>3149</v>
      </c>
      <c r="S282" s="2">
        <v>45596</v>
      </c>
      <c r="T282" s="3">
        <v>1.9999999999999999E-6</v>
      </c>
      <c r="U282" t="s">
        <v>3152</v>
      </c>
      <c r="V282">
        <v>0</v>
      </c>
      <c r="W282">
        <v>4</v>
      </c>
      <c r="X282">
        <v>162205</v>
      </c>
      <c r="Y282" t="s">
        <v>3153</v>
      </c>
      <c r="Z282" t="s">
        <v>3151</v>
      </c>
      <c r="AA282" t="s">
        <v>1853</v>
      </c>
      <c r="AB282" t="s">
        <v>45</v>
      </c>
      <c r="AC282" t="s">
        <v>3031</v>
      </c>
    </row>
    <row r="283" spans="1:29">
      <c r="A283" t="s">
        <v>2764</v>
      </c>
      <c r="B283" s="1">
        <v>97541</v>
      </c>
      <c r="C283" t="s">
        <v>813</v>
      </c>
      <c r="D283" t="s">
        <v>3029</v>
      </c>
      <c r="E283" s="1">
        <v>-7798</v>
      </c>
      <c r="F283" t="s">
        <v>3154</v>
      </c>
      <c r="G283" t="s">
        <v>1896</v>
      </c>
      <c r="H283" t="s">
        <v>3155</v>
      </c>
      <c r="I283">
        <v>3</v>
      </c>
      <c r="J283" t="s">
        <v>1013</v>
      </c>
      <c r="K283">
        <v>84</v>
      </c>
      <c r="L283" t="s">
        <v>3156</v>
      </c>
      <c r="M283" t="s">
        <v>3157</v>
      </c>
      <c r="N283" t="s">
        <v>3158</v>
      </c>
      <c r="O283" t="s">
        <v>3030</v>
      </c>
      <c r="P283" t="s">
        <v>3159</v>
      </c>
      <c r="Q283" t="s">
        <v>3160</v>
      </c>
      <c r="R283" t="s">
        <v>3161</v>
      </c>
      <c r="S283" s="2">
        <v>45204</v>
      </c>
      <c r="T283">
        <v>0</v>
      </c>
      <c r="U283" t="s">
        <v>3162</v>
      </c>
      <c r="V283">
        <v>0</v>
      </c>
      <c r="W283">
        <v>2</v>
      </c>
      <c r="X283">
        <v>240669</v>
      </c>
      <c r="Y283" t="s">
        <v>3163</v>
      </c>
      <c r="Z283" t="s">
        <v>3160</v>
      </c>
      <c r="AA283" t="s">
        <v>1853</v>
      </c>
      <c r="AB283" t="s">
        <v>45</v>
      </c>
      <c r="AC283" t="s">
        <v>3031</v>
      </c>
    </row>
    <row r="284" spans="1:29">
      <c r="A284" t="s">
        <v>2343</v>
      </c>
      <c r="B284" t="s">
        <v>3164</v>
      </c>
      <c r="C284" t="s">
        <v>422</v>
      </c>
      <c r="D284" t="s">
        <v>3029</v>
      </c>
      <c r="E284" t="s">
        <v>3165</v>
      </c>
      <c r="F284" t="s">
        <v>956</v>
      </c>
      <c r="G284" t="s">
        <v>253</v>
      </c>
      <c r="H284" t="s">
        <v>3166</v>
      </c>
      <c r="I284">
        <v>3</v>
      </c>
      <c r="J284" t="s">
        <v>2051</v>
      </c>
      <c r="K284">
        <v>75</v>
      </c>
      <c r="L284" t="s">
        <v>3167</v>
      </c>
      <c r="M284" t="s">
        <v>3168</v>
      </c>
      <c r="N284" t="s">
        <v>3169</v>
      </c>
      <c r="O284" t="s">
        <v>3030</v>
      </c>
      <c r="P284" t="s">
        <v>3170</v>
      </c>
      <c r="Q284" t="s">
        <v>3171</v>
      </c>
      <c r="R284" t="s">
        <v>3172</v>
      </c>
      <c r="S284" s="2">
        <v>45603</v>
      </c>
      <c r="T284">
        <v>0</v>
      </c>
      <c r="U284" t="s">
        <v>3173</v>
      </c>
      <c r="V284">
        <v>0</v>
      </c>
      <c r="W284">
        <v>8</v>
      </c>
      <c r="X284">
        <v>307565</v>
      </c>
      <c r="Y284" t="s">
        <v>1455</v>
      </c>
      <c r="Z284" t="s">
        <v>3171</v>
      </c>
      <c r="AA284" t="s">
        <v>1853</v>
      </c>
      <c r="AB284" t="s">
        <v>45</v>
      </c>
      <c r="AC284" t="s">
        <v>3031</v>
      </c>
    </row>
    <row r="285" spans="1:29">
      <c r="A285" t="s">
        <v>2182</v>
      </c>
      <c r="B285" s="1">
        <v>100076</v>
      </c>
      <c r="C285" t="s">
        <v>121</v>
      </c>
      <c r="D285" t="s">
        <v>3029</v>
      </c>
      <c r="E285" s="1">
        <v>-4735</v>
      </c>
      <c r="F285" t="s">
        <v>3174</v>
      </c>
      <c r="G285" t="s">
        <v>77</v>
      </c>
      <c r="H285" t="s">
        <v>3175</v>
      </c>
      <c r="I285">
        <v>4</v>
      </c>
      <c r="J285" t="s">
        <v>2580</v>
      </c>
      <c r="K285">
        <v>86</v>
      </c>
      <c r="L285" t="s">
        <v>3176</v>
      </c>
      <c r="M285" t="s">
        <v>3177</v>
      </c>
      <c r="N285" t="s">
        <v>3178</v>
      </c>
      <c r="O285" t="s">
        <v>3030</v>
      </c>
      <c r="P285" t="s">
        <v>3179</v>
      </c>
      <c r="Q285" t="s">
        <v>3180</v>
      </c>
      <c r="R285" t="s">
        <v>3178</v>
      </c>
      <c r="S285" s="2">
        <v>45560</v>
      </c>
      <c r="T285" t="s">
        <v>3181</v>
      </c>
      <c r="U285" t="s">
        <v>3182</v>
      </c>
      <c r="V285">
        <v>1</v>
      </c>
      <c r="W285">
        <v>2</v>
      </c>
      <c r="X285">
        <v>214643</v>
      </c>
      <c r="Y285" t="s">
        <v>2389</v>
      </c>
      <c r="Z285" t="s">
        <v>3180</v>
      </c>
      <c r="AA285" t="s">
        <v>1853</v>
      </c>
      <c r="AB285" t="s">
        <v>45</v>
      </c>
      <c r="AC285" t="s">
        <v>3031</v>
      </c>
    </row>
    <row r="286" spans="1:29">
      <c r="A286" t="s">
        <v>212</v>
      </c>
      <c r="B286" s="1">
        <v>194055</v>
      </c>
      <c r="C286" t="s">
        <v>487</v>
      </c>
      <c r="D286" t="s">
        <v>3029</v>
      </c>
      <c r="E286" s="1">
        <v>-5778</v>
      </c>
      <c r="F286" t="s">
        <v>488</v>
      </c>
      <c r="G286" t="s">
        <v>489</v>
      </c>
      <c r="H286" t="s">
        <v>490</v>
      </c>
      <c r="I286">
        <v>4</v>
      </c>
      <c r="J286" t="s">
        <v>491</v>
      </c>
      <c r="K286">
        <v>79</v>
      </c>
      <c r="L286" t="s">
        <v>3183</v>
      </c>
      <c r="M286" t="s">
        <v>3184</v>
      </c>
      <c r="N286" t="s">
        <v>497</v>
      </c>
      <c r="O286" t="s">
        <v>3030</v>
      </c>
      <c r="P286" t="s">
        <v>3185</v>
      </c>
      <c r="Q286" t="s">
        <v>3186</v>
      </c>
      <c r="R286" t="s">
        <v>497</v>
      </c>
      <c r="S286" s="2">
        <v>45581</v>
      </c>
      <c r="T286">
        <v>0</v>
      </c>
      <c r="U286" t="s">
        <v>3187</v>
      </c>
      <c r="V286">
        <v>0</v>
      </c>
      <c r="W286">
        <v>6</v>
      </c>
      <c r="X286">
        <v>130880</v>
      </c>
      <c r="Y286" t="s">
        <v>499</v>
      </c>
      <c r="Z286" t="s">
        <v>3186</v>
      </c>
      <c r="AA286" t="s">
        <v>1853</v>
      </c>
      <c r="AB286" t="s">
        <v>45</v>
      </c>
      <c r="AC286" t="s">
        <v>3031</v>
      </c>
    </row>
    <row r="287" spans="1:29">
      <c r="A287" t="s">
        <v>3143</v>
      </c>
      <c r="B287" s="1">
        <v>82045</v>
      </c>
      <c r="C287" t="s">
        <v>80</v>
      </c>
      <c r="D287" t="s">
        <v>3029</v>
      </c>
      <c r="E287" s="1">
        <v>-4386</v>
      </c>
      <c r="F287" t="s">
        <v>211</v>
      </c>
      <c r="G287" t="s">
        <v>447</v>
      </c>
      <c r="H287" t="s">
        <v>3188</v>
      </c>
      <c r="I287">
        <v>4</v>
      </c>
      <c r="J287" t="s">
        <v>3189</v>
      </c>
      <c r="K287">
        <v>84</v>
      </c>
      <c r="L287" t="s">
        <v>3190</v>
      </c>
      <c r="M287" t="s">
        <v>3191</v>
      </c>
      <c r="N287" t="s">
        <v>3192</v>
      </c>
      <c r="O287" t="s">
        <v>3030</v>
      </c>
      <c r="P287" t="s">
        <v>3193</v>
      </c>
      <c r="Q287" t="s">
        <v>3194</v>
      </c>
      <c r="R287" t="s">
        <v>3192</v>
      </c>
      <c r="S287" s="2">
        <v>45527</v>
      </c>
      <c r="T287">
        <v>0</v>
      </c>
      <c r="U287" t="s">
        <v>3195</v>
      </c>
      <c r="V287">
        <v>0</v>
      </c>
      <c r="W287">
        <v>7</v>
      </c>
      <c r="X287">
        <v>225373</v>
      </c>
      <c r="Y287" t="s">
        <v>3196</v>
      </c>
      <c r="Z287" t="s">
        <v>3194</v>
      </c>
      <c r="AA287" t="s">
        <v>1853</v>
      </c>
      <c r="AB287" t="s">
        <v>45</v>
      </c>
      <c r="AC287" t="s">
        <v>3031</v>
      </c>
    </row>
    <row r="288" spans="1:29">
      <c r="A288" t="s">
        <v>1726</v>
      </c>
      <c r="B288" s="1">
        <v>98582</v>
      </c>
      <c r="C288" t="s">
        <v>226</v>
      </c>
      <c r="D288" t="s">
        <v>3029</v>
      </c>
      <c r="E288" s="1">
        <v>-4267</v>
      </c>
      <c r="F288" t="s">
        <v>2261</v>
      </c>
      <c r="G288" t="s">
        <v>813</v>
      </c>
      <c r="H288" t="s">
        <v>3197</v>
      </c>
      <c r="I288">
        <v>4</v>
      </c>
      <c r="J288" t="s">
        <v>3198</v>
      </c>
      <c r="K288">
        <v>82</v>
      </c>
      <c r="L288" t="s">
        <v>3199</v>
      </c>
      <c r="M288" t="s">
        <v>3200</v>
      </c>
      <c r="N288" t="s">
        <v>3201</v>
      </c>
      <c r="O288" t="s">
        <v>3030</v>
      </c>
      <c r="P288" t="s">
        <v>3202</v>
      </c>
      <c r="Q288" t="s">
        <v>3203</v>
      </c>
      <c r="R288" t="s">
        <v>3201</v>
      </c>
      <c r="S288" s="2">
        <v>45568</v>
      </c>
      <c r="T288">
        <v>0</v>
      </c>
      <c r="U288" t="s">
        <v>3204</v>
      </c>
      <c r="V288">
        <v>1</v>
      </c>
      <c r="W288">
        <v>8</v>
      </c>
      <c r="X288">
        <v>195846</v>
      </c>
      <c r="Y288" t="s">
        <v>3205</v>
      </c>
      <c r="Z288" t="s">
        <v>3203</v>
      </c>
      <c r="AA288" t="s">
        <v>1853</v>
      </c>
      <c r="AB288" t="s">
        <v>45</v>
      </c>
      <c r="AC288" t="s">
        <v>3031</v>
      </c>
    </row>
    <row r="289" spans="1:29">
      <c r="A289" t="s">
        <v>2711</v>
      </c>
      <c r="B289" s="1">
        <v>104008</v>
      </c>
      <c r="C289" t="s">
        <v>3206</v>
      </c>
      <c r="D289" t="s">
        <v>3029</v>
      </c>
      <c r="E289" s="1">
        <v>-4516</v>
      </c>
      <c r="F289" t="s">
        <v>2929</v>
      </c>
      <c r="G289" t="s">
        <v>969</v>
      </c>
      <c r="H289" t="s">
        <v>3207</v>
      </c>
      <c r="I289">
        <v>4</v>
      </c>
      <c r="J289" t="s">
        <v>3208</v>
      </c>
      <c r="K289">
        <v>72</v>
      </c>
      <c r="L289" t="s">
        <v>3209</v>
      </c>
      <c r="M289" t="s">
        <v>3210</v>
      </c>
      <c r="N289" t="s">
        <v>3211</v>
      </c>
      <c r="O289" t="s">
        <v>3030</v>
      </c>
      <c r="P289" t="s">
        <v>3212</v>
      </c>
      <c r="Q289" t="s">
        <v>3213</v>
      </c>
      <c r="R289" t="s">
        <v>3214</v>
      </c>
      <c r="S289" s="2">
        <v>45526</v>
      </c>
      <c r="T289" t="s">
        <v>3215</v>
      </c>
      <c r="U289" t="s">
        <v>3216</v>
      </c>
      <c r="V289">
        <v>1</v>
      </c>
      <c r="W289">
        <v>0</v>
      </c>
      <c r="X289">
        <v>190107</v>
      </c>
      <c r="Y289" t="s">
        <v>3077</v>
      </c>
      <c r="Z289" t="s">
        <v>3213</v>
      </c>
      <c r="AA289" t="s">
        <v>1853</v>
      </c>
      <c r="AB289" t="s">
        <v>45</v>
      </c>
      <c r="AC289" t="s">
        <v>3031</v>
      </c>
    </row>
    <row r="290" spans="1:29">
      <c r="A290" t="s">
        <v>552</v>
      </c>
      <c r="B290" s="1">
        <v>120208</v>
      </c>
      <c r="C290" t="s">
        <v>3114</v>
      </c>
      <c r="D290" t="s">
        <v>3029</v>
      </c>
      <c r="E290" s="1">
        <v>-7174</v>
      </c>
      <c r="F290" t="s">
        <v>2896</v>
      </c>
      <c r="G290" t="s">
        <v>1597</v>
      </c>
      <c r="H290" t="s">
        <v>3217</v>
      </c>
      <c r="I290">
        <v>3</v>
      </c>
      <c r="J290" t="s">
        <v>3218</v>
      </c>
      <c r="K290">
        <v>89</v>
      </c>
      <c r="L290" t="s">
        <v>3219</v>
      </c>
      <c r="M290" t="s">
        <v>3220</v>
      </c>
      <c r="N290" t="s">
        <v>3221</v>
      </c>
      <c r="O290" t="s">
        <v>3030</v>
      </c>
      <c r="P290" t="s">
        <v>3222</v>
      </c>
      <c r="Q290" t="s">
        <v>3223</v>
      </c>
      <c r="R290" t="s">
        <v>3224</v>
      </c>
      <c r="S290" s="2">
        <v>45526</v>
      </c>
      <c r="T290" t="s">
        <v>3225</v>
      </c>
      <c r="U290" t="s">
        <v>3226</v>
      </c>
      <c r="V290">
        <v>0</v>
      </c>
      <c r="W290">
        <v>7</v>
      </c>
      <c r="X290">
        <v>146141</v>
      </c>
      <c r="Y290" t="s">
        <v>1737</v>
      </c>
      <c r="Z290" t="s">
        <v>3223</v>
      </c>
      <c r="AA290" t="s">
        <v>1853</v>
      </c>
      <c r="AB290" t="s">
        <v>45</v>
      </c>
      <c r="AC290" t="s">
        <v>3031</v>
      </c>
    </row>
    <row r="291" spans="1:29">
      <c r="A291" t="s">
        <v>3227</v>
      </c>
      <c r="B291" s="1">
        <v>117955</v>
      </c>
      <c r="C291" t="s">
        <v>1501</v>
      </c>
      <c r="D291" t="s">
        <v>3029</v>
      </c>
      <c r="E291" s="1">
        <v>-3643</v>
      </c>
      <c r="F291" t="s">
        <v>3228</v>
      </c>
      <c r="G291" t="s">
        <v>176</v>
      </c>
      <c r="H291" t="s">
        <v>3229</v>
      </c>
      <c r="I291">
        <v>4</v>
      </c>
      <c r="J291" t="s">
        <v>3230</v>
      </c>
      <c r="K291">
        <v>75</v>
      </c>
      <c r="L291" t="s">
        <v>3231</v>
      </c>
      <c r="M291" t="s">
        <v>3232</v>
      </c>
      <c r="N291" t="s">
        <v>3233</v>
      </c>
      <c r="O291" t="s">
        <v>3030</v>
      </c>
      <c r="P291" t="s">
        <v>3234</v>
      </c>
      <c r="Q291" t="s">
        <v>3235</v>
      </c>
      <c r="R291" t="s">
        <v>3233</v>
      </c>
      <c r="S291" s="2">
        <v>45589</v>
      </c>
      <c r="T291" t="s">
        <v>3236</v>
      </c>
      <c r="U291" t="s">
        <v>3237</v>
      </c>
      <c r="V291">
        <v>0</v>
      </c>
      <c r="W291">
        <v>7</v>
      </c>
      <c r="X291">
        <v>198607</v>
      </c>
      <c r="Y291" t="s">
        <v>3238</v>
      </c>
      <c r="Z291" t="s">
        <v>3235</v>
      </c>
      <c r="AA291" t="s">
        <v>1853</v>
      </c>
      <c r="AB291" t="s">
        <v>45</v>
      </c>
      <c r="AC291" t="s">
        <v>3031</v>
      </c>
    </row>
    <row r="292" spans="1:29">
      <c r="A292" t="s">
        <v>2569</v>
      </c>
      <c r="B292" t="s">
        <v>3239</v>
      </c>
      <c r="C292" t="s">
        <v>447</v>
      </c>
      <c r="D292" t="s">
        <v>3029</v>
      </c>
      <c r="E292" s="1">
        <v>-5035</v>
      </c>
      <c r="F292" t="s">
        <v>3240</v>
      </c>
      <c r="G292" t="s">
        <v>2683</v>
      </c>
      <c r="H292" t="s">
        <v>3241</v>
      </c>
      <c r="I292">
        <v>3</v>
      </c>
      <c r="J292" t="s">
        <v>3242</v>
      </c>
      <c r="K292">
        <v>75</v>
      </c>
      <c r="L292" t="s">
        <v>3243</v>
      </c>
      <c r="M292" t="s">
        <v>3244</v>
      </c>
      <c r="N292" t="s">
        <v>3245</v>
      </c>
      <c r="O292" t="s">
        <v>3030</v>
      </c>
      <c r="P292" t="s">
        <v>3246</v>
      </c>
      <c r="Q292" t="s">
        <v>3247</v>
      </c>
      <c r="R292" t="s">
        <v>3245</v>
      </c>
      <c r="S292" s="2">
        <v>45596</v>
      </c>
      <c r="T292" t="s">
        <v>1757</v>
      </c>
      <c r="U292" t="s">
        <v>3248</v>
      </c>
      <c r="V292">
        <v>0</v>
      </c>
      <c r="W292">
        <v>6</v>
      </c>
      <c r="X292">
        <v>157500</v>
      </c>
      <c r="Y292" t="s">
        <v>61</v>
      </c>
      <c r="Z292" t="s">
        <v>3247</v>
      </c>
      <c r="AA292" t="s">
        <v>1853</v>
      </c>
      <c r="AB292" t="s">
        <v>45</v>
      </c>
      <c r="AC292" t="s">
        <v>3031</v>
      </c>
    </row>
    <row r="293" spans="1:29">
      <c r="A293" t="s">
        <v>771</v>
      </c>
      <c r="B293" s="1">
        <v>79503</v>
      </c>
      <c r="C293" t="s">
        <v>1393</v>
      </c>
      <c r="D293" t="s">
        <v>3029</v>
      </c>
      <c r="E293" s="1">
        <v>-8606</v>
      </c>
      <c r="F293" t="s">
        <v>743</v>
      </c>
      <c r="G293" t="s">
        <v>1951</v>
      </c>
      <c r="H293" t="s">
        <v>3249</v>
      </c>
      <c r="I293">
        <v>3</v>
      </c>
      <c r="J293" t="s">
        <v>1372</v>
      </c>
      <c r="K293">
        <v>80</v>
      </c>
      <c r="L293" t="s">
        <v>3250</v>
      </c>
      <c r="M293" t="s">
        <v>3251</v>
      </c>
      <c r="N293" t="s">
        <v>3252</v>
      </c>
      <c r="O293" t="s">
        <v>3030</v>
      </c>
      <c r="P293" t="s">
        <v>3253</v>
      </c>
      <c r="Q293" t="s">
        <v>3254</v>
      </c>
      <c r="R293" t="s">
        <v>3252</v>
      </c>
      <c r="S293" s="2">
        <v>45561</v>
      </c>
      <c r="T293" t="s">
        <v>3255</v>
      </c>
      <c r="U293" t="s">
        <v>3256</v>
      </c>
      <c r="V293">
        <v>0</v>
      </c>
      <c r="W293">
        <v>4</v>
      </c>
      <c r="X293">
        <v>237908</v>
      </c>
      <c r="Y293" t="s">
        <v>3257</v>
      </c>
      <c r="Z293" t="s">
        <v>3254</v>
      </c>
      <c r="AA293" t="s">
        <v>1853</v>
      </c>
      <c r="AB293" t="s">
        <v>45</v>
      </c>
      <c r="AC293" t="s">
        <v>3031</v>
      </c>
    </row>
    <row r="294" spans="1:29">
      <c r="A294" t="s">
        <v>91</v>
      </c>
      <c r="B294" s="1">
        <v>103001</v>
      </c>
      <c r="C294" t="s">
        <v>407</v>
      </c>
      <c r="D294" t="s">
        <v>3029</v>
      </c>
      <c r="E294" s="1">
        <v>-4783</v>
      </c>
      <c r="F294" t="s">
        <v>3258</v>
      </c>
      <c r="G294" t="s">
        <v>551</v>
      </c>
      <c r="H294" t="s">
        <v>3259</v>
      </c>
      <c r="I294">
        <v>4</v>
      </c>
      <c r="J294" t="s">
        <v>3260</v>
      </c>
      <c r="K294">
        <v>86</v>
      </c>
      <c r="L294" t="s">
        <v>3261</v>
      </c>
      <c r="M294" t="s">
        <v>3262</v>
      </c>
      <c r="N294" t="s">
        <v>3263</v>
      </c>
      <c r="O294" t="s">
        <v>3030</v>
      </c>
      <c r="P294" t="s">
        <v>3264</v>
      </c>
      <c r="Q294" t="s">
        <v>3265</v>
      </c>
      <c r="R294" t="s">
        <v>3263</v>
      </c>
      <c r="S294" s="2">
        <v>45519</v>
      </c>
      <c r="T294">
        <v>0</v>
      </c>
      <c r="U294" t="s">
        <v>3266</v>
      </c>
      <c r="V294">
        <v>0</v>
      </c>
      <c r="W294">
        <v>9</v>
      </c>
      <c r="X294">
        <v>172427</v>
      </c>
      <c r="Y294" t="s">
        <v>2280</v>
      </c>
      <c r="Z294" t="s">
        <v>3265</v>
      </c>
      <c r="AA294" t="s">
        <v>1853</v>
      </c>
      <c r="AB294" t="s">
        <v>45</v>
      </c>
      <c r="AC294" t="s">
        <v>3031</v>
      </c>
    </row>
    <row r="295" spans="1:29">
      <c r="A295" t="s">
        <v>2240</v>
      </c>
      <c r="B295" t="s">
        <v>3267</v>
      </c>
      <c r="C295" t="s">
        <v>1537</v>
      </c>
      <c r="D295" t="s">
        <v>3029</v>
      </c>
      <c r="E295" s="1">
        <v>-5812</v>
      </c>
      <c r="F295" t="s">
        <v>2539</v>
      </c>
      <c r="G295" t="s">
        <v>2763</v>
      </c>
      <c r="H295" t="s">
        <v>3268</v>
      </c>
      <c r="I295">
        <v>4</v>
      </c>
      <c r="J295" t="s">
        <v>2051</v>
      </c>
      <c r="K295">
        <v>80</v>
      </c>
      <c r="L295" t="s">
        <v>3269</v>
      </c>
      <c r="M295" t="s">
        <v>3270</v>
      </c>
      <c r="N295" t="s">
        <v>3271</v>
      </c>
      <c r="O295" t="s">
        <v>3030</v>
      </c>
      <c r="P295" t="s">
        <v>3272</v>
      </c>
      <c r="Q295" t="s">
        <v>3273</v>
      </c>
      <c r="R295" t="s">
        <v>3271</v>
      </c>
      <c r="S295" s="2">
        <v>45582</v>
      </c>
      <c r="T295">
        <v>0</v>
      </c>
      <c r="U295" t="s">
        <v>3274</v>
      </c>
      <c r="V295">
        <v>0</v>
      </c>
      <c r="W295">
        <v>0</v>
      </c>
      <c r="X295">
        <v>171429</v>
      </c>
      <c r="Y295" t="s">
        <v>289</v>
      </c>
      <c r="Z295" t="s">
        <v>3273</v>
      </c>
      <c r="AA295" t="s">
        <v>1853</v>
      </c>
      <c r="AB295" t="s">
        <v>45</v>
      </c>
      <c r="AC295" t="s">
        <v>3031</v>
      </c>
    </row>
    <row r="296" spans="1:29">
      <c r="A296" t="s">
        <v>756</v>
      </c>
      <c r="B296" s="1">
        <v>156023</v>
      </c>
      <c r="C296" t="s">
        <v>959</v>
      </c>
      <c r="D296" t="s">
        <v>3029</v>
      </c>
      <c r="E296" s="1">
        <v>-9548</v>
      </c>
      <c r="F296" t="s">
        <v>47</v>
      </c>
      <c r="G296" t="s">
        <v>2134</v>
      </c>
      <c r="H296" t="s">
        <v>3275</v>
      </c>
      <c r="I296">
        <v>4</v>
      </c>
      <c r="J296" t="s">
        <v>488</v>
      </c>
      <c r="K296">
        <v>73</v>
      </c>
      <c r="L296" t="s">
        <v>3276</v>
      </c>
      <c r="M296" t="s">
        <v>3277</v>
      </c>
      <c r="N296" t="s">
        <v>3278</v>
      </c>
      <c r="O296" t="s">
        <v>3030</v>
      </c>
      <c r="P296" t="s">
        <v>3279</v>
      </c>
      <c r="Q296" t="s">
        <v>3280</v>
      </c>
      <c r="R296" t="s">
        <v>3281</v>
      </c>
      <c r="S296" s="2">
        <v>45589</v>
      </c>
      <c r="T296" t="s">
        <v>3282</v>
      </c>
      <c r="U296" t="s">
        <v>3283</v>
      </c>
      <c r="V296">
        <v>1</v>
      </c>
      <c r="W296">
        <v>7</v>
      </c>
      <c r="X296">
        <v>166159</v>
      </c>
      <c r="Y296" t="s">
        <v>1667</v>
      </c>
      <c r="Z296" t="s">
        <v>3280</v>
      </c>
      <c r="AA296" t="s">
        <v>1853</v>
      </c>
      <c r="AB296" t="s">
        <v>45</v>
      </c>
      <c r="AC296" t="s">
        <v>3031</v>
      </c>
    </row>
    <row r="297" spans="1:29">
      <c r="A297" t="s">
        <v>2210</v>
      </c>
      <c r="B297" s="1">
        <v>148853</v>
      </c>
      <c r="C297" t="s">
        <v>1598</v>
      </c>
      <c r="D297" t="s">
        <v>3029</v>
      </c>
      <c r="E297" s="1">
        <v>-6297</v>
      </c>
      <c r="F297" t="s">
        <v>3284</v>
      </c>
      <c r="G297" t="s">
        <v>2467</v>
      </c>
      <c r="H297" t="s">
        <v>3285</v>
      </c>
      <c r="I297">
        <v>4</v>
      </c>
      <c r="J297" t="s">
        <v>255</v>
      </c>
      <c r="K297">
        <v>85</v>
      </c>
      <c r="L297" t="s">
        <v>3286</v>
      </c>
      <c r="M297" t="s">
        <v>3287</v>
      </c>
      <c r="N297" t="s">
        <v>3221</v>
      </c>
      <c r="O297" t="s">
        <v>3030</v>
      </c>
      <c r="P297" t="s">
        <v>3288</v>
      </c>
      <c r="Q297" t="s">
        <v>3289</v>
      </c>
      <c r="R297" t="s">
        <v>3290</v>
      </c>
      <c r="S297" s="2">
        <v>45526</v>
      </c>
      <c r="T297">
        <v>0</v>
      </c>
      <c r="U297" t="s">
        <v>3226</v>
      </c>
      <c r="V297">
        <v>0</v>
      </c>
      <c r="W297">
        <v>4</v>
      </c>
      <c r="X297">
        <v>163115</v>
      </c>
      <c r="Y297" t="s">
        <v>1434</v>
      </c>
      <c r="Z297" t="s">
        <v>3289</v>
      </c>
      <c r="AA297" t="s">
        <v>1853</v>
      </c>
      <c r="AB297" t="s">
        <v>45</v>
      </c>
      <c r="AC297" t="s">
        <v>3031</v>
      </c>
    </row>
    <row r="298" spans="1:29">
      <c r="A298" t="s">
        <v>3291</v>
      </c>
      <c r="B298" s="1">
        <v>184784</v>
      </c>
      <c r="C298" t="s">
        <v>3292</v>
      </c>
      <c r="D298" t="s">
        <v>3029</v>
      </c>
      <c r="E298" s="1">
        <v>-11634</v>
      </c>
      <c r="F298" t="s">
        <v>2043</v>
      </c>
      <c r="G298" t="s">
        <v>2570</v>
      </c>
      <c r="H298" t="s">
        <v>3293</v>
      </c>
      <c r="I298">
        <v>3</v>
      </c>
      <c r="J298" t="s">
        <v>3294</v>
      </c>
      <c r="K298">
        <v>79</v>
      </c>
      <c r="L298" t="s">
        <v>3295</v>
      </c>
      <c r="M298" t="s">
        <v>3296</v>
      </c>
      <c r="N298" t="s">
        <v>3297</v>
      </c>
      <c r="O298" t="s">
        <v>3030</v>
      </c>
      <c r="P298" t="s">
        <v>3298</v>
      </c>
      <c r="Q298" t="s">
        <v>3299</v>
      </c>
      <c r="R298" t="s">
        <v>3297</v>
      </c>
      <c r="S298" s="2">
        <v>45575</v>
      </c>
      <c r="T298">
        <v>0</v>
      </c>
      <c r="U298" t="s">
        <v>3300</v>
      </c>
      <c r="V298">
        <v>1</v>
      </c>
      <c r="W298">
        <v>0</v>
      </c>
      <c r="X298">
        <v>153609</v>
      </c>
      <c r="Y298" t="s">
        <v>3301</v>
      </c>
      <c r="Z298" t="s">
        <v>3299</v>
      </c>
      <c r="AA298" t="s">
        <v>1853</v>
      </c>
      <c r="AB298" t="s">
        <v>45</v>
      </c>
      <c r="AC298" t="s">
        <v>3031</v>
      </c>
    </row>
    <row r="299" spans="1:29">
      <c r="A299" t="s">
        <v>2918</v>
      </c>
      <c r="B299" s="1">
        <v>139995</v>
      </c>
      <c r="C299" t="s">
        <v>91</v>
      </c>
      <c r="D299" t="s">
        <v>3029</v>
      </c>
      <c r="E299" s="1">
        <v>-4623</v>
      </c>
      <c r="F299" t="s">
        <v>3302</v>
      </c>
      <c r="G299" t="s">
        <v>1810</v>
      </c>
      <c r="H299" t="s">
        <v>3303</v>
      </c>
      <c r="I299">
        <v>3</v>
      </c>
      <c r="J299" t="s">
        <v>1970</v>
      </c>
      <c r="K299">
        <v>81</v>
      </c>
      <c r="L299" t="s">
        <v>3304</v>
      </c>
      <c r="M299" t="s">
        <v>3305</v>
      </c>
      <c r="N299" t="s">
        <v>3306</v>
      </c>
      <c r="O299" t="s">
        <v>3030</v>
      </c>
      <c r="P299" t="s">
        <v>3307</v>
      </c>
      <c r="Q299" t="s">
        <v>3308</v>
      </c>
      <c r="R299" t="s">
        <v>3306</v>
      </c>
      <c r="S299" s="2">
        <v>45527</v>
      </c>
      <c r="T299" t="s">
        <v>3309</v>
      </c>
      <c r="U299" t="s">
        <v>3310</v>
      </c>
      <c r="V299">
        <v>0</v>
      </c>
      <c r="W299">
        <v>3</v>
      </c>
      <c r="X299">
        <v>160714</v>
      </c>
      <c r="Y299" t="s">
        <v>730</v>
      </c>
      <c r="Z299" t="s">
        <v>3308</v>
      </c>
      <c r="AA299" t="s">
        <v>1853</v>
      </c>
      <c r="AB299" t="s">
        <v>45</v>
      </c>
      <c r="AC299" t="s">
        <v>3031</v>
      </c>
    </row>
    <row r="300" spans="1:29">
      <c r="A300" t="s">
        <v>3311</v>
      </c>
      <c r="B300" s="1">
        <v>100036</v>
      </c>
      <c r="C300" t="s">
        <v>3312</v>
      </c>
      <c r="D300" t="s">
        <v>3029</v>
      </c>
      <c r="E300" s="1">
        <v>-3825</v>
      </c>
      <c r="F300" t="s">
        <v>757</v>
      </c>
      <c r="G300" t="s">
        <v>176</v>
      </c>
      <c r="H300" t="s">
        <v>3313</v>
      </c>
      <c r="I300">
        <v>4</v>
      </c>
      <c r="J300" t="s">
        <v>3314</v>
      </c>
      <c r="K300">
        <v>79</v>
      </c>
      <c r="L300" t="s">
        <v>3315</v>
      </c>
      <c r="M300" t="s">
        <v>3316</v>
      </c>
      <c r="N300" t="s">
        <v>3317</v>
      </c>
      <c r="O300" t="s">
        <v>3030</v>
      </c>
      <c r="P300" t="s">
        <v>3318</v>
      </c>
      <c r="Q300" t="s">
        <v>3319</v>
      </c>
      <c r="R300" t="s">
        <v>3317</v>
      </c>
      <c r="S300" s="2">
        <v>45561</v>
      </c>
      <c r="T300" t="s">
        <v>3320</v>
      </c>
      <c r="U300" t="s">
        <v>3321</v>
      </c>
      <c r="V300">
        <v>1</v>
      </c>
      <c r="W300">
        <v>10</v>
      </c>
      <c r="X300">
        <v>165178</v>
      </c>
      <c r="Y300" t="s">
        <v>2673</v>
      </c>
      <c r="Z300" t="s">
        <v>3319</v>
      </c>
      <c r="AA300" t="s">
        <v>1853</v>
      </c>
      <c r="AB300" t="s">
        <v>45</v>
      </c>
      <c r="AC300" t="s">
        <v>3031</v>
      </c>
    </row>
    <row r="301" spans="1:29">
      <c r="A301" t="s">
        <v>2098</v>
      </c>
      <c r="B301" s="1">
        <v>199997</v>
      </c>
      <c r="C301" t="s">
        <v>251</v>
      </c>
      <c r="D301" t="s">
        <v>3029</v>
      </c>
      <c r="E301" s="1">
        <v>-4147</v>
      </c>
      <c r="F301" t="s">
        <v>2099</v>
      </c>
      <c r="G301" t="s">
        <v>2529</v>
      </c>
      <c r="H301" t="s">
        <v>3322</v>
      </c>
      <c r="I301">
        <v>4</v>
      </c>
      <c r="J301" t="s">
        <v>463</v>
      </c>
      <c r="K301">
        <v>82</v>
      </c>
      <c r="L301" t="s">
        <v>3323</v>
      </c>
      <c r="M301" t="s">
        <v>3324</v>
      </c>
      <c r="N301" t="s">
        <v>3325</v>
      </c>
      <c r="O301" t="s">
        <v>3030</v>
      </c>
      <c r="P301" t="s">
        <v>3326</v>
      </c>
      <c r="Q301" t="s">
        <v>3327</v>
      </c>
      <c r="R301" t="s">
        <v>3328</v>
      </c>
      <c r="S301" s="2">
        <v>45510</v>
      </c>
      <c r="T301" t="s">
        <v>3329</v>
      </c>
      <c r="U301" t="s">
        <v>3330</v>
      </c>
      <c r="V301">
        <v>1</v>
      </c>
      <c r="W301">
        <v>1</v>
      </c>
      <c r="X301">
        <v>142022</v>
      </c>
      <c r="Y301" t="s">
        <v>1937</v>
      </c>
      <c r="Z301" t="s">
        <v>3327</v>
      </c>
      <c r="AA301" t="s">
        <v>1853</v>
      </c>
      <c r="AB301" t="s">
        <v>45</v>
      </c>
      <c r="AC301" t="s">
        <v>3031</v>
      </c>
    </row>
    <row r="302" spans="1:29">
      <c r="A302" t="s">
        <v>2661</v>
      </c>
      <c r="B302" s="1">
        <v>109935</v>
      </c>
      <c r="C302" t="s">
        <v>2375</v>
      </c>
      <c r="D302" t="s">
        <v>3029</v>
      </c>
      <c r="E302" s="1">
        <v>-9116</v>
      </c>
      <c r="F302" t="s">
        <v>3331</v>
      </c>
      <c r="G302" t="s">
        <v>3301</v>
      </c>
      <c r="H302" t="s">
        <v>3332</v>
      </c>
      <c r="I302">
        <v>3</v>
      </c>
      <c r="J302" t="s">
        <v>3228</v>
      </c>
      <c r="K302">
        <v>88</v>
      </c>
      <c r="L302" t="s">
        <v>3333</v>
      </c>
      <c r="M302" t="s">
        <v>3334</v>
      </c>
      <c r="N302" t="s">
        <v>3221</v>
      </c>
      <c r="O302" t="s">
        <v>3030</v>
      </c>
      <c r="P302" t="s">
        <v>3335</v>
      </c>
      <c r="Q302" t="s">
        <v>3336</v>
      </c>
      <c r="R302" t="s">
        <v>3337</v>
      </c>
      <c r="S302" s="2">
        <v>45526</v>
      </c>
      <c r="T302">
        <v>0</v>
      </c>
      <c r="U302" t="s">
        <v>3226</v>
      </c>
      <c r="V302">
        <v>1</v>
      </c>
      <c r="W302">
        <v>1</v>
      </c>
      <c r="X302">
        <v>154620</v>
      </c>
      <c r="Y302" t="s">
        <v>91</v>
      </c>
      <c r="Z302" t="s">
        <v>3336</v>
      </c>
      <c r="AA302" t="s">
        <v>1853</v>
      </c>
      <c r="AB302" t="s">
        <v>45</v>
      </c>
      <c r="AC302" t="s">
        <v>3031</v>
      </c>
    </row>
    <row r="303" spans="1:29">
      <c r="A303" t="s">
        <v>727</v>
      </c>
      <c r="B303" s="1">
        <v>124997</v>
      </c>
      <c r="C303" t="s">
        <v>48</v>
      </c>
      <c r="D303" t="s">
        <v>3029</v>
      </c>
      <c r="E303" s="1">
        <v>-4353</v>
      </c>
      <c r="F303" t="s">
        <v>449</v>
      </c>
      <c r="G303" t="s">
        <v>1153</v>
      </c>
      <c r="H303" t="s">
        <v>3338</v>
      </c>
      <c r="I303">
        <v>3</v>
      </c>
      <c r="J303" t="s">
        <v>3339</v>
      </c>
      <c r="K303">
        <v>77</v>
      </c>
      <c r="L303" t="s">
        <v>3340</v>
      </c>
      <c r="M303" t="s">
        <v>3341</v>
      </c>
      <c r="N303" t="s">
        <v>3342</v>
      </c>
      <c r="O303" t="s">
        <v>3030</v>
      </c>
      <c r="P303" t="s">
        <v>3343</v>
      </c>
      <c r="Q303" t="s">
        <v>3344</v>
      </c>
      <c r="R303" t="s">
        <v>3342</v>
      </c>
      <c r="S303" s="2">
        <v>45541</v>
      </c>
      <c r="T303">
        <v>0</v>
      </c>
      <c r="U303" t="s">
        <v>3345</v>
      </c>
      <c r="V303">
        <v>0</v>
      </c>
      <c r="W303">
        <v>7</v>
      </c>
      <c r="X303">
        <v>168547</v>
      </c>
      <c r="Y303" t="s">
        <v>1619</v>
      </c>
      <c r="Z303" t="s">
        <v>3344</v>
      </c>
      <c r="AA303" t="s">
        <v>1853</v>
      </c>
      <c r="AB303" t="s">
        <v>45</v>
      </c>
      <c r="AC303" t="s">
        <v>3031</v>
      </c>
    </row>
    <row r="304" spans="1:29">
      <c r="A304" t="s">
        <v>250</v>
      </c>
      <c r="B304" t="s">
        <v>3346</v>
      </c>
      <c r="C304" t="s">
        <v>3347</v>
      </c>
      <c r="D304" t="s">
        <v>3029</v>
      </c>
      <c r="E304" s="1">
        <v>-3826</v>
      </c>
      <c r="F304" t="s">
        <v>3348</v>
      </c>
      <c r="G304" t="s">
        <v>3349</v>
      </c>
      <c r="H304" t="s">
        <v>3350</v>
      </c>
      <c r="I304">
        <v>4</v>
      </c>
      <c r="J304" t="s">
        <v>2342</v>
      </c>
      <c r="K304">
        <v>68</v>
      </c>
      <c r="L304" t="s">
        <v>3351</v>
      </c>
      <c r="M304" t="s">
        <v>3352</v>
      </c>
      <c r="N304" t="s">
        <v>3353</v>
      </c>
      <c r="O304" t="s">
        <v>3030</v>
      </c>
      <c r="P304" t="s">
        <v>3354</v>
      </c>
      <c r="Q304" t="s">
        <v>3355</v>
      </c>
      <c r="R304" t="s">
        <v>3353</v>
      </c>
      <c r="S304" s="2">
        <v>45596</v>
      </c>
      <c r="T304" t="s">
        <v>3356</v>
      </c>
      <c r="U304" t="s">
        <v>3357</v>
      </c>
      <c r="V304">
        <v>1</v>
      </c>
      <c r="W304">
        <v>8</v>
      </c>
      <c r="X304">
        <v>148152</v>
      </c>
      <c r="Y304" t="s">
        <v>135</v>
      </c>
      <c r="Z304" t="s">
        <v>3355</v>
      </c>
      <c r="AA304" t="s">
        <v>1853</v>
      </c>
      <c r="AB304" t="s">
        <v>45</v>
      </c>
      <c r="AC304" t="s">
        <v>3031</v>
      </c>
    </row>
    <row r="305" spans="1:29">
      <c r="A305" t="s">
        <v>997</v>
      </c>
      <c r="B305" s="1">
        <v>169653</v>
      </c>
      <c r="C305" t="s">
        <v>1492</v>
      </c>
      <c r="D305" t="s">
        <v>3029</v>
      </c>
      <c r="E305" s="1">
        <v>-6612</v>
      </c>
      <c r="F305" t="s">
        <v>1812</v>
      </c>
      <c r="G305" t="s">
        <v>814</v>
      </c>
      <c r="H305" t="s">
        <v>3358</v>
      </c>
      <c r="I305">
        <v>3</v>
      </c>
      <c r="J305" t="s">
        <v>3359</v>
      </c>
      <c r="K305">
        <v>85</v>
      </c>
      <c r="L305" t="s">
        <v>3360</v>
      </c>
      <c r="M305" t="s">
        <v>3361</v>
      </c>
      <c r="N305" t="s">
        <v>3362</v>
      </c>
      <c r="O305" t="s">
        <v>3030</v>
      </c>
      <c r="P305" t="s">
        <v>3363</v>
      </c>
      <c r="Q305" t="s">
        <v>3364</v>
      </c>
      <c r="R305" t="s">
        <v>3365</v>
      </c>
      <c r="S305" s="2">
        <v>45540</v>
      </c>
      <c r="T305">
        <v>0</v>
      </c>
      <c r="U305" t="s">
        <v>3366</v>
      </c>
      <c r="V305">
        <v>1</v>
      </c>
      <c r="W305">
        <v>3</v>
      </c>
      <c r="X305">
        <v>150523</v>
      </c>
      <c r="Y305" t="s">
        <v>2283</v>
      </c>
      <c r="Z305" t="s">
        <v>3364</v>
      </c>
      <c r="AA305" t="s">
        <v>1853</v>
      </c>
      <c r="AB305" t="s">
        <v>45</v>
      </c>
      <c r="AC305" t="s">
        <v>3031</v>
      </c>
    </row>
    <row r="306" spans="1:29">
      <c r="A306" t="s">
        <v>199</v>
      </c>
      <c r="B306" s="1">
        <v>123009</v>
      </c>
      <c r="C306" t="s">
        <v>1338</v>
      </c>
      <c r="D306" t="s">
        <v>3029</v>
      </c>
      <c r="E306" s="1">
        <v>-4946</v>
      </c>
      <c r="F306" t="s">
        <v>3367</v>
      </c>
      <c r="G306" t="s">
        <v>2343</v>
      </c>
      <c r="H306" t="s">
        <v>3368</v>
      </c>
      <c r="I306">
        <v>4</v>
      </c>
      <c r="J306" t="s">
        <v>3369</v>
      </c>
      <c r="K306">
        <v>73</v>
      </c>
      <c r="L306" t="s">
        <v>3370</v>
      </c>
      <c r="M306" t="s">
        <v>3371</v>
      </c>
      <c r="N306" t="s">
        <v>3372</v>
      </c>
      <c r="O306" t="s">
        <v>3030</v>
      </c>
      <c r="P306" t="s">
        <v>3373</v>
      </c>
      <c r="Q306" t="s">
        <v>3374</v>
      </c>
      <c r="R306" t="s">
        <v>3372</v>
      </c>
      <c r="S306" s="2">
        <v>45589</v>
      </c>
      <c r="T306" t="s">
        <v>3375</v>
      </c>
      <c r="U306" t="s">
        <v>3376</v>
      </c>
      <c r="V306">
        <v>1</v>
      </c>
      <c r="W306">
        <v>2</v>
      </c>
      <c r="X306">
        <v>193521</v>
      </c>
      <c r="Y306" t="s">
        <v>3377</v>
      </c>
      <c r="Z306" t="s">
        <v>3374</v>
      </c>
      <c r="AA306" t="s">
        <v>1853</v>
      </c>
      <c r="AB306" t="s">
        <v>45</v>
      </c>
      <c r="AC306" t="s">
        <v>3031</v>
      </c>
    </row>
    <row r="307" spans="1:29">
      <c r="A307" t="s">
        <v>642</v>
      </c>
      <c r="B307" s="1">
        <v>128924</v>
      </c>
      <c r="C307" t="s">
        <v>3074</v>
      </c>
      <c r="D307" t="s">
        <v>3029</v>
      </c>
      <c r="E307" t="s">
        <v>3378</v>
      </c>
      <c r="F307" t="s">
        <v>1012</v>
      </c>
      <c r="G307" t="s">
        <v>3379</v>
      </c>
      <c r="H307" t="s">
        <v>3380</v>
      </c>
      <c r="I307">
        <v>4</v>
      </c>
      <c r="J307" t="s">
        <v>505</v>
      </c>
      <c r="K307">
        <v>77</v>
      </c>
      <c r="L307" t="s">
        <v>3381</v>
      </c>
      <c r="M307" t="s">
        <v>3382</v>
      </c>
      <c r="N307" t="s">
        <v>3383</v>
      </c>
      <c r="O307" t="s">
        <v>3030</v>
      </c>
      <c r="P307" t="s">
        <v>3384</v>
      </c>
      <c r="Q307" t="s">
        <v>3385</v>
      </c>
      <c r="R307" t="s">
        <v>3383</v>
      </c>
      <c r="S307" s="2">
        <v>45577</v>
      </c>
      <c r="T307" t="s">
        <v>3386</v>
      </c>
      <c r="U307" t="s">
        <v>3387</v>
      </c>
      <c r="V307">
        <v>0</v>
      </c>
      <c r="W307">
        <v>11</v>
      </c>
      <c r="X307">
        <v>157209</v>
      </c>
      <c r="Y307" t="s">
        <v>969</v>
      </c>
      <c r="Z307" t="s">
        <v>3385</v>
      </c>
      <c r="AA307" t="s">
        <v>1853</v>
      </c>
      <c r="AB307" t="s">
        <v>45</v>
      </c>
      <c r="AC307" t="s">
        <v>3031</v>
      </c>
    </row>
    <row r="308" spans="1:29">
      <c r="A308" t="s">
        <v>3388</v>
      </c>
      <c r="B308" s="1">
        <v>90622</v>
      </c>
      <c r="C308" t="s">
        <v>1584</v>
      </c>
      <c r="D308" t="s">
        <v>3029</v>
      </c>
      <c r="E308" s="1">
        <v>-5311</v>
      </c>
      <c r="F308" t="s">
        <v>1908</v>
      </c>
      <c r="G308" t="s">
        <v>2579</v>
      </c>
      <c r="H308" t="s">
        <v>3389</v>
      </c>
      <c r="I308">
        <v>4</v>
      </c>
      <c r="J308" t="s">
        <v>3390</v>
      </c>
      <c r="K308">
        <v>68</v>
      </c>
      <c r="L308" t="s">
        <v>3391</v>
      </c>
      <c r="M308" t="s">
        <v>3392</v>
      </c>
      <c r="N308" t="s">
        <v>3393</v>
      </c>
      <c r="O308" t="s">
        <v>3394</v>
      </c>
      <c r="P308" t="s">
        <v>3395</v>
      </c>
      <c r="Q308" t="s">
        <v>3396</v>
      </c>
      <c r="R308" t="s">
        <v>3397</v>
      </c>
      <c r="S308" s="2">
        <v>38888</v>
      </c>
      <c r="T308">
        <v>0</v>
      </c>
      <c r="U308" t="s">
        <v>3398</v>
      </c>
      <c r="V308">
        <v>0</v>
      </c>
      <c r="W308">
        <v>5</v>
      </c>
      <c r="X308">
        <v>305280</v>
      </c>
      <c r="Y308" t="s">
        <v>1525</v>
      </c>
      <c r="Z308" t="s">
        <v>3396</v>
      </c>
      <c r="AA308" t="s">
        <v>1851</v>
      </c>
      <c r="AB308" t="s">
        <v>45</v>
      </c>
      <c r="AC308" t="s">
        <v>3399</v>
      </c>
    </row>
    <row r="309" spans="1:29">
      <c r="A309" t="s">
        <v>2641</v>
      </c>
      <c r="B309" s="1">
        <v>161989</v>
      </c>
      <c r="C309" t="s">
        <v>1443</v>
      </c>
      <c r="D309" t="s">
        <v>3029</v>
      </c>
      <c r="E309" s="1">
        <v>-8768</v>
      </c>
      <c r="F309" t="s">
        <v>2455</v>
      </c>
      <c r="G309" t="s">
        <v>190</v>
      </c>
      <c r="H309" t="s">
        <v>3400</v>
      </c>
      <c r="I309">
        <v>4</v>
      </c>
      <c r="J309" t="s">
        <v>2960</v>
      </c>
      <c r="K309">
        <v>69</v>
      </c>
      <c r="L309" t="s">
        <v>3401</v>
      </c>
      <c r="M309" t="s">
        <v>3402</v>
      </c>
      <c r="N309" t="s">
        <v>3403</v>
      </c>
      <c r="O309" t="s">
        <v>3394</v>
      </c>
      <c r="P309" t="s">
        <v>3404</v>
      </c>
      <c r="Q309" t="s">
        <v>3405</v>
      </c>
      <c r="R309" t="s">
        <v>3406</v>
      </c>
      <c r="S309" s="2">
        <v>43236</v>
      </c>
      <c r="T309">
        <v>0</v>
      </c>
      <c r="U309" t="s">
        <v>3407</v>
      </c>
      <c r="V309">
        <v>1</v>
      </c>
      <c r="W309">
        <v>1</v>
      </c>
      <c r="X309">
        <v>168560</v>
      </c>
      <c r="Y309" t="s">
        <v>3408</v>
      </c>
      <c r="Z309" t="s">
        <v>3405</v>
      </c>
      <c r="AA309" t="s">
        <v>1851</v>
      </c>
      <c r="AB309" t="s">
        <v>45</v>
      </c>
      <c r="AC309" t="s">
        <v>3399</v>
      </c>
    </row>
    <row r="310" spans="1:29">
      <c r="A310" t="s">
        <v>3409</v>
      </c>
      <c r="B310" s="1">
        <v>81009</v>
      </c>
      <c r="C310" t="s">
        <v>1121</v>
      </c>
      <c r="D310" t="s">
        <v>3410</v>
      </c>
      <c r="E310" s="1">
        <v>-5549</v>
      </c>
      <c r="F310" t="s">
        <v>1596</v>
      </c>
      <c r="G310" t="s">
        <v>2134</v>
      </c>
      <c r="H310" t="s">
        <v>3411</v>
      </c>
      <c r="I310">
        <v>4</v>
      </c>
      <c r="J310" t="s">
        <v>3412</v>
      </c>
      <c r="K310">
        <v>70</v>
      </c>
      <c r="L310" t="s">
        <v>3413</v>
      </c>
      <c r="M310" t="s">
        <v>3414</v>
      </c>
      <c r="N310" t="s">
        <v>3415</v>
      </c>
      <c r="O310" t="s">
        <v>3416</v>
      </c>
      <c r="P310" t="s">
        <v>3417</v>
      </c>
      <c r="Q310" t="s">
        <v>3418</v>
      </c>
      <c r="R310" t="s">
        <v>3415</v>
      </c>
      <c r="S310" s="2">
        <v>44407</v>
      </c>
      <c r="T310">
        <v>0</v>
      </c>
      <c r="U310" t="s">
        <v>3419</v>
      </c>
      <c r="V310">
        <v>1</v>
      </c>
      <c r="W310">
        <v>10</v>
      </c>
      <c r="X310">
        <v>230292</v>
      </c>
      <c r="Y310" t="s">
        <v>3420</v>
      </c>
      <c r="Z310" t="s">
        <v>3418</v>
      </c>
      <c r="AA310" t="s">
        <v>3421</v>
      </c>
      <c r="AB310" t="s">
        <v>45</v>
      </c>
      <c r="AC310" t="s">
        <v>3422</v>
      </c>
    </row>
    <row r="311" spans="1:29">
      <c r="A311" t="s">
        <v>1737</v>
      </c>
      <c r="B311" s="1">
        <v>82941</v>
      </c>
      <c r="C311" t="s">
        <v>852</v>
      </c>
      <c r="D311" t="s">
        <v>3410</v>
      </c>
      <c r="E311" s="1">
        <v>-5843</v>
      </c>
      <c r="F311" t="s">
        <v>3423</v>
      </c>
      <c r="G311" t="s">
        <v>2875</v>
      </c>
      <c r="H311" t="s">
        <v>3424</v>
      </c>
      <c r="I311">
        <v>4</v>
      </c>
      <c r="J311" t="s">
        <v>117</v>
      </c>
      <c r="K311">
        <v>68</v>
      </c>
      <c r="L311" t="s">
        <v>3425</v>
      </c>
      <c r="M311" t="s">
        <v>3426</v>
      </c>
      <c r="N311" t="s">
        <v>3427</v>
      </c>
      <c r="O311" t="s">
        <v>3416</v>
      </c>
      <c r="P311" t="s">
        <v>3428</v>
      </c>
      <c r="Q311" t="s">
        <v>3429</v>
      </c>
      <c r="R311" t="s">
        <v>3427</v>
      </c>
      <c r="S311" s="2">
        <v>44413</v>
      </c>
      <c r="T311">
        <v>0</v>
      </c>
      <c r="U311" t="s">
        <v>3430</v>
      </c>
      <c r="V311">
        <v>1</v>
      </c>
      <c r="W311">
        <v>1</v>
      </c>
      <c r="X311">
        <v>228855</v>
      </c>
      <c r="Y311" t="s">
        <v>1324</v>
      </c>
      <c r="Z311" t="s">
        <v>3429</v>
      </c>
      <c r="AA311" t="s">
        <v>3421</v>
      </c>
      <c r="AB311" t="s">
        <v>45</v>
      </c>
      <c r="AC311" t="s">
        <v>3422</v>
      </c>
    </row>
    <row r="312" spans="1:29">
      <c r="A312" t="s">
        <v>3431</v>
      </c>
      <c r="B312" s="1">
        <v>135875</v>
      </c>
      <c r="C312" t="s">
        <v>2570</v>
      </c>
      <c r="D312" t="s">
        <v>3410</v>
      </c>
      <c r="E312" s="1">
        <v>-7642</v>
      </c>
      <c r="F312" t="s">
        <v>608</v>
      </c>
      <c r="G312" t="s">
        <v>2403</v>
      </c>
      <c r="H312" t="s">
        <v>3432</v>
      </c>
      <c r="I312">
        <v>4</v>
      </c>
      <c r="J312" t="s">
        <v>3026</v>
      </c>
      <c r="K312">
        <v>73</v>
      </c>
      <c r="L312" t="s">
        <v>3433</v>
      </c>
      <c r="M312" t="s">
        <v>3434</v>
      </c>
      <c r="N312" t="s">
        <v>3435</v>
      </c>
      <c r="O312" t="s">
        <v>3416</v>
      </c>
      <c r="P312" t="s">
        <v>3436</v>
      </c>
      <c r="Q312" t="s">
        <v>3437</v>
      </c>
      <c r="R312" t="s">
        <v>3438</v>
      </c>
      <c r="S312" s="2">
        <v>43875</v>
      </c>
      <c r="T312">
        <v>0</v>
      </c>
      <c r="U312" t="s">
        <v>3439</v>
      </c>
      <c r="V312">
        <v>1</v>
      </c>
      <c r="W312">
        <v>8</v>
      </c>
      <c r="X312">
        <v>247941</v>
      </c>
      <c r="Y312" t="s">
        <v>2864</v>
      </c>
      <c r="Z312" t="s">
        <v>3437</v>
      </c>
      <c r="AA312" t="s">
        <v>3421</v>
      </c>
      <c r="AB312" t="s">
        <v>45</v>
      </c>
      <c r="AC312" t="s">
        <v>3422</v>
      </c>
    </row>
    <row r="313" spans="1:29">
      <c r="A313" t="s">
        <v>1177</v>
      </c>
      <c r="B313" s="1">
        <v>122925</v>
      </c>
      <c r="C313" t="s">
        <v>239</v>
      </c>
      <c r="D313" t="s">
        <v>3410</v>
      </c>
      <c r="E313" s="1">
        <v>-8744</v>
      </c>
      <c r="F313" t="s">
        <v>2063</v>
      </c>
      <c r="G313" t="s">
        <v>2390</v>
      </c>
      <c r="H313" t="s">
        <v>3440</v>
      </c>
      <c r="I313">
        <v>4</v>
      </c>
      <c r="J313" t="s">
        <v>3441</v>
      </c>
      <c r="K313">
        <v>70</v>
      </c>
      <c r="L313" t="s">
        <v>3442</v>
      </c>
      <c r="M313" t="s">
        <v>3443</v>
      </c>
      <c r="N313" t="s">
        <v>3444</v>
      </c>
      <c r="O313" t="s">
        <v>3416</v>
      </c>
      <c r="P313" t="s">
        <v>3445</v>
      </c>
      <c r="Q313" t="s">
        <v>3446</v>
      </c>
      <c r="R313" t="s">
        <v>3447</v>
      </c>
      <c r="S313" s="2">
        <v>42293</v>
      </c>
      <c r="T313" t="s">
        <v>3448</v>
      </c>
      <c r="U313" t="s">
        <v>3449</v>
      </c>
      <c r="V313">
        <v>1</v>
      </c>
      <c r="W313">
        <v>3</v>
      </c>
      <c r="X313">
        <v>341055</v>
      </c>
      <c r="Y313" t="s">
        <v>2743</v>
      </c>
      <c r="Z313" t="s">
        <v>3446</v>
      </c>
      <c r="AA313" t="s">
        <v>3421</v>
      </c>
      <c r="AB313" t="s">
        <v>45</v>
      </c>
      <c r="AC313" t="s">
        <v>3422</v>
      </c>
    </row>
    <row r="314" spans="1:29">
      <c r="A314" t="s">
        <v>1724</v>
      </c>
      <c r="B314" s="1">
        <v>124914</v>
      </c>
      <c r="C314" t="s">
        <v>3085</v>
      </c>
      <c r="D314" t="s">
        <v>3410</v>
      </c>
      <c r="E314" s="1">
        <v>-9016</v>
      </c>
      <c r="F314" t="s">
        <v>2117</v>
      </c>
      <c r="G314" t="s">
        <v>2725</v>
      </c>
      <c r="H314" t="s">
        <v>3432</v>
      </c>
      <c r="I314">
        <v>4</v>
      </c>
      <c r="J314" t="s">
        <v>396</v>
      </c>
      <c r="K314">
        <v>71</v>
      </c>
      <c r="L314" t="s">
        <v>3450</v>
      </c>
      <c r="M314" t="s">
        <v>3451</v>
      </c>
      <c r="N314" t="s">
        <v>3452</v>
      </c>
      <c r="O314" t="s">
        <v>3416</v>
      </c>
      <c r="P314" t="s">
        <v>3453</v>
      </c>
      <c r="Q314" t="s">
        <v>3454</v>
      </c>
      <c r="R314" t="s">
        <v>3455</v>
      </c>
      <c r="S314" s="2">
        <v>43708</v>
      </c>
      <c r="T314">
        <v>0</v>
      </c>
      <c r="U314" t="s">
        <v>3456</v>
      </c>
      <c r="V314">
        <v>0</v>
      </c>
      <c r="W314">
        <v>0</v>
      </c>
      <c r="X314">
        <v>280282</v>
      </c>
      <c r="Y314" t="s">
        <v>1097</v>
      </c>
      <c r="Z314" t="s">
        <v>3454</v>
      </c>
      <c r="AA314" t="s">
        <v>3421</v>
      </c>
      <c r="AB314" t="s">
        <v>45</v>
      </c>
      <c r="AC314" t="s">
        <v>3422</v>
      </c>
    </row>
    <row r="315" spans="1:29">
      <c r="A315" t="s">
        <v>3457</v>
      </c>
      <c r="B315" s="1">
        <v>140266</v>
      </c>
      <c r="C315" t="s">
        <v>1760</v>
      </c>
      <c r="D315" t="s">
        <v>667</v>
      </c>
      <c r="E315" s="1">
        <v>-5822</v>
      </c>
      <c r="F315" t="s">
        <v>3314</v>
      </c>
      <c r="G315" t="s">
        <v>1323</v>
      </c>
      <c r="H315" t="s">
        <v>3458</v>
      </c>
      <c r="I315">
        <v>4</v>
      </c>
      <c r="J315" t="s">
        <v>3459</v>
      </c>
      <c r="K315">
        <v>84</v>
      </c>
      <c r="L315" t="s">
        <v>3460</v>
      </c>
      <c r="M315" t="s">
        <v>3461</v>
      </c>
      <c r="N315" t="s">
        <v>3462</v>
      </c>
      <c r="O315" t="s">
        <v>3463</v>
      </c>
      <c r="P315" t="s">
        <v>3464</v>
      </c>
      <c r="Q315" t="s">
        <v>3465</v>
      </c>
      <c r="R315">
        <v>505</v>
      </c>
      <c r="S315" s="2">
        <v>39194</v>
      </c>
      <c r="T315" t="s">
        <v>3466</v>
      </c>
      <c r="U315" t="s">
        <v>3467</v>
      </c>
      <c r="V315">
        <v>1</v>
      </c>
      <c r="W315">
        <v>0</v>
      </c>
      <c r="X315">
        <v>253587</v>
      </c>
      <c r="Y315" t="s">
        <v>914</v>
      </c>
      <c r="Z315" t="s">
        <v>3465</v>
      </c>
      <c r="AA315" t="s">
        <v>3468</v>
      </c>
      <c r="AB315" t="s">
        <v>45</v>
      </c>
      <c r="AC315" t="s">
        <v>3469</v>
      </c>
    </row>
    <row r="316" spans="1:29">
      <c r="A316" t="s">
        <v>2974</v>
      </c>
      <c r="B316" s="1">
        <v>132009</v>
      </c>
      <c r="C316" t="s">
        <v>239</v>
      </c>
      <c r="D316" t="s">
        <v>667</v>
      </c>
      <c r="E316" t="s">
        <v>3470</v>
      </c>
      <c r="F316" t="s">
        <v>971</v>
      </c>
      <c r="G316" t="s">
        <v>3471</v>
      </c>
      <c r="H316" t="s">
        <v>3472</v>
      </c>
      <c r="I316">
        <v>4</v>
      </c>
      <c r="J316" t="s">
        <v>1587</v>
      </c>
      <c r="K316">
        <v>68</v>
      </c>
      <c r="L316" t="s">
        <v>3473</v>
      </c>
      <c r="M316" t="s">
        <v>3474</v>
      </c>
      <c r="N316" t="s">
        <v>3475</v>
      </c>
      <c r="O316" t="s">
        <v>3463</v>
      </c>
      <c r="P316" t="s">
        <v>3476</v>
      </c>
      <c r="Q316" t="s">
        <v>3477</v>
      </c>
      <c r="R316" t="s">
        <v>3478</v>
      </c>
      <c r="S316" s="2">
        <v>39814</v>
      </c>
      <c r="T316" t="s">
        <v>90</v>
      </c>
      <c r="U316" t="s">
        <v>3479</v>
      </c>
      <c r="V316">
        <v>0</v>
      </c>
      <c r="W316">
        <v>8</v>
      </c>
      <c r="X316">
        <v>221000</v>
      </c>
      <c r="Y316" t="s">
        <v>3480</v>
      </c>
      <c r="Z316" t="s">
        <v>3477</v>
      </c>
      <c r="AA316" t="s">
        <v>3468</v>
      </c>
      <c r="AB316" t="s">
        <v>45</v>
      </c>
      <c r="AC316" t="s">
        <v>3469</v>
      </c>
    </row>
    <row r="317" spans="1:29">
      <c r="A317" t="s">
        <v>3481</v>
      </c>
      <c r="B317" s="1">
        <v>109942</v>
      </c>
      <c r="C317" t="s">
        <v>3482</v>
      </c>
      <c r="D317" t="s">
        <v>667</v>
      </c>
      <c r="E317" s="1">
        <v>-9516</v>
      </c>
      <c r="F317" t="s">
        <v>3483</v>
      </c>
      <c r="G317" t="s">
        <v>998</v>
      </c>
      <c r="H317" t="s">
        <v>3484</v>
      </c>
      <c r="I317">
        <v>4</v>
      </c>
      <c r="J317" t="s">
        <v>3485</v>
      </c>
      <c r="K317">
        <v>74</v>
      </c>
      <c r="L317" t="s">
        <v>3486</v>
      </c>
      <c r="M317" t="s">
        <v>3487</v>
      </c>
      <c r="N317" t="s">
        <v>3488</v>
      </c>
      <c r="O317" t="s">
        <v>3463</v>
      </c>
      <c r="P317" t="s">
        <v>3489</v>
      </c>
      <c r="Q317" t="s">
        <v>3490</v>
      </c>
      <c r="R317" t="s">
        <v>3491</v>
      </c>
      <c r="S317" s="2">
        <v>41414</v>
      </c>
      <c r="T317" t="s">
        <v>263</v>
      </c>
      <c r="U317" t="s">
        <v>3492</v>
      </c>
      <c r="V317">
        <v>0</v>
      </c>
      <c r="W317">
        <v>10</v>
      </c>
      <c r="X317">
        <v>337560</v>
      </c>
      <c r="Y317" t="s">
        <v>1575</v>
      </c>
      <c r="Z317" t="s">
        <v>3490</v>
      </c>
      <c r="AA317" t="s">
        <v>3468</v>
      </c>
      <c r="AB317" t="s">
        <v>45</v>
      </c>
      <c r="AC317" t="s">
        <v>3469</v>
      </c>
    </row>
    <row r="318" spans="1:29">
      <c r="A318" t="s">
        <v>228</v>
      </c>
      <c r="B318" s="1">
        <v>105105</v>
      </c>
      <c r="C318" t="s">
        <v>1786</v>
      </c>
      <c r="D318" t="s">
        <v>667</v>
      </c>
      <c r="E318" s="1">
        <v>-3404</v>
      </c>
      <c r="F318" t="s">
        <v>476</v>
      </c>
      <c r="G318" t="s">
        <v>852</v>
      </c>
      <c r="H318" t="s">
        <v>3493</v>
      </c>
      <c r="I318">
        <v>4</v>
      </c>
      <c r="J318" t="s">
        <v>418</v>
      </c>
      <c r="K318">
        <v>72</v>
      </c>
      <c r="L318" t="s">
        <v>3494</v>
      </c>
      <c r="M318" t="s">
        <v>3495</v>
      </c>
      <c r="N318" t="s">
        <v>3496</v>
      </c>
      <c r="O318" t="s">
        <v>3463</v>
      </c>
      <c r="P318" t="s">
        <v>3497</v>
      </c>
      <c r="Q318" t="s">
        <v>3498</v>
      </c>
      <c r="R318" t="s">
        <v>3499</v>
      </c>
      <c r="S318">
        <v>2003</v>
      </c>
      <c r="T318" t="s">
        <v>3500</v>
      </c>
      <c r="U318" t="s">
        <v>3501</v>
      </c>
      <c r="V318">
        <v>1</v>
      </c>
      <c r="W318">
        <v>2</v>
      </c>
      <c r="X318">
        <v>213800</v>
      </c>
      <c r="Y318" t="s">
        <v>3502</v>
      </c>
      <c r="Z318" t="s">
        <v>3498</v>
      </c>
      <c r="AA318" t="s">
        <v>3468</v>
      </c>
      <c r="AB318" t="s">
        <v>45</v>
      </c>
      <c r="AC318" t="s">
        <v>3469</v>
      </c>
    </row>
    <row r="319" spans="1:29">
      <c r="A319" t="s">
        <v>3379</v>
      </c>
      <c r="B319" t="s">
        <v>3503</v>
      </c>
      <c r="C319" t="s">
        <v>50</v>
      </c>
      <c r="D319" t="s">
        <v>667</v>
      </c>
      <c r="E319" s="1">
        <v>-3249</v>
      </c>
      <c r="F319" t="s">
        <v>185</v>
      </c>
      <c r="G319" t="s">
        <v>1082</v>
      </c>
      <c r="H319" t="s">
        <v>3504</v>
      </c>
      <c r="I319">
        <v>3</v>
      </c>
      <c r="J319" t="s">
        <v>1702</v>
      </c>
      <c r="K319">
        <v>73</v>
      </c>
      <c r="L319" t="s">
        <v>3505</v>
      </c>
      <c r="M319" t="s">
        <v>3506</v>
      </c>
      <c r="N319" t="s">
        <v>3507</v>
      </c>
      <c r="O319" t="s">
        <v>3463</v>
      </c>
      <c r="P319" t="s">
        <v>3508</v>
      </c>
      <c r="Q319" t="s">
        <v>3509</v>
      </c>
      <c r="R319" t="s">
        <v>3510</v>
      </c>
      <c r="S319" s="2">
        <v>39430</v>
      </c>
      <c r="T319" t="s">
        <v>3511</v>
      </c>
      <c r="U319" t="s">
        <v>3512</v>
      </c>
      <c r="V319">
        <v>1</v>
      </c>
      <c r="W319">
        <v>2</v>
      </c>
      <c r="X319">
        <v>261000</v>
      </c>
      <c r="Y319" t="s">
        <v>3513</v>
      </c>
      <c r="Z319" t="s">
        <v>3509</v>
      </c>
      <c r="AA319" t="s">
        <v>3468</v>
      </c>
      <c r="AB319" t="s">
        <v>45</v>
      </c>
      <c r="AC319" t="s">
        <v>3469</v>
      </c>
    </row>
    <row r="320" spans="1:29">
      <c r="A320" t="s">
        <v>770</v>
      </c>
      <c r="B320" s="1">
        <v>79028</v>
      </c>
      <c r="C320" t="s">
        <v>1712</v>
      </c>
      <c r="D320" t="s">
        <v>667</v>
      </c>
      <c r="E320" s="1">
        <v>-5115</v>
      </c>
      <c r="F320" t="s">
        <v>3514</v>
      </c>
      <c r="G320" t="s">
        <v>1949</v>
      </c>
      <c r="H320" t="s">
        <v>3515</v>
      </c>
      <c r="I320">
        <v>4</v>
      </c>
      <c r="J320" t="s">
        <v>3516</v>
      </c>
      <c r="K320">
        <v>81</v>
      </c>
      <c r="L320" t="s">
        <v>3517</v>
      </c>
      <c r="M320" t="s">
        <v>3518</v>
      </c>
      <c r="N320" t="s">
        <v>3519</v>
      </c>
      <c r="O320" t="s">
        <v>3520</v>
      </c>
      <c r="P320" t="s">
        <v>3521</v>
      </c>
      <c r="Q320" t="s">
        <v>3522</v>
      </c>
      <c r="R320" t="s">
        <v>3523</v>
      </c>
      <c r="S320" s="2">
        <v>42902</v>
      </c>
      <c r="T320" t="s">
        <v>3524</v>
      </c>
      <c r="U320" t="s">
        <v>3525</v>
      </c>
      <c r="V320">
        <v>0</v>
      </c>
      <c r="W320">
        <v>1</v>
      </c>
      <c r="X320">
        <v>163253</v>
      </c>
      <c r="Y320" t="s">
        <v>3526</v>
      </c>
      <c r="Z320" t="s">
        <v>3522</v>
      </c>
      <c r="AA320" t="s">
        <v>3527</v>
      </c>
      <c r="AB320" t="s">
        <v>45</v>
      </c>
      <c r="AC320" t="s">
        <v>3528</v>
      </c>
    </row>
    <row r="321" spans="1:29">
      <c r="A321" t="s">
        <v>1456</v>
      </c>
      <c r="B321" s="1">
        <v>119945</v>
      </c>
      <c r="C321" t="s">
        <v>2098</v>
      </c>
      <c r="D321" t="s">
        <v>667</v>
      </c>
      <c r="E321" s="1">
        <v>-6229</v>
      </c>
      <c r="F321" t="s">
        <v>2345</v>
      </c>
      <c r="G321" t="s">
        <v>188</v>
      </c>
      <c r="H321" t="s">
        <v>3529</v>
      </c>
      <c r="I321">
        <v>4</v>
      </c>
      <c r="J321" t="s">
        <v>3530</v>
      </c>
      <c r="K321">
        <v>80</v>
      </c>
      <c r="L321" t="s">
        <v>3531</v>
      </c>
      <c r="M321" t="s">
        <v>3532</v>
      </c>
      <c r="N321" t="s">
        <v>3533</v>
      </c>
      <c r="O321" t="s">
        <v>3520</v>
      </c>
      <c r="P321" t="s">
        <v>3534</v>
      </c>
      <c r="Q321" t="s">
        <v>3535</v>
      </c>
      <c r="R321" t="s">
        <v>3536</v>
      </c>
      <c r="S321" s="2">
        <v>45415</v>
      </c>
      <c r="T321" t="s">
        <v>251</v>
      </c>
      <c r="U321" t="s">
        <v>3537</v>
      </c>
      <c r="V321">
        <v>1</v>
      </c>
      <c r="W321">
        <v>2</v>
      </c>
      <c r="X321">
        <v>74379</v>
      </c>
      <c r="Y321" t="s">
        <v>1241</v>
      </c>
      <c r="Z321" t="s">
        <v>3535</v>
      </c>
      <c r="AA321" t="s">
        <v>3527</v>
      </c>
      <c r="AB321" t="s">
        <v>45</v>
      </c>
      <c r="AC321" t="s">
        <v>3528</v>
      </c>
    </row>
    <row r="322" spans="1:29">
      <c r="A322" t="s">
        <v>391</v>
      </c>
      <c r="B322" s="1">
        <v>117038</v>
      </c>
      <c r="C322" t="s">
        <v>392</v>
      </c>
      <c r="D322" t="s">
        <v>667</v>
      </c>
      <c r="E322" s="1">
        <v>-5505</v>
      </c>
      <c r="F322" t="s">
        <v>393</v>
      </c>
      <c r="G322" t="s">
        <v>394</v>
      </c>
      <c r="H322" t="s">
        <v>395</v>
      </c>
      <c r="I322">
        <v>4</v>
      </c>
      <c r="J322" t="s">
        <v>396</v>
      </c>
      <c r="K322">
        <v>79</v>
      </c>
      <c r="L322" t="s">
        <v>3538</v>
      </c>
      <c r="M322" t="s">
        <v>3539</v>
      </c>
      <c r="N322" t="s">
        <v>399</v>
      </c>
      <c r="O322" t="s">
        <v>3520</v>
      </c>
      <c r="P322" t="s">
        <v>3540</v>
      </c>
      <c r="Q322" t="s">
        <v>3541</v>
      </c>
      <c r="R322" t="s">
        <v>402</v>
      </c>
      <c r="S322" s="2">
        <v>45373</v>
      </c>
      <c r="T322" t="s">
        <v>403</v>
      </c>
      <c r="U322" t="s">
        <v>3542</v>
      </c>
      <c r="V322">
        <v>1</v>
      </c>
      <c r="W322">
        <v>10</v>
      </c>
      <c r="X322">
        <v>251424</v>
      </c>
      <c r="Y322" t="s">
        <v>405</v>
      </c>
      <c r="Z322" t="s">
        <v>3541</v>
      </c>
      <c r="AA322" t="s">
        <v>3527</v>
      </c>
      <c r="AB322" t="s">
        <v>45</v>
      </c>
      <c r="AC322" t="s">
        <v>3528</v>
      </c>
    </row>
    <row r="323" spans="1:29">
      <c r="A323" t="s">
        <v>3543</v>
      </c>
      <c r="B323" s="1">
        <v>103842</v>
      </c>
      <c r="C323" t="s">
        <v>3544</v>
      </c>
      <c r="D323" t="s">
        <v>667</v>
      </c>
      <c r="E323" s="1">
        <v>-8122</v>
      </c>
      <c r="F323" t="s">
        <v>3545</v>
      </c>
      <c r="G323" t="s">
        <v>475</v>
      </c>
      <c r="H323" t="s">
        <v>3546</v>
      </c>
      <c r="I323">
        <v>4</v>
      </c>
      <c r="J323" t="s">
        <v>3547</v>
      </c>
      <c r="K323">
        <v>78</v>
      </c>
      <c r="L323" t="s">
        <v>3548</v>
      </c>
      <c r="M323" t="s">
        <v>3549</v>
      </c>
      <c r="N323" t="s">
        <v>3550</v>
      </c>
      <c r="O323" t="s">
        <v>3520</v>
      </c>
      <c r="P323" t="s">
        <v>3551</v>
      </c>
      <c r="Q323" t="s">
        <v>3552</v>
      </c>
      <c r="R323" t="s">
        <v>3550</v>
      </c>
      <c r="S323" s="2">
        <v>45119</v>
      </c>
      <c r="T323" t="s">
        <v>3553</v>
      </c>
      <c r="U323" t="s">
        <v>3554</v>
      </c>
      <c r="V323">
        <v>1</v>
      </c>
      <c r="W323">
        <v>0</v>
      </c>
      <c r="X323">
        <v>130385</v>
      </c>
      <c r="Y323" t="s">
        <v>582</v>
      </c>
      <c r="Z323" t="s">
        <v>3552</v>
      </c>
      <c r="AA323" t="s">
        <v>3527</v>
      </c>
      <c r="AB323" t="s">
        <v>45</v>
      </c>
      <c r="AC323" t="s">
        <v>3528</v>
      </c>
    </row>
    <row r="324" spans="1:29">
      <c r="A324" t="s">
        <v>3555</v>
      </c>
      <c r="B324" s="1">
        <v>120509</v>
      </c>
      <c r="C324" t="s">
        <v>3556</v>
      </c>
      <c r="D324" t="s">
        <v>667</v>
      </c>
      <c r="E324" s="1">
        <v>-5864</v>
      </c>
      <c r="F324" t="s">
        <v>1700</v>
      </c>
      <c r="G324" t="s">
        <v>2938</v>
      </c>
      <c r="H324" t="s">
        <v>3557</v>
      </c>
      <c r="I324">
        <v>4</v>
      </c>
      <c r="J324" t="s">
        <v>3558</v>
      </c>
      <c r="K324">
        <v>78</v>
      </c>
      <c r="L324" t="s">
        <v>3559</v>
      </c>
      <c r="M324" t="s">
        <v>3560</v>
      </c>
      <c r="N324" t="s">
        <v>3561</v>
      </c>
      <c r="O324" t="s">
        <v>3520</v>
      </c>
      <c r="P324" t="s">
        <v>3562</v>
      </c>
      <c r="Q324" t="s">
        <v>3563</v>
      </c>
      <c r="R324" t="s">
        <v>3564</v>
      </c>
      <c r="S324" s="2">
        <v>45379</v>
      </c>
      <c r="T324">
        <v>0</v>
      </c>
      <c r="U324" t="s">
        <v>3565</v>
      </c>
      <c r="V324">
        <v>1</v>
      </c>
      <c r="W324">
        <v>8</v>
      </c>
      <c r="X324">
        <v>157974</v>
      </c>
      <c r="Y324" t="s">
        <v>3566</v>
      </c>
      <c r="Z324" t="s">
        <v>3563</v>
      </c>
      <c r="AA324" t="s">
        <v>3527</v>
      </c>
      <c r="AB324" t="s">
        <v>45</v>
      </c>
      <c r="AC324" t="s">
        <v>3528</v>
      </c>
    </row>
    <row r="325" spans="1:29">
      <c r="A325" t="s">
        <v>1445</v>
      </c>
      <c r="B325" s="1">
        <v>164959</v>
      </c>
      <c r="C325" t="s">
        <v>3555</v>
      </c>
      <c r="D325" t="s">
        <v>667</v>
      </c>
      <c r="E325" t="s">
        <v>3567</v>
      </c>
      <c r="F325" t="s">
        <v>2620</v>
      </c>
      <c r="G325" t="s">
        <v>1990</v>
      </c>
      <c r="H325" t="s">
        <v>3568</v>
      </c>
      <c r="I325">
        <v>4</v>
      </c>
      <c r="J325" t="s">
        <v>2866</v>
      </c>
      <c r="K325">
        <v>77</v>
      </c>
      <c r="L325" t="s">
        <v>3569</v>
      </c>
      <c r="M325" t="s">
        <v>3570</v>
      </c>
      <c r="N325" t="s">
        <v>3571</v>
      </c>
      <c r="O325" t="s">
        <v>3520</v>
      </c>
      <c r="P325" t="s">
        <v>3572</v>
      </c>
      <c r="Q325" t="s">
        <v>3573</v>
      </c>
      <c r="R325" t="s">
        <v>3574</v>
      </c>
      <c r="S325" s="2">
        <v>43931</v>
      </c>
      <c r="T325" t="s">
        <v>582</v>
      </c>
      <c r="U325" t="s">
        <v>3575</v>
      </c>
      <c r="V325">
        <v>1</v>
      </c>
      <c r="W325">
        <v>5</v>
      </c>
      <c r="X325">
        <v>309053</v>
      </c>
      <c r="Y325" t="s">
        <v>3576</v>
      </c>
      <c r="Z325" t="s">
        <v>3573</v>
      </c>
      <c r="AA325" t="s">
        <v>3527</v>
      </c>
      <c r="AB325" t="s">
        <v>45</v>
      </c>
      <c r="AC325" t="s">
        <v>3528</v>
      </c>
    </row>
    <row r="326" spans="1:29">
      <c r="A326" t="s">
        <v>998</v>
      </c>
      <c r="B326" s="1">
        <v>151891</v>
      </c>
      <c r="C326" t="s">
        <v>3577</v>
      </c>
      <c r="D326" t="s">
        <v>667</v>
      </c>
      <c r="E326" s="1">
        <v>-6594</v>
      </c>
      <c r="F326" t="s">
        <v>189</v>
      </c>
      <c r="G326" t="s">
        <v>3578</v>
      </c>
      <c r="H326" t="s">
        <v>3529</v>
      </c>
      <c r="I326">
        <v>4</v>
      </c>
      <c r="J326" t="s">
        <v>3579</v>
      </c>
      <c r="K326">
        <v>77</v>
      </c>
      <c r="L326" t="s">
        <v>3580</v>
      </c>
      <c r="M326" t="s">
        <v>3581</v>
      </c>
      <c r="N326" t="s">
        <v>3582</v>
      </c>
      <c r="O326" t="s">
        <v>3520</v>
      </c>
      <c r="P326" t="s">
        <v>3583</v>
      </c>
      <c r="Q326" t="s">
        <v>3584</v>
      </c>
      <c r="R326" t="s">
        <v>3585</v>
      </c>
      <c r="S326" s="2">
        <v>43389</v>
      </c>
      <c r="T326">
        <v>0</v>
      </c>
      <c r="U326" t="s">
        <v>3586</v>
      </c>
      <c r="V326">
        <v>0</v>
      </c>
      <c r="W326">
        <v>7</v>
      </c>
      <c r="X326">
        <v>177667</v>
      </c>
      <c r="Y326" t="s">
        <v>3153</v>
      </c>
      <c r="Z326" t="s">
        <v>3584</v>
      </c>
      <c r="AA326" t="s">
        <v>3527</v>
      </c>
      <c r="AB326" t="s">
        <v>45</v>
      </c>
      <c r="AC326" t="s">
        <v>3528</v>
      </c>
    </row>
    <row r="327" spans="1:29">
      <c r="A327" t="s">
        <v>2518</v>
      </c>
      <c r="B327" s="1">
        <v>103912</v>
      </c>
      <c r="C327" t="s">
        <v>1479</v>
      </c>
      <c r="D327" t="s">
        <v>667</v>
      </c>
      <c r="E327" t="s">
        <v>3587</v>
      </c>
      <c r="F327" t="s">
        <v>426</v>
      </c>
      <c r="G327" t="s">
        <v>1631</v>
      </c>
      <c r="H327" t="s">
        <v>3588</v>
      </c>
      <c r="I327">
        <v>4</v>
      </c>
      <c r="J327" t="s">
        <v>3589</v>
      </c>
      <c r="K327">
        <v>77</v>
      </c>
      <c r="L327" t="s">
        <v>3590</v>
      </c>
      <c r="M327" t="s">
        <v>3591</v>
      </c>
      <c r="N327" t="s">
        <v>3588</v>
      </c>
      <c r="O327" t="s">
        <v>3520</v>
      </c>
      <c r="P327" t="s">
        <v>3592</v>
      </c>
      <c r="Q327" t="s">
        <v>3593</v>
      </c>
      <c r="R327" t="s">
        <v>3594</v>
      </c>
      <c r="S327" s="2">
        <v>30732</v>
      </c>
      <c r="T327">
        <v>0</v>
      </c>
      <c r="U327" t="s">
        <v>3595</v>
      </c>
      <c r="V327">
        <v>1</v>
      </c>
      <c r="W327">
        <v>11</v>
      </c>
      <c r="X327">
        <v>162920</v>
      </c>
      <c r="Y327" t="s">
        <v>3596</v>
      </c>
      <c r="Z327" t="s">
        <v>3593</v>
      </c>
      <c r="AA327" t="s">
        <v>3527</v>
      </c>
      <c r="AB327" t="s">
        <v>45</v>
      </c>
      <c r="AC327" t="s">
        <v>3528</v>
      </c>
    </row>
    <row r="328" spans="1:29">
      <c r="A328" t="s">
        <v>539</v>
      </c>
      <c r="B328" s="1">
        <v>168017</v>
      </c>
      <c r="C328" t="s">
        <v>3597</v>
      </c>
      <c r="D328" t="s">
        <v>667</v>
      </c>
      <c r="E328" s="1">
        <v>-4974</v>
      </c>
      <c r="F328" t="s">
        <v>134</v>
      </c>
      <c r="G328" t="s">
        <v>1479</v>
      </c>
      <c r="H328" t="s">
        <v>3598</v>
      </c>
      <c r="I328">
        <v>4</v>
      </c>
      <c r="J328" t="s">
        <v>1693</v>
      </c>
      <c r="K328">
        <v>76</v>
      </c>
      <c r="L328" t="s">
        <v>3599</v>
      </c>
      <c r="M328" t="s">
        <v>3600</v>
      </c>
      <c r="N328" t="s">
        <v>3601</v>
      </c>
      <c r="O328" t="s">
        <v>3520</v>
      </c>
      <c r="P328" t="s">
        <v>3602</v>
      </c>
      <c r="Q328" t="s">
        <v>3603</v>
      </c>
      <c r="R328" t="s">
        <v>3601</v>
      </c>
      <c r="S328" s="2">
        <v>44630</v>
      </c>
      <c r="T328" t="s">
        <v>2118</v>
      </c>
      <c r="U328" t="s">
        <v>3604</v>
      </c>
      <c r="V328">
        <v>0</v>
      </c>
      <c r="W328">
        <v>6</v>
      </c>
      <c r="X328">
        <v>162339</v>
      </c>
      <c r="Y328" t="s">
        <v>3605</v>
      </c>
      <c r="Z328" t="s">
        <v>3603</v>
      </c>
      <c r="AA328" t="s">
        <v>3527</v>
      </c>
      <c r="AB328" t="s">
        <v>45</v>
      </c>
      <c r="AC328" t="s">
        <v>3528</v>
      </c>
    </row>
    <row r="329" spans="1:29">
      <c r="A329" t="s">
        <v>784</v>
      </c>
      <c r="B329" s="1">
        <v>112056</v>
      </c>
      <c r="C329" t="s">
        <v>1480</v>
      </c>
      <c r="D329" t="s">
        <v>667</v>
      </c>
      <c r="E329" s="1">
        <v>-5377</v>
      </c>
      <c r="F329" t="s">
        <v>32</v>
      </c>
      <c r="G329" t="s">
        <v>2579</v>
      </c>
      <c r="H329" t="s">
        <v>3458</v>
      </c>
      <c r="I329">
        <v>4</v>
      </c>
      <c r="J329" t="s">
        <v>3606</v>
      </c>
      <c r="K329">
        <v>76</v>
      </c>
      <c r="L329" t="s">
        <v>3607</v>
      </c>
      <c r="M329" t="s">
        <v>3608</v>
      </c>
      <c r="N329" t="s">
        <v>3462</v>
      </c>
      <c r="O329" t="s">
        <v>3520</v>
      </c>
      <c r="P329" t="s">
        <v>3609</v>
      </c>
      <c r="Q329" t="s">
        <v>3610</v>
      </c>
      <c r="R329" t="s">
        <v>3611</v>
      </c>
      <c r="S329" s="2">
        <v>39194</v>
      </c>
      <c r="T329" t="s">
        <v>3612</v>
      </c>
      <c r="U329" t="s">
        <v>3467</v>
      </c>
      <c r="V329">
        <v>0</v>
      </c>
      <c r="W329">
        <v>1</v>
      </c>
      <c r="X329">
        <v>183893</v>
      </c>
      <c r="Y329" t="s">
        <v>2206</v>
      </c>
      <c r="Z329" t="s">
        <v>3610</v>
      </c>
      <c r="AA329" t="s">
        <v>3527</v>
      </c>
      <c r="AB329" t="s">
        <v>45</v>
      </c>
      <c r="AC329" t="s">
        <v>3528</v>
      </c>
    </row>
    <row r="330" spans="1:29">
      <c r="A330" t="s">
        <v>815</v>
      </c>
      <c r="B330" s="1">
        <v>113967</v>
      </c>
      <c r="C330" t="s">
        <v>3613</v>
      </c>
      <c r="D330" t="s">
        <v>667</v>
      </c>
      <c r="E330" s="1">
        <v>-5396</v>
      </c>
      <c r="F330" t="s">
        <v>3614</v>
      </c>
      <c r="G330" t="s">
        <v>487</v>
      </c>
      <c r="H330" t="s">
        <v>3615</v>
      </c>
      <c r="I330">
        <v>4</v>
      </c>
      <c r="J330" t="s">
        <v>1609</v>
      </c>
      <c r="K330">
        <v>74</v>
      </c>
      <c r="L330" t="s">
        <v>3616</v>
      </c>
      <c r="M330" t="s">
        <v>3617</v>
      </c>
      <c r="N330" t="s">
        <v>3618</v>
      </c>
      <c r="O330" t="s">
        <v>3520</v>
      </c>
      <c r="P330" t="s">
        <v>3619</v>
      </c>
      <c r="Q330" t="s">
        <v>3620</v>
      </c>
      <c r="R330" t="s">
        <v>3621</v>
      </c>
      <c r="S330" s="2">
        <v>35796</v>
      </c>
      <c r="T330">
        <v>0</v>
      </c>
      <c r="U330" t="s">
        <v>3622</v>
      </c>
      <c r="V330">
        <v>1</v>
      </c>
      <c r="W330">
        <v>2</v>
      </c>
      <c r="X330">
        <v>300773</v>
      </c>
      <c r="Y330" t="s">
        <v>134</v>
      </c>
      <c r="Z330" t="s">
        <v>3620</v>
      </c>
      <c r="AA330" t="s">
        <v>3527</v>
      </c>
      <c r="AB330" t="s">
        <v>45</v>
      </c>
      <c r="AC330" t="s">
        <v>3528</v>
      </c>
    </row>
    <row r="331" spans="1:29">
      <c r="A331" t="s">
        <v>1456</v>
      </c>
      <c r="B331" s="1">
        <v>119869</v>
      </c>
      <c r="C331" t="s">
        <v>594</v>
      </c>
      <c r="D331" t="s">
        <v>667</v>
      </c>
      <c r="E331" s="1">
        <v>-7973</v>
      </c>
      <c r="F331" t="s">
        <v>3240</v>
      </c>
      <c r="G331" t="s">
        <v>291</v>
      </c>
      <c r="H331" t="s">
        <v>3623</v>
      </c>
      <c r="I331">
        <v>4</v>
      </c>
      <c r="J331" t="s">
        <v>3624</v>
      </c>
      <c r="K331">
        <v>74</v>
      </c>
      <c r="L331" t="s">
        <v>3625</v>
      </c>
      <c r="M331" t="s">
        <v>3626</v>
      </c>
      <c r="N331" t="s">
        <v>3627</v>
      </c>
      <c r="O331" t="s">
        <v>3520</v>
      </c>
      <c r="P331" t="s">
        <v>3628</v>
      </c>
      <c r="Q331" t="s">
        <v>3629</v>
      </c>
      <c r="R331" t="s">
        <v>3630</v>
      </c>
      <c r="S331" s="2">
        <v>44631</v>
      </c>
      <c r="T331">
        <v>0</v>
      </c>
      <c r="U331" t="s">
        <v>3631</v>
      </c>
      <c r="V331">
        <v>1</v>
      </c>
      <c r="W331">
        <v>5</v>
      </c>
      <c r="X331">
        <v>181507</v>
      </c>
      <c r="Y331" t="s">
        <v>3632</v>
      </c>
      <c r="Z331" t="s">
        <v>3629</v>
      </c>
      <c r="AA331" t="s">
        <v>3527</v>
      </c>
      <c r="AB331" t="s">
        <v>45</v>
      </c>
      <c r="AC331" t="s">
        <v>3528</v>
      </c>
    </row>
    <row r="332" spans="1:29">
      <c r="A332" t="s">
        <v>3379</v>
      </c>
      <c r="B332" t="s">
        <v>3503</v>
      </c>
      <c r="C332" t="s">
        <v>50</v>
      </c>
      <c r="D332" t="s">
        <v>667</v>
      </c>
      <c r="E332" s="1">
        <v>-3249</v>
      </c>
      <c r="F332" t="s">
        <v>185</v>
      </c>
      <c r="G332" t="s">
        <v>1082</v>
      </c>
      <c r="H332" t="s">
        <v>3504</v>
      </c>
      <c r="I332">
        <v>3</v>
      </c>
      <c r="J332" t="s">
        <v>1702</v>
      </c>
      <c r="K332">
        <v>73</v>
      </c>
      <c r="L332" t="s">
        <v>3505</v>
      </c>
      <c r="M332" t="s">
        <v>3506</v>
      </c>
      <c r="N332" t="s">
        <v>3507</v>
      </c>
      <c r="O332" t="s">
        <v>3520</v>
      </c>
      <c r="P332" t="s">
        <v>3508</v>
      </c>
      <c r="Q332" t="s">
        <v>3509</v>
      </c>
      <c r="R332" t="s">
        <v>3510</v>
      </c>
      <c r="S332" s="2">
        <v>39430</v>
      </c>
      <c r="T332" t="s">
        <v>3511</v>
      </c>
      <c r="U332" t="s">
        <v>3512</v>
      </c>
      <c r="V332">
        <v>1</v>
      </c>
      <c r="W332">
        <v>2</v>
      </c>
      <c r="X332">
        <v>261000</v>
      </c>
      <c r="Y332" t="s">
        <v>3513</v>
      </c>
      <c r="Z332" t="s">
        <v>3509</v>
      </c>
      <c r="AA332" t="s">
        <v>3527</v>
      </c>
      <c r="AB332" t="s">
        <v>45</v>
      </c>
      <c r="AC332" t="s">
        <v>3528</v>
      </c>
    </row>
    <row r="333" spans="1:29">
      <c r="A333" t="s">
        <v>3633</v>
      </c>
      <c r="B333" s="1">
        <v>131272</v>
      </c>
      <c r="C333" t="s">
        <v>3634</v>
      </c>
      <c r="D333" t="s">
        <v>667</v>
      </c>
      <c r="E333" s="1">
        <v>-7797</v>
      </c>
      <c r="F333" t="s">
        <v>3635</v>
      </c>
      <c r="G333" t="s">
        <v>654</v>
      </c>
      <c r="H333" t="s">
        <v>3636</v>
      </c>
      <c r="I333">
        <v>4</v>
      </c>
      <c r="J333" t="s">
        <v>1950</v>
      </c>
      <c r="K333">
        <v>73</v>
      </c>
      <c r="L333" t="s">
        <v>3637</v>
      </c>
      <c r="M333" t="s">
        <v>3638</v>
      </c>
      <c r="N333" t="s">
        <v>3639</v>
      </c>
      <c r="O333" t="s">
        <v>3520</v>
      </c>
      <c r="P333" t="s">
        <v>3640</v>
      </c>
      <c r="Q333" t="s">
        <v>3641</v>
      </c>
      <c r="R333" t="s">
        <v>3639</v>
      </c>
      <c r="S333" s="2">
        <v>45126</v>
      </c>
      <c r="T333">
        <v>0</v>
      </c>
      <c r="U333" t="s">
        <v>3642</v>
      </c>
      <c r="V333">
        <v>1</v>
      </c>
      <c r="W333">
        <v>9</v>
      </c>
      <c r="X333">
        <v>192128</v>
      </c>
      <c r="Y333" t="s">
        <v>3643</v>
      </c>
      <c r="Z333" t="s">
        <v>3641</v>
      </c>
      <c r="AA333" t="s">
        <v>3527</v>
      </c>
      <c r="AB333" t="s">
        <v>45</v>
      </c>
      <c r="AC333" t="s">
        <v>3528</v>
      </c>
    </row>
    <row r="334" spans="1:29">
      <c r="A334" t="s">
        <v>852</v>
      </c>
      <c r="B334" t="s">
        <v>3644</v>
      </c>
      <c r="C334" t="s">
        <v>654</v>
      </c>
      <c r="D334" t="s">
        <v>667</v>
      </c>
      <c r="E334" t="s">
        <v>3645</v>
      </c>
      <c r="F334" t="s">
        <v>3646</v>
      </c>
      <c r="G334" t="s">
        <v>2152</v>
      </c>
      <c r="H334" t="s">
        <v>3647</v>
      </c>
      <c r="I334">
        <v>4</v>
      </c>
      <c r="J334" t="s">
        <v>3648</v>
      </c>
      <c r="K334">
        <v>73</v>
      </c>
      <c r="L334" t="s">
        <v>3649</v>
      </c>
      <c r="M334" t="s">
        <v>3650</v>
      </c>
      <c r="N334" t="s">
        <v>3651</v>
      </c>
      <c r="O334" t="s">
        <v>3520</v>
      </c>
      <c r="P334" t="s">
        <v>3652</v>
      </c>
      <c r="Q334" t="s">
        <v>3653</v>
      </c>
      <c r="R334" t="s">
        <v>3651</v>
      </c>
      <c r="S334" s="2">
        <v>45499</v>
      </c>
      <c r="T334" t="s">
        <v>3654</v>
      </c>
      <c r="U334" t="s">
        <v>3655</v>
      </c>
      <c r="V334">
        <v>0</v>
      </c>
      <c r="W334">
        <v>3</v>
      </c>
      <c r="X334">
        <v>214087</v>
      </c>
      <c r="Y334" t="s">
        <v>3656</v>
      </c>
      <c r="Z334" t="s">
        <v>3653</v>
      </c>
      <c r="AA334" t="s">
        <v>3527</v>
      </c>
      <c r="AB334" t="s">
        <v>45</v>
      </c>
      <c r="AC334" t="s">
        <v>3528</v>
      </c>
    </row>
    <row r="335" spans="1:29">
      <c r="A335" t="s">
        <v>3657</v>
      </c>
      <c r="B335" s="1">
        <v>126976</v>
      </c>
      <c r="C335" t="s">
        <v>579</v>
      </c>
      <c r="D335" t="s">
        <v>667</v>
      </c>
      <c r="E335" s="1">
        <v>-5909</v>
      </c>
      <c r="F335" t="s">
        <v>3658</v>
      </c>
      <c r="G335" t="s">
        <v>3053</v>
      </c>
      <c r="H335" t="s">
        <v>3659</v>
      </c>
      <c r="I335">
        <v>4</v>
      </c>
      <c r="J335" t="s">
        <v>1728</v>
      </c>
      <c r="K335">
        <v>72</v>
      </c>
      <c r="L335" t="s">
        <v>3660</v>
      </c>
      <c r="M335" t="s">
        <v>3661</v>
      </c>
      <c r="N335" t="s">
        <v>3662</v>
      </c>
      <c r="O335" t="s">
        <v>3520</v>
      </c>
      <c r="P335" t="s">
        <v>3663</v>
      </c>
      <c r="Q335" t="s">
        <v>3664</v>
      </c>
      <c r="R335" t="s">
        <v>3665</v>
      </c>
      <c r="S335" s="2">
        <v>45016</v>
      </c>
      <c r="T335" t="s">
        <v>3666</v>
      </c>
      <c r="U335" t="s">
        <v>3667</v>
      </c>
      <c r="V335">
        <v>1</v>
      </c>
      <c r="W335">
        <v>1</v>
      </c>
      <c r="X335">
        <v>234933</v>
      </c>
      <c r="Y335" t="s">
        <v>3668</v>
      </c>
      <c r="Z335" t="s">
        <v>3664</v>
      </c>
      <c r="AA335" t="s">
        <v>3527</v>
      </c>
      <c r="AB335" t="s">
        <v>45</v>
      </c>
      <c r="AC335" t="s">
        <v>3528</v>
      </c>
    </row>
    <row r="336" spans="1:29">
      <c r="A336" t="s">
        <v>1893</v>
      </c>
      <c r="B336" s="1">
        <v>209688</v>
      </c>
      <c r="C336" t="s">
        <v>3544</v>
      </c>
      <c r="D336" t="s">
        <v>667</v>
      </c>
      <c r="E336" s="1">
        <v>-4314</v>
      </c>
      <c r="F336" t="s">
        <v>757</v>
      </c>
      <c r="G336" t="s">
        <v>332</v>
      </c>
      <c r="H336" t="s">
        <v>3669</v>
      </c>
      <c r="I336">
        <v>4</v>
      </c>
      <c r="J336" t="s">
        <v>3670</v>
      </c>
      <c r="K336">
        <v>71</v>
      </c>
      <c r="L336" t="s">
        <v>3671</v>
      </c>
      <c r="M336" t="s">
        <v>3672</v>
      </c>
      <c r="N336" t="s">
        <v>3673</v>
      </c>
      <c r="O336" t="s">
        <v>3520</v>
      </c>
      <c r="P336" t="s">
        <v>3674</v>
      </c>
      <c r="Q336" t="s">
        <v>3675</v>
      </c>
      <c r="R336" t="s">
        <v>3673</v>
      </c>
      <c r="S336" s="2">
        <v>43692</v>
      </c>
      <c r="T336" t="s">
        <v>3676</v>
      </c>
      <c r="U336" t="s">
        <v>3677</v>
      </c>
      <c r="V336">
        <v>0</v>
      </c>
      <c r="W336">
        <v>10</v>
      </c>
      <c r="X336">
        <v>213573</v>
      </c>
      <c r="Y336" t="s">
        <v>2620</v>
      </c>
      <c r="Z336" t="s">
        <v>3675</v>
      </c>
      <c r="AA336" t="s">
        <v>3527</v>
      </c>
      <c r="AB336" t="s">
        <v>45</v>
      </c>
      <c r="AC336" t="s">
        <v>3528</v>
      </c>
    </row>
    <row r="337" spans="1:29">
      <c r="A337" t="s">
        <v>2231</v>
      </c>
      <c r="B337" s="1">
        <v>87057</v>
      </c>
      <c r="C337" t="s">
        <v>2610</v>
      </c>
      <c r="D337" t="s">
        <v>667</v>
      </c>
      <c r="E337" s="1">
        <v>-9424</v>
      </c>
      <c r="F337" t="s">
        <v>1528</v>
      </c>
      <c r="G337" t="s">
        <v>1762</v>
      </c>
      <c r="H337" t="s">
        <v>3678</v>
      </c>
      <c r="I337">
        <v>4</v>
      </c>
      <c r="J337" t="s">
        <v>788</v>
      </c>
      <c r="K337">
        <v>71</v>
      </c>
      <c r="L337" t="s">
        <v>3679</v>
      </c>
      <c r="M337" t="s">
        <v>3680</v>
      </c>
      <c r="N337" t="s">
        <v>3681</v>
      </c>
      <c r="O337" t="s">
        <v>3520</v>
      </c>
      <c r="P337" t="s">
        <v>3682</v>
      </c>
      <c r="Q337" t="s">
        <v>3683</v>
      </c>
      <c r="R337" t="s">
        <v>3684</v>
      </c>
      <c r="S337" s="2">
        <v>43630</v>
      </c>
      <c r="T337" t="s">
        <v>2388</v>
      </c>
      <c r="U337" t="s">
        <v>3685</v>
      </c>
      <c r="V337">
        <v>1</v>
      </c>
      <c r="W337">
        <v>2</v>
      </c>
      <c r="X337">
        <v>126120</v>
      </c>
      <c r="Y337" t="s">
        <v>1618</v>
      </c>
      <c r="Z337" t="s">
        <v>3683</v>
      </c>
      <c r="AA337" t="s">
        <v>3527</v>
      </c>
      <c r="AB337" t="s">
        <v>45</v>
      </c>
      <c r="AC337" t="s">
        <v>3528</v>
      </c>
    </row>
    <row r="338" spans="1:29">
      <c r="A338" t="s">
        <v>30</v>
      </c>
      <c r="B338" s="1">
        <v>106035</v>
      </c>
      <c r="C338" t="s">
        <v>730</v>
      </c>
      <c r="D338" t="s">
        <v>667</v>
      </c>
      <c r="E338" t="s">
        <v>3686</v>
      </c>
      <c r="F338" t="s">
        <v>836</v>
      </c>
      <c r="G338" t="s">
        <v>3687</v>
      </c>
      <c r="H338" t="s">
        <v>3568</v>
      </c>
      <c r="I338">
        <v>4</v>
      </c>
      <c r="J338" t="s">
        <v>3688</v>
      </c>
      <c r="K338">
        <v>69</v>
      </c>
      <c r="L338" t="s">
        <v>3689</v>
      </c>
      <c r="M338" t="s">
        <v>3690</v>
      </c>
      <c r="N338" t="s">
        <v>3691</v>
      </c>
      <c r="O338" t="s">
        <v>3520</v>
      </c>
      <c r="P338" t="s">
        <v>3692</v>
      </c>
      <c r="Q338" t="s">
        <v>3693</v>
      </c>
      <c r="R338" t="s">
        <v>3694</v>
      </c>
      <c r="S338" s="2">
        <v>37102</v>
      </c>
      <c r="T338">
        <v>0</v>
      </c>
      <c r="U338" t="s">
        <v>3695</v>
      </c>
      <c r="V338">
        <v>1</v>
      </c>
      <c r="W338">
        <v>9</v>
      </c>
      <c r="X338">
        <v>183440</v>
      </c>
      <c r="Y338" t="s">
        <v>3696</v>
      </c>
      <c r="Z338" t="s">
        <v>3693</v>
      </c>
      <c r="AA338" t="s">
        <v>3527</v>
      </c>
      <c r="AB338" t="s">
        <v>45</v>
      </c>
      <c r="AC338" t="s">
        <v>3528</v>
      </c>
    </row>
    <row r="339" spans="1:29">
      <c r="A339" t="s">
        <v>2803</v>
      </c>
      <c r="B339" s="1">
        <v>121968</v>
      </c>
      <c r="C339" t="s">
        <v>2984</v>
      </c>
      <c r="D339" t="s">
        <v>667</v>
      </c>
      <c r="E339" s="1">
        <v>-10077</v>
      </c>
      <c r="F339" t="s">
        <v>1596</v>
      </c>
      <c r="G339" t="s">
        <v>2193</v>
      </c>
      <c r="H339" t="s">
        <v>3697</v>
      </c>
      <c r="I339">
        <v>4</v>
      </c>
      <c r="J339" t="s">
        <v>52</v>
      </c>
      <c r="K339">
        <v>69</v>
      </c>
      <c r="L339" t="s">
        <v>3698</v>
      </c>
      <c r="M339" t="s">
        <v>3699</v>
      </c>
      <c r="N339" t="s">
        <v>3700</v>
      </c>
      <c r="O339" t="s">
        <v>3520</v>
      </c>
      <c r="P339" t="s">
        <v>3701</v>
      </c>
      <c r="Q339" t="s">
        <v>3702</v>
      </c>
      <c r="R339" t="s">
        <v>3700</v>
      </c>
      <c r="S339" s="2">
        <v>43627</v>
      </c>
      <c r="T339" t="s">
        <v>2558</v>
      </c>
      <c r="U339" t="s">
        <v>3703</v>
      </c>
      <c r="V339">
        <v>1</v>
      </c>
      <c r="W339">
        <v>5</v>
      </c>
      <c r="X339">
        <v>162663</v>
      </c>
      <c r="Y339" t="s">
        <v>1748</v>
      </c>
      <c r="Z339" t="s">
        <v>3702</v>
      </c>
      <c r="AA339" t="s">
        <v>3527</v>
      </c>
      <c r="AB339" t="s">
        <v>45</v>
      </c>
      <c r="AC339" t="s">
        <v>3528</v>
      </c>
    </row>
    <row r="340" spans="1:29">
      <c r="A340" t="s">
        <v>2325</v>
      </c>
      <c r="B340" s="1">
        <v>150093</v>
      </c>
      <c r="C340" t="s">
        <v>3420</v>
      </c>
      <c r="D340" t="s">
        <v>667</v>
      </c>
      <c r="E340" s="1">
        <v>-7299</v>
      </c>
      <c r="F340" t="s">
        <v>1538</v>
      </c>
      <c r="G340" t="s">
        <v>2725</v>
      </c>
      <c r="H340" t="s">
        <v>3704</v>
      </c>
      <c r="I340">
        <v>4</v>
      </c>
      <c r="J340" t="s">
        <v>1564</v>
      </c>
      <c r="K340">
        <v>68</v>
      </c>
      <c r="L340" t="s">
        <v>3705</v>
      </c>
      <c r="M340" t="s">
        <v>3706</v>
      </c>
      <c r="N340" t="s">
        <v>3707</v>
      </c>
      <c r="O340" t="s">
        <v>3520</v>
      </c>
      <c r="P340" t="s">
        <v>3708</v>
      </c>
      <c r="Q340" t="s">
        <v>3709</v>
      </c>
      <c r="R340" t="s">
        <v>3710</v>
      </c>
      <c r="S340" s="2">
        <v>41170</v>
      </c>
      <c r="T340" t="s">
        <v>3711</v>
      </c>
      <c r="U340" t="s">
        <v>3712</v>
      </c>
      <c r="V340">
        <v>1</v>
      </c>
      <c r="W340">
        <v>5</v>
      </c>
      <c r="X340">
        <v>227080</v>
      </c>
      <c r="Y340" t="s">
        <v>1657</v>
      </c>
      <c r="Z340" t="s">
        <v>3709</v>
      </c>
      <c r="AA340" t="s">
        <v>3527</v>
      </c>
      <c r="AB340" t="s">
        <v>45</v>
      </c>
      <c r="AC340" t="s">
        <v>3528</v>
      </c>
    </row>
    <row r="341" spans="1:29">
      <c r="A341" t="s">
        <v>241</v>
      </c>
      <c r="B341" s="1">
        <v>134014</v>
      </c>
      <c r="C341" t="s">
        <v>866</v>
      </c>
      <c r="D341" t="s">
        <v>667</v>
      </c>
      <c r="E341" s="1">
        <v>-9767</v>
      </c>
      <c r="F341" t="s">
        <v>3713</v>
      </c>
      <c r="G341" t="s">
        <v>1849</v>
      </c>
      <c r="H341" t="s">
        <v>3714</v>
      </c>
      <c r="I341">
        <v>4</v>
      </c>
      <c r="J341" t="s">
        <v>3715</v>
      </c>
      <c r="K341">
        <v>68</v>
      </c>
      <c r="L341" t="s">
        <v>3716</v>
      </c>
      <c r="M341" t="s">
        <v>3717</v>
      </c>
      <c r="N341" t="s">
        <v>3718</v>
      </c>
      <c r="O341" t="s">
        <v>3520</v>
      </c>
      <c r="P341" t="s">
        <v>3719</v>
      </c>
      <c r="Q341" t="s">
        <v>3720</v>
      </c>
      <c r="R341" t="s">
        <v>3718</v>
      </c>
      <c r="S341" s="2">
        <v>45583</v>
      </c>
      <c r="T341" t="s">
        <v>3721</v>
      </c>
      <c r="U341" t="s">
        <v>3722</v>
      </c>
      <c r="V341">
        <v>1</v>
      </c>
      <c r="W341">
        <v>3</v>
      </c>
      <c r="X341">
        <v>177818</v>
      </c>
      <c r="Y341" t="s">
        <v>654</v>
      </c>
      <c r="Z341" t="s">
        <v>3720</v>
      </c>
      <c r="AA341" t="s">
        <v>3527</v>
      </c>
      <c r="AB341" t="s">
        <v>45</v>
      </c>
      <c r="AC341" t="s">
        <v>3528</v>
      </c>
    </row>
    <row r="342" spans="1:29">
      <c r="A342" t="s">
        <v>241</v>
      </c>
      <c r="B342" s="1">
        <v>87086</v>
      </c>
      <c r="C342" t="s">
        <v>527</v>
      </c>
      <c r="D342" t="s">
        <v>3723</v>
      </c>
      <c r="E342" s="1">
        <v>-13119</v>
      </c>
      <c r="F342" t="s">
        <v>2164</v>
      </c>
      <c r="G342" t="s">
        <v>3724</v>
      </c>
      <c r="H342" t="s">
        <v>3725</v>
      </c>
      <c r="I342">
        <v>4</v>
      </c>
      <c r="J342" t="s">
        <v>3726</v>
      </c>
      <c r="K342">
        <v>73</v>
      </c>
      <c r="L342" t="s">
        <v>3727</v>
      </c>
      <c r="M342" t="s">
        <v>3728</v>
      </c>
      <c r="N342" t="s">
        <v>3729</v>
      </c>
      <c r="O342" t="s">
        <v>3730</v>
      </c>
      <c r="P342" t="s">
        <v>3731</v>
      </c>
      <c r="Q342" t="s">
        <v>3732</v>
      </c>
      <c r="R342" t="s">
        <v>3729</v>
      </c>
      <c r="S342" s="2">
        <v>28814</v>
      </c>
      <c r="T342">
        <v>0</v>
      </c>
      <c r="U342" t="s">
        <v>3733</v>
      </c>
      <c r="V342">
        <v>1</v>
      </c>
      <c r="W342">
        <v>4</v>
      </c>
      <c r="X342">
        <v>214880</v>
      </c>
      <c r="Y342" t="s">
        <v>1359</v>
      </c>
      <c r="Z342" t="s">
        <v>3732</v>
      </c>
      <c r="AA342" t="s">
        <v>682</v>
      </c>
      <c r="AB342" t="s">
        <v>45</v>
      </c>
      <c r="AC342" t="s">
        <v>3734</v>
      </c>
    </row>
    <row r="343" spans="1:29">
      <c r="A343" t="s">
        <v>3735</v>
      </c>
      <c r="B343" s="1">
        <v>121059</v>
      </c>
      <c r="C343" t="s">
        <v>1786</v>
      </c>
      <c r="D343" t="s">
        <v>3723</v>
      </c>
      <c r="E343" s="1">
        <v>-16031</v>
      </c>
      <c r="F343" t="s">
        <v>3736</v>
      </c>
      <c r="G343" t="s">
        <v>3613</v>
      </c>
      <c r="H343" t="s">
        <v>3737</v>
      </c>
      <c r="I343">
        <v>4</v>
      </c>
      <c r="J343" t="s">
        <v>2958</v>
      </c>
      <c r="K343">
        <v>70</v>
      </c>
      <c r="L343" t="s">
        <v>3738</v>
      </c>
      <c r="M343" t="s">
        <v>3739</v>
      </c>
      <c r="N343" t="s">
        <v>3740</v>
      </c>
      <c r="O343" t="s">
        <v>3730</v>
      </c>
      <c r="P343" t="s">
        <v>3741</v>
      </c>
      <c r="Q343" t="s">
        <v>3742</v>
      </c>
      <c r="R343" t="s">
        <v>3743</v>
      </c>
      <c r="S343" s="2">
        <v>29952</v>
      </c>
      <c r="T343" t="s">
        <v>3744</v>
      </c>
      <c r="U343" t="s">
        <v>3745</v>
      </c>
      <c r="V343">
        <v>1</v>
      </c>
      <c r="W343">
        <v>9</v>
      </c>
      <c r="X343">
        <v>173467</v>
      </c>
      <c r="Y343" t="s">
        <v>2033</v>
      </c>
      <c r="Z343" t="s">
        <v>3742</v>
      </c>
      <c r="AA343" t="s">
        <v>682</v>
      </c>
      <c r="AB343" t="s">
        <v>45</v>
      </c>
      <c r="AC343" t="s">
        <v>3734</v>
      </c>
    </row>
    <row r="344" spans="1:29">
      <c r="A344" t="s">
        <v>3735</v>
      </c>
      <c r="B344" s="1">
        <v>187711</v>
      </c>
      <c r="C344" t="s">
        <v>452</v>
      </c>
      <c r="D344" t="s">
        <v>3723</v>
      </c>
      <c r="E344" s="1">
        <v>-14398</v>
      </c>
      <c r="F344" t="s">
        <v>1073</v>
      </c>
      <c r="G344" t="s">
        <v>143</v>
      </c>
      <c r="H344" t="s">
        <v>3746</v>
      </c>
      <c r="I344">
        <v>3</v>
      </c>
      <c r="J344" t="s">
        <v>3747</v>
      </c>
      <c r="K344">
        <v>68</v>
      </c>
      <c r="L344" t="s">
        <v>3748</v>
      </c>
      <c r="M344" t="s">
        <v>3749</v>
      </c>
      <c r="N344" t="s">
        <v>3750</v>
      </c>
      <c r="O344" t="s">
        <v>3730</v>
      </c>
      <c r="P344" t="s">
        <v>3751</v>
      </c>
      <c r="Q344" t="s">
        <v>3752</v>
      </c>
      <c r="R344" t="s">
        <v>3753</v>
      </c>
      <c r="S344" s="2">
        <v>28491</v>
      </c>
      <c r="T344" t="s">
        <v>3754</v>
      </c>
      <c r="U344" t="s">
        <v>3755</v>
      </c>
      <c r="V344">
        <v>1</v>
      </c>
      <c r="W344">
        <v>9</v>
      </c>
      <c r="X344">
        <v>152867</v>
      </c>
      <c r="Y344" t="s">
        <v>1736</v>
      </c>
      <c r="Z344" t="s">
        <v>3752</v>
      </c>
      <c r="AA344" t="s">
        <v>682</v>
      </c>
      <c r="AB344" t="s">
        <v>45</v>
      </c>
      <c r="AC344" t="s">
        <v>3734</v>
      </c>
    </row>
    <row r="345" spans="1:29">
      <c r="A345" t="s">
        <v>188</v>
      </c>
      <c r="B345" s="1">
        <v>78259</v>
      </c>
      <c r="C345" t="s">
        <v>2557</v>
      </c>
      <c r="D345" t="s">
        <v>3756</v>
      </c>
      <c r="E345" s="1">
        <v>-7612</v>
      </c>
      <c r="F345" t="s">
        <v>2795</v>
      </c>
      <c r="G345" t="s">
        <v>1037</v>
      </c>
      <c r="H345" t="s">
        <v>3757</v>
      </c>
      <c r="I345">
        <v>4</v>
      </c>
      <c r="J345" t="s">
        <v>2280</v>
      </c>
      <c r="K345">
        <v>80</v>
      </c>
      <c r="L345" t="s">
        <v>3758</v>
      </c>
      <c r="M345" t="s">
        <v>3759</v>
      </c>
      <c r="N345" t="s">
        <v>3760</v>
      </c>
      <c r="O345" t="s">
        <v>3761</v>
      </c>
      <c r="P345" t="s">
        <v>3762</v>
      </c>
      <c r="Q345" t="s">
        <v>3763</v>
      </c>
      <c r="R345" t="s">
        <v>3764</v>
      </c>
      <c r="S345" s="2">
        <v>44903</v>
      </c>
      <c r="T345" t="s">
        <v>3654</v>
      </c>
      <c r="U345" t="s">
        <v>3765</v>
      </c>
      <c r="V345">
        <v>1</v>
      </c>
      <c r="W345">
        <v>9</v>
      </c>
      <c r="X345">
        <v>239613</v>
      </c>
      <c r="Y345" t="s">
        <v>2794</v>
      </c>
      <c r="Z345" t="s">
        <v>3763</v>
      </c>
      <c r="AA345" t="s">
        <v>1853</v>
      </c>
      <c r="AB345" t="s">
        <v>45</v>
      </c>
      <c r="AC345" t="s">
        <v>3766</v>
      </c>
    </row>
    <row r="346" spans="1:29">
      <c r="A346" t="s">
        <v>3767</v>
      </c>
      <c r="B346" t="s">
        <v>3768</v>
      </c>
      <c r="C346" t="s">
        <v>3767</v>
      </c>
      <c r="D346" t="s">
        <v>3756</v>
      </c>
      <c r="E346" s="1">
        <v>-7362</v>
      </c>
      <c r="F346" t="s">
        <v>2196</v>
      </c>
      <c r="G346" t="s">
        <v>513</v>
      </c>
      <c r="H346" t="s">
        <v>3769</v>
      </c>
      <c r="I346">
        <v>3</v>
      </c>
      <c r="J346" t="s">
        <v>331</v>
      </c>
      <c r="K346">
        <v>87</v>
      </c>
      <c r="L346" t="s">
        <v>3770</v>
      </c>
      <c r="M346" t="s">
        <v>3771</v>
      </c>
      <c r="N346" t="s">
        <v>3772</v>
      </c>
      <c r="O346" t="s">
        <v>3761</v>
      </c>
      <c r="P346" t="s">
        <v>3773</v>
      </c>
      <c r="Q346" t="s">
        <v>3774</v>
      </c>
      <c r="R346" t="s">
        <v>3775</v>
      </c>
      <c r="S346" s="2">
        <v>42602</v>
      </c>
      <c r="T346" t="s">
        <v>3776</v>
      </c>
      <c r="U346" t="s">
        <v>3777</v>
      </c>
      <c r="V346">
        <v>1</v>
      </c>
      <c r="W346">
        <v>9</v>
      </c>
      <c r="X346">
        <v>184516</v>
      </c>
      <c r="Y346" t="s">
        <v>173</v>
      </c>
      <c r="Z346" t="s">
        <v>3774</v>
      </c>
      <c r="AA346" t="s">
        <v>1853</v>
      </c>
      <c r="AB346" t="s">
        <v>45</v>
      </c>
      <c r="AC346" t="s">
        <v>3766</v>
      </c>
    </row>
    <row r="347" spans="1:29">
      <c r="A347" t="s">
        <v>801</v>
      </c>
      <c r="B347" t="s">
        <v>3778</v>
      </c>
      <c r="C347" t="s">
        <v>3779</v>
      </c>
      <c r="D347" t="s">
        <v>3756</v>
      </c>
      <c r="E347" s="1">
        <v>-10209</v>
      </c>
      <c r="F347" t="s">
        <v>984</v>
      </c>
      <c r="G347" t="s">
        <v>3780</v>
      </c>
      <c r="H347" t="s">
        <v>3781</v>
      </c>
      <c r="I347">
        <v>4</v>
      </c>
      <c r="J347" t="s">
        <v>803</v>
      </c>
      <c r="K347">
        <v>84</v>
      </c>
      <c r="L347" t="s">
        <v>3782</v>
      </c>
      <c r="M347" t="s">
        <v>3783</v>
      </c>
      <c r="N347" t="s">
        <v>3784</v>
      </c>
      <c r="O347" t="s">
        <v>3761</v>
      </c>
      <c r="P347" t="s">
        <v>3785</v>
      </c>
      <c r="Q347" t="s">
        <v>3786</v>
      </c>
      <c r="R347" t="s">
        <v>3787</v>
      </c>
      <c r="S347" s="2">
        <v>42972</v>
      </c>
      <c r="T347">
        <v>0</v>
      </c>
      <c r="U347" t="s">
        <v>3788</v>
      </c>
      <c r="V347">
        <v>1</v>
      </c>
      <c r="W347">
        <v>7</v>
      </c>
      <c r="X347">
        <v>209831</v>
      </c>
      <c r="Y347" t="s">
        <v>62</v>
      </c>
      <c r="Z347" t="s">
        <v>3786</v>
      </c>
      <c r="AA347" t="s">
        <v>1853</v>
      </c>
      <c r="AB347" t="s">
        <v>45</v>
      </c>
      <c r="AC347" t="s">
        <v>3766</v>
      </c>
    </row>
    <row r="348" spans="1:29">
      <c r="A348" t="s">
        <v>47</v>
      </c>
      <c r="B348" s="1">
        <v>86412</v>
      </c>
      <c r="C348" t="s">
        <v>1584</v>
      </c>
      <c r="D348" t="s">
        <v>3756</v>
      </c>
      <c r="E348" s="1">
        <v>-8238</v>
      </c>
      <c r="F348" t="s">
        <v>3789</v>
      </c>
      <c r="G348" t="s">
        <v>1278</v>
      </c>
      <c r="H348" t="s">
        <v>3790</v>
      </c>
      <c r="I348">
        <v>4</v>
      </c>
      <c r="J348" t="s">
        <v>710</v>
      </c>
      <c r="K348">
        <v>79</v>
      </c>
      <c r="L348" t="s">
        <v>3791</v>
      </c>
      <c r="M348" t="s">
        <v>3792</v>
      </c>
      <c r="N348" t="s">
        <v>3793</v>
      </c>
      <c r="O348" t="s">
        <v>3761</v>
      </c>
      <c r="P348" t="s">
        <v>3794</v>
      </c>
      <c r="Q348" t="s">
        <v>3795</v>
      </c>
      <c r="R348" t="s">
        <v>3796</v>
      </c>
      <c r="S348" s="2">
        <v>38069</v>
      </c>
      <c r="T348">
        <v>0</v>
      </c>
      <c r="U348" t="s">
        <v>3797</v>
      </c>
      <c r="V348">
        <v>1</v>
      </c>
      <c r="W348">
        <v>5</v>
      </c>
      <c r="X348">
        <v>223440</v>
      </c>
      <c r="Y348" t="s">
        <v>1406</v>
      </c>
      <c r="Z348" t="s">
        <v>3795</v>
      </c>
      <c r="AA348" t="s">
        <v>1853</v>
      </c>
      <c r="AB348" t="s">
        <v>45</v>
      </c>
      <c r="AC348" t="s">
        <v>3766</v>
      </c>
    </row>
    <row r="349" spans="1:29">
      <c r="A349" t="s">
        <v>2853</v>
      </c>
      <c r="B349" s="1">
        <v>81001</v>
      </c>
      <c r="C349" t="s">
        <v>1893</v>
      </c>
      <c r="D349" t="s">
        <v>3756</v>
      </c>
      <c r="E349" s="1">
        <v>-8127</v>
      </c>
      <c r="F349" t="s">
        <v>201</v>
      </c>
      <c r="G349" t="s">
        <v>3798</v>
      </c>
      <c r="H349" t="s">
        <v>3799</v>
      </c>
      <c r="I349">
        <v>4</v>
      </c>
      <c r="J349" t="s">
        <v>984</v>
      </c>
      <c r="K349">
        <v>85</v>
      </c>
      <c r="L349" t="s">
        <v>3800</v>
      </c>
      <c r="M349" t="s">
        <v>3801</v>
      </c>
      <c r="N349" t="s">
        <v>3802</v>
      </c>
      <c r="O349" t="s">
        <v>3761</v>
      </c>
      <c r="P349" t="s">
        <v>3803</v>
      </c>
      <c r="Q349" t="s">
        <v>3804</v>
      </c>
      <c r="R349" t="s">
        <v>3805</v>
      </c>
      <c r="S349" s="2">
        <v>40508</v>
      </c>
      <c r="T349" t="s">
        <v>2466</v>
      </c>
      <c r="U349" t="s">
        <v>3806</v>
      </c>
      <c r="V349">
        <v>0</v>
      </c>
      <c r="W349">
        <v>11</v>
      </c>
      <c r="X349">
        <v>195373</v>
      </c>
      <c r="Y349" t="s">
        <v>933</v>
      </c>
      <c r="Z349" t="s">
        <v>3804</v>
      </c>
      <c r="AA349" t="s">
        <v>1853</v>
      </c>
      <c r="AB349" t="s">
        <v>45</v>
      </c>
      <c r="AC349" t="s">
        <v>3766</v>
      </c>
    </row>
    <row r="350" spans="1:29">
      <c r="A350" t="s">
        <v>1049</v>
      </c>
      <c r="B350" s="1">
        <v>143008</v>
      </c>
      <c r="C350" t="s">
        <v>879</v>
      </c>
      <c r="D350" t="s">
        <v>3756</v>
      </c>
      <c r="E350" s="1">
        <v>-7231</v>
      </c>
      <c r="F350" t="s">
        <v>437</v>
      </c>
      <c r="G350" t="s">
        <v>2571</v>
      </c>
      <c r="H350" t="s">
        <v>3807</v>
      </c>
      <c r="I350">
        <v>4</v>
      </c>
      <c r="J350" t="s">
        <v>3808</v>
      </c>
      <c r="K350">
        <v>86</v>
      </c>
      <c r="L350" t="s">
        <v>3809</v>
      </c>
      <c r="M350" t="s">
        <v>3810</v>
      </c>
      <c r="N350" t="s">
        <v>3760</v>
      </c>
      <c r="O350" t="s">
        <v>3761</v>
      </c>
      <c r="P350" t="s">
        <v>3811</v>
      </c>
      <c r="Q350" t="s">
        <v>3812</v>
      </c>
      <c r="R350" t="s">
        <v>3813</v>
      </c>
      <c r="S350" s="2">
        <v>44904</v>
      </c>
      <c r="T350">
        <v>0</v>
      </c>
      <c r="U350" t="s">
        <v>3814</v>
      </c>
      <c r="V350">
        <v>1</v>
      </c>
      <c r="W350">
        <v>5</v>
      </c>
      <c r="X350">
        <v>201800</v>
      </c>
      <c r="Y350" t="s">
        <v>595</v>
      </c>
      <c r="Z350" t="s">
        <v>3812</v>
      </c>
      <c r="AA350" t="s">
        <v>1853</v>
      </c>
      <c r="AB350" t="s">
        <v>45</v>
      </c>
      <c r="AC350" t="s">
        <v>3766</v>
      </c>
    </row>
    <row r="351" spans="1:29">
      <c r="A351" t="s">
        <v>307</v>
      </c>
      <c r="B351" s="1">
        <v>118402</v>
      </c>
      <c r="C351" t="s">
        <v>669</v>
      </c>
      <c r="D351" t="s">
        <v>3756</v>
      </c>
      <c r="E351" s="1">
        <v>-9129</v>
      </c>
      <c r="F351" t="s">
        <v>189</v>
      </c>
      <c r="G351" t="s">
        <v>942</v>
      </c>
      <c r="H351" t="s">
        <v>3815</v>
      </c>
      <c r="I351">
        <v>3</v>
      </c>
      <c r="J351" t="s">
        <v>582</v>
      </c>
      <c r="K351">
        <v>81</v>
      </c>
      <c r="L351" t="s">
        <v>3816</v>
      </c>
      <c r="M351" t="s">
        <v>3817</v>
      </c>
      <c r="N351" t="s">
        <v>3818</v>
      </c>
      <c r="O351" t="s">
        <v>3761</v>
      </c>
      <c r="P351" t="s">
        <v>3819</v>
      </c>
      <c r="Q351" t="s">
        <v>3820</v>
      </c>
      <c r="R351" t="s">
        <v>3821</v>
      </c>
      <c r="S351" s="2">
        <v>37957</v>
      </c>
      <c r="T351" t="s">
        <v>3822</v>
      </c>
      <c r="U351" t="s">
        <v>3823</v>
      </c>
      <c r="V351">
        <v>1</v>
      </c>
      <c r="W351">
        <v>7</v>
      </c>
      <c r="X351">
        <v>228707</v>
      </c>
      <c r="Y351" t="s">
        <v>852</v>
      </c>
      <c r="Z351" t="s">
        <v>3820</v>
      </c>
      <c r="AA351" t="s">
        <v>1853</v>
      </c>
      <c r="AB351" t="s">
        <v>45</v>
      </c>
      <c r="AC351" t="s">
        <v>3766</v>
      </c>
    </row>
    <row r="352" spans="1:29">
      <c r="A352" t="s">
        <v>837</v>
      </c>
      <c r="B352" s="1">
        <v>117489</v>
      </c>
      <c r="C352" t="s">
        <v>552</v>
      </c>
      <c r="D352" t="s">
        <v>3756</v>
      </c>
      <c r="E352" s="1">
        <v>-10102</v>
      </c>
      <c r="F352" t="s">
        <v>3824</v>
      </c>
      <c r="G352" t="s">
        <v>1374</v>
      </c>
      <c r="H352" t="s">
        <v>3825</v>
      </c>
      <c r="I352">
        <v>3</v>
      </c>
      <c r="J352" t="s">
        <v>3826</v>
      </c>
      <c r="K352">
        <v>78</v>
      </c>
      <c r="L352" t="s">
        <v>3827</v>
      </c>
      <c r="M352" t="s">
        <v>3828</v>
      </c>
      <c r="N352" t="s">
        <v>3829</v>
      </c>
      <c r="O352" t="s">
        <v>3761</v>
      </c>
      <c r="P352" t="s">
        <v>3830</v>
      </c>
      <c r="Q352" t="s">
        <v>3831</v>
      </c>
      <c r="R352" t="s">
        <v>3829</v>
      </c>
      <c r="S352" s="2">
        <v>42585</v>
      </c>
      <c r="T352" t="s">
        <v>3832</v>
      </c>
      <c r="U352" t="s">
        <v>3833</v>
      </c>
      <c r="V352">
        <v>0</v>
      </c>
      <c r="W352">
        <v>2</v>
      </c>
      <c r="X352">
        <v>212992</v>
      </c>
      <c r="Y352" t="s">
        <v>605</v>
      </c>
      <c r="Z352" t="s">
        <v>3831</v>
      </c>
      <c r="AA352" t="s">
        <v>1853</v>
      </c>
      <c r="AB352" t="s">
        <v>45</v>
      </c>
      <c r="AC352" t="s">
        <v>3766</v>
      </c>
    </row>
    <row r="353" spans="1:29">
      <c r="A353" t="s">
        <v>1049</v>
      </c>
      <c r="B353" s="1">
        <v>92887</v>
      </c>
      <c r="C353" t="s">
        <v>1825</v>
      </c>
      <c r="D353" t="s">
        <v>3756</v>
      </c>
      <c r="E353" t="s">
        <v>3834</v>
      </c>
      <c r="F353" t="s">
        <v>2856</v>
      </c>
      <c r="G353" t="s">
        <v>3835</v>
      </c>
      <c r="H353" t="s">
        <v>3836</v>
      </c>
      <c r="I353">
        <v>4</v>
      </c>
      <c r="J353" t="s">
        <v>3837</v>
      </c>
      <c r="K353">
        <v>78</v>
      </c>
      <c r="L353" t="s">
        <v>3838</v>
      </c>
      <c r="M353" t="s">
        <v>3839</v>
      </c>
      <c r="N353" t="s">
        <v>3840</v>
      </c>
      <c r="O353" t="s">
        <v>3761</v>
      </c>
      <c r="P353" t="s">
        <v>3841</v>
      </c>
      <c r="Q353" t="s">
        <v>3842</v>
      </c>
      <c r="R353" t="s">
        <v>3843</v>
      </c>
      <c r="S353" s="2">
        <v>37131</v>
      </c>
      <c r="T353" t="s">
        <v>3844</v>
      </c>
      <c r="U353" t="s">
        <v>3845</v>
      </c>
      <c r="V353">
        <v>0</v>
      </c>
      <c r="W353">
        <v>8</v>
      </c>
      <c r="X353">
        <v>265867</v>
      </c>
      <c r="Y353" t="s">
        <v>279</v>
      </c>
      <c r="Z353" t="s">
        <v>3842</v>
      </c>
      <c r="AA353" t="s">
        <v>1853</v>
      </c>
      <c r="AB353" t="s">
        <v>45</v>
      </c>
      <c r="AC353" t="s">
        <v>3766</v>
      </c>
    </row>
    <row r="354" spans="1:29">
      <c r="A354" t="s">
        <v>838</v>
      </c>
      <c r="B354" s="1">
        <v>86009</v>
      </c>
      <c r="C354" t="s">
        <v>1584</v>
      </c>
      <c r="D354" t="s">
        <v>3756</v>
      </c>
      <c r="E354" s="1">
        <v>-4298</v>
      </c>
      <c r="F354" t="s">
        <v>2929</v>
      </c>
      <c r="G354" t="s">
        <v>293</v>
      </c>
      <c r="H354" t="s">
        <v>3846</v>
      </c>
      <c r="I354">
        <v>4</v>
      </c>
      <c r="J354" t="s">
        <v>3847</v>
      </c>
      <c r="K354">
        <v>74</v>
      </c>
      <c r="L354" t="s">
        <v>3848</v>
      </c>
      <c r="M354" t="s">
        <v>3849</v>
      </c>
      <c r="N354" t="s">
        <v>3850</v>
      </c>
      <c r="O354" t="s">
        <v>3761</v>
      </c>
      <c r="P354" t="s">
        <v>3851</v>
      </c>
      <c r="Q354" t="s">
        <v>3852</v>
      </c>
      <c r="R354" t="s">
        <v>3853</v>
      </c>
      <c r="S354" s="2">
        <v>39392</v>
      </c>
      <c r="T354">
        <v>0</v>
      </c>
      <c r="U354" t="s">
        <v>3854</v>
      </c>
      <c r="V354">
        <v>1</v>
      </c>
      <c r="W354">
        <v>3</v>
      </c>
      <c r="X354">
        <v>252120</v>
      </c>
      <c r="Y354" t="s">
        <v>2001</v>
      </c>
      <c r="Z354" t="s">
        <v>3852</v>
      </c>
      <c r="AA354" t="s">
        <v>1853</v>
      </c>
      <c r="AB354" t="s">
        <v>45</v>
      </c>
      <c r="AC354" t="s">
        <v>3766</v>
      </c>
    </row>
    <row r="355" spans="1:29">
      <c r="A355" t="s">
        <v>1893</v>
      </c>
      <c r="B355" s="1">
        <v>112912</v>
      </c>
      <c r="C355" t="s">
        <v>622</v>
      </c>
      <c r="D355" t="s">
        <v>3756</v>
      </c>
      <c r="E355" s="1">
        <v>-7364</v>
      </c>
      <c r="F355" t="s">
        <v>1553</v>
      </c>
      <c r="G355" t="s">
        <v>276</v>
      </c>
      <c r="H355" t="s">
        <v>3807</v>
      </c>
      <c r="I355">
        <v>4</v>
      </c>
      <c r="J355" t="s">
        <v>1937</v>
      </c>
      <c r="K355">
        <v>80</v>
      </c>
      <c r="L355" t="s">
        <v>3855</v>
      </c>
      <c r="M355" t="s">
        <v>3856</v>
      </c>
      <c r="N355" t="s">
        <v>3857</v>
      </c>
      <c r="O355" t="s">
        <v>3761</v>
      </c>
      <c r="P355" t="s">
        <v>3858</v>
      </c>
      <c r="Q355" t="s">
        <v>3859</v>
      </c>
      <c r="R355" t="s">
        <v>3860</v>
      </c>
      <c r="S355" s="2">
        <v>42895</v>
      </c>
      <c r="T355">
        <v>0</v>
      </c>
      <c r="U355" t="s">
        <v>3861</v>
      </c>
      <c r="V355">
        <v>1</v>
      </c>
      <c r="W355">
        <v>6</v>
      </c>
      <c r="X355">
        <v>231253</v>
      </c>
      <c r="Y355" t="s">
        <v>956</v>
      </c>
      <c r="Z355" t="s">
        <v>3859</v>
      </c>
      <c r="AA355" t="s">
        <v>1853</v>
      </c>
      <c r="AB355" t="s">
        <v>45</v>
      </c>
      <c r="AC355" t="s">
        <v>3766</v>
      </c>
    </row>
    <row r="356" spans="1:29">
      <c r="A356" t="s">
        <v>1037</v>
      </c>
      <c r="B356" s="1">
        <v>113451</v>
      </c>
      <c r="C356" t="s">
        <v>65</v>
      </c>
      <c r="D356" t="s">
        <v>3756</v>
      </c>
      <c r="E356" s="1">
        <v>-11314</v>
      </c>
      <c r="F356" t="s">
        <v>2673</v>
      </c>
      <c r="G356" t="s">
        <v>743</v>
      </c>
      <c r="H356" t="s">
        <v>3799</v>
      </c>
      <c r="I356">
        <v>4</v>
      </c>
      <c r="J356" t="s">
        <v>1587</v>
      </c>
      <c r="K356">
        <v>79</v>
      </c>
      <c r="L356" t="s">
        <v>3862</v>
      </c>
      <c r="M356" t="s">
        <v>3863</v>
      </c>
      <c r="N356" t="s">
        <v>3802</v>
      </c>
      <c r="O356" t="s">
        <v>3761</v>
      </c>
      <c r="P356" t="s">
        <v>3864</v>
      </c>
      <c r="Q356" t="s">
        <v>3865</v>
      </c>
      <c r="R356" t="s">
        <v>3866</v>
      </c>
      <c r="S356" s="2">
        <v>40508</v>
      </c>
      <c r="T356" t="s">
        <v>619</v>
      </c>
      <c r="U356" t="s">
        <v>3806</v>
      </c>
      <c r="V356">
        <v>0</v>
      </c>
      <c r="W356">
        <v>6</v>
      </c>
      <c r="X356">
        <v>102813</v>
      </c>
      <c r="Y356" t="s">
        <v>2569</v>
      </c>
      <c r="Z356" t="s">
        <v>3865</v>
      </c>
      <c r="AA356" t="s">
        <v>1853</v>
      </c>
      <c r="AB356" t="s">
        <v>45</v>
      </c>
      <c r="AC356" t="s">
        <v>3766</v>
      </c>
    </row>
    <row r="357" spans="1:29">
      <c r="A357" t="s">
        <v>3053</v>
      </c>
      <c r="B357" s="1">
        <v>92995</v>
      </c>
      <c r="C357" t="s">
        <v>3867</v>
      </c>
      <c r="D357" t="s">
        <v>3756</v>
      </c>
      <c r="E357" s="1">
        <v>-7215</v>
      </c>
      <c r="F357" t="s">
        <v>3868</v>
      </c>
      <c r="G357" t="s">
        <v>1097</v>
      </c>
      <c r="H357" t="s">
        <v>3825</v>
      </c>
      <c r="I357">
        <v>4</v>
      </c>
      <c r="J357" t="s">
        <v>408</v>
      </c>
      <c r="K357">
        <v>80</v>
      </c>
      <c r="L357" t="s">
        <v>3869</v>
      </c>
      <c r="M357" t="s">
        <v>3870</v>
      </c>
      <c r="N357" t="s">
        <v>3871</v>
      </c>
      <c r="O357" t="s">
        <v>3761</v>
      </c>
      <c r="P357" t="s">
        <v>3872</v>
      </c>
      <c r="Q357" t="s">
        <v>3873</v>
      </c>
      <c r="R357" t="s">
        <v>3874</v>
      </c>
      <c r="S357" s="2">
        <v>45226</v>
      </c>
      <c r="T357" t="s">
        <v>3875</v>
      </c>
      <c r="U357" t="s">
        <v>3876</v>
      </c>
      <c r="V357">
        <v>1</v>
      </c>
      <c r="W357">
        <v>9</v>
      </c>
      <c r="X357">
        <v>82509</v>
      </c>
      <c r="Y357" t="s">
        <v>2510</v>
      </c>
      <c r="Z357" t="s">
        <v>3873</v>
      </c>
      <c r="AA357" t="s">
        <v>1853</v>
      </c>
      <c r="AB357" t="s">
        <v>45</v>
      </c>
      <c r="AC357" t="s">
        <v>3766</v>
      </c>
    </row>
    <row r="358" spans="1:29">
      <c r="A358" t="s">
        <v>2377</v>
      </c>
      <c r="B358" s="1">
        <v>102679</v>
      </c>
      <c r="C358" t="s">
        <v>3877</v>
      </c>
      <c r="D358" t="s">
        <v>3756</v>
      </c>
      <c r="E358" s="1">
        <v>-11733</v>
      </c>
      <c r="F358" t="s">
        <v>3878</v>
      </c>
      <c r="G358" t="s">
        <v>2229</v>
      </c>
      <c r="H358" t="s">
        <v>3879</v>
      </c>
      <c r="I358">
        <v>4</v>
      </c>
      <c r="J358" t="s">
        <v>1653</v>
      </c>
      <c r="K358">
        <v>75</v>
      </c>
      <c r="L358" t="s">
        <v>3880</v>
      </c>
      <c r="M358" t="s">
        <v>3881</v>
      </c>
      <c r="N358" t="s">
        <v>3882</v>
      </c>
      <c r="O358" t="s">
        <v>3761</v>
      </c>
      <c r="P358" t="s">
        <v>3883</v>
      </c>
      <c r="Q358" t="s">
        <v>3884</v>
      </c>
      <c r="R358" t="s">
        <v>3885</v>
      </c>
      <c r="S358" s="2">
        <v>43707</v>
      </c>
      <c r="T358" t="s">
        <v>3886</v>
      </c>
      <c r="U358" t="s">
        <v>3887</v>
      </c>
      <c r="V358">
        <v>0</v>
      </c>
      <c r="W358">
        <v>1</v>
      </c>
      <c r="X358">
        <v>252747</v>
      </c>
      <c r="Y358" t="s">
        <v>1990</v>
      </c>
      <c r="Z358" t="s">
        <v>3884</v>
      </c>
      <c r="AA358" t="s">
        <v>1853</v>
      </c>
      <c r="AB358" t="s">
        <v>45</v>
      </c>
      <c r="AC358" t="s">
        <v>3766</v>
      </c>
    </row>
    <row r="359" spans="1:29">
      <c r="A359" t="s">
        <v>3888</v>
      </c>
      <c r="B359" s="1">
        <v>90119</v>
      </c>
      <c r="C359" t="s">
        <v>2610</v>
      </c>
      <c r="D359" t="s">
        <v>3756</v>
      </c>
      <c r="E359" s="1">
        <v>-5763</v>
      </c>
      <c r="F359" t="s">
        <v>582</v>
      </c>
      <c r="G359" t="s">
        <v>3143</v>
      </c>
      <c r="H359" t="s">
        <v>3889</v>
      </c>
      <c r="I359">
        <v>4</v>
      </c>
      <c r="J359" t="s">
        <v>3369</v>
      </c>
      <c r="K359">
        <v>72</v>
      </c>
      <c r="L359" t="s">
        <v>3890</v>
      </c>
      <c r="M359" t="s">
        <v>3891</v>
      </c>
      <c r="N359" t="s">
        <v>3889</v>
      </c>
      <c r="O359" t="s">
        <v>3761</v>
      </c>
      <c r="P359" t="s">
        <v>3892</v>
      </c>
      <c r="Q359" t="s">
        <v>3893</v>
      </c>
      <c r="R359" t="s">
        <v>3894</v>
      </c>
      <c r="S359" s="2">
        <v>37257</v>
      </c>
      <c r="T359">
        <v>0</v>
      </c>
      <c r="U359" t="s">
        <v>3895</v>
      </c>
      <c r="V359">
        <v>1</v>
      </c>
      <c r="W359">
        <v>0</v>
      </c>
      <c r="X359">
        <v>227387</v>
      </c>
      <c r="Y359" t="s">
        <v>3284</v>
      </c>
      <c r="Z359" t="s">
        <v>3893</v>
      </c>
      <c r="AA359" t="s">
        <v>1853</v>
      </c>
      <c r="AB359" t="s">
        <v>45</v>
      </c>
      <c r="AC359" t="s">
        <v>3766</v>
      </c>
    </row>
    <row r="360" spans="1:29">
      <c r="A360" t="s">
        <v>669</v>
      </c>
      <c r="B360" s="1">
        <v>95986</v>
      </c>
      <c r="C360" t="s">
        <v>1335</v>
      </c>
      <c r="D360" t="s">
        <v>3756</v>
      </c>
      <c r="E360" s="1">
        <v>-7519</v>
      </c>
      <c r="F360" t="s">
        <v>3896</v>
      </c>
      <c r="G360" t="s">
        <v>1152</v>
      </c>
      <c r="H360" t="s">
        <v>3815</v>
      </c>
      <c r="I360">
        <v>3</v>
      </c>
      <c r="J360" t="s">
        <v>3897</v>
      </c>
      <c r="K360">
        <v>76</v>
      </c>
      <c r="L360" t="s">
        <v>3898</v>
      </c>
      <c r="M360" t="s">
        <v>3899</v>
      </c>
      <c r="N360" t="s">
        <v>3900</v>
      </c>
      <c r="O360" t="s">
        <v>3761</v>
      </c>
      <c r="P360" t="s">
        <v>3901</v>
      </c>
      <c r="Q360" t="s">
        <v>3902</v>
      </c>
      <c r="R360" t="s">
        <v>3903</v>
      </c>
      <c r="S360" s="2">
        <v>37047</v>
      </c>
      <c r="T360" t="s">
        <v>3904</v>
      </c>
      <c r="U360" t="s">
        <v>3905</v>
      </c>
      <c r="V360">
        <v>0</v>
      </c>
      <c r="W360">
        <v>11</v>
      </c>
      <c r="X360">
        <v>210200</v>
      </c>
      <c r="Y360" t="s">
        <v>3906</v>
      </c>
      <c r="Z360" t="s">
        <v>3902</v>
      </c>
      <c r="AA360" t="s">
        <v>1853</v>
      </c>
      <c r="AB360" t="s">
        <v>45</v>
      </c>
      <c r="AC360" t="s">
        <v>3766</v>
      </c>
    </row>
    <row r="361" spans="1:29">
      <c r="A361" t="s">
        <v>491</v>
      </c>
      <c r="B361" s="1">
        <v>99796</v>
      </c>
      <c r="C361" t="s">
        <v>1503</v>
      </c>
      <c r="D361" t="s">
        <v>3756</v>
      </c>
      <c r="E361" s="1">
        <v>-8285</v>
      </c>
      <c r="F361" t="s">
        <v>1617</v>
      </c>
      <c r="G361" t="s">
        <v>3907</v>
      </c>
      <c r="H361" t="s">
        <v>3807</v>
      </c>
      <c r="I361">
        <v>3</v>
      </c>
      <c r="J361" t="s">
        <v>323</v>
      </c>
      <c r="K361">
        <v>84</v>
      </c>
      <c r="L361" t="s">
        <v>3908</v>
      </c>
      <c r="M361" t="s">
        <v>3909</v>
      </c>
      <c r="N361" t="s">
        <v>3760</v>
      </c>
      <c r="O361" t="s">
        <v>3761</v>
      </c>
      <c r="P361" t="s">
        <v>3910</v>
      </c>
      <c r="Q361" t="s">
        <v>3911</v>
      </c>
      <c r="R361" t="s">
        <v>3912</v>
      </c>
      <c r="S361" s="2">
        <v>44904</v>
      </c>
      <c r="T361">
        <v>0</v>
      </c>
      <c r="U361" t="s">
        <v>3814</v>
      </c>
      <c r="V361">
        <v>1</v>
      </c>
      <c r="W361">
        <v>7</v>
      </c>
      <c r="X361">
        <v>180853</v>
      </c>
      <c r="Y361" t="s">
        <v>1023</v>
      </c>
      <c r="Z361" t="s">
        <v>3911</v>
      </c>
      <c r="AA361" t="s">
        <v>1853</v>
      </c>
      <c r="AB361" t="s">
        <v>45</v>
      </c>
      <c r="AC361" t="s">
        <v>3766</v>
      </c>
    </row>
    <row r="362" spans="1:29">
      <c r="A362" t="s">
        <v>2345</v>
      </c>
      <c r="B362" s="1">
        <v>65203</v>
      </c>
      <c r="C362" t="s">
        <v>1431</v>
      </c>
      <c r="D362" t="s">
        <v>3756</v>
      </c>
      <c r="E362" s="1">
        <v>-8765</v>
      </c>
      <c r="F362" t="s">
        <v>1799</v>
      </c>
      <c r="G362" t="s">
        <v>3032</v>
      </c>
      <c r="H362" t="s">
        <v>3825</v>
      </c>
      <c r="I362">
        <v>3</v>
      </c>
      <c r="J362" t="s">
        <v>3913</v>
      </c>
      <c r="K362">
        <v>78</v>
      </c>
      <c r="L362" t="s">
        <v>3914</v>
      </c>
      <c r="M362" t="s">
        <v>3915</v>
      </c>
      <c r="N362" t="s">
        <v>3916</v>
      </c>
      <c r="O362" t="s">
        <v>3761</v>
      </c>
      <c r="P362" t="s">
        <v>3917</v>
      </c>
      <c r="Q362" t="s">
        <v>3918</v>
      </c>
      <c r="R362" t="s">
        <v>3919</v>
      </c>
      <c r="S362" s="2">
        <v>43868</v>
      </c>
      <c r="T362">
        <v>0</v>
      </c>
      <c r="U362" t="s">
        <v>3920</v>
      </c>
      <c r="V362">
        <v>1</v>
      </c>
      <c r="W362">
        <v>2</v>
      </c>
      <c r="X362">
        <v>110129</v>
      </c>
      <c r="Y362" t="s">
        <v>1098</v>
      </c>
      <c r="Z362" t="s">
        <v>3918</v>
      </c>
      <c r="AA362" t="s">
        <v>1853</v>
      </c>
      <c r="AB362" t="s">
        <v>45</v>
      </c>
      <c r="AC362" t="s">
        <v>3766</v>
      </c>
    </row>
    <row r="363" spans="1:29">
      <c r="A363" t="s">
        <v>1552</v>
      </c>
      <c r="B363" s="1">
        <v>92795</v>
      </c>
      <c r="C363" t="s">
        <v>3163</v>
      </c>
      <c r="D363" t="s">
        <v>3756</v>
      </c>
      <c r="E363" s="1">
        <v>-8336</v>
      </c>
      <c r="F363" t="s">
        <v>375</v>
      </c>
      <c r="G363" t="s">
        <v>2098</v>
      </c>
      <c r="H363" t="s">
        <v>3921</v>
      </c>
      <c r="I363">
        <v>4</v>
      </c>
      <c r="J363" t="s">
        <v>3922</v>
      </c>
      <c r="K363">
        <v>78</v>
      </c>
      <c r="L363" t="s">
        <v>3923</v>
      </c>
      <c r="M363" t="s">
        <v>3924</v>
      </c>
      <c r="N363" t="s">
        <v>3925</v>
      </c>
      <c r="O363" t="s">
        <v>3761</v>
      </c>
      <c r="P363" t="s">
        <v>3926</v>
      </c>
      <c r="Q363" t="s">
        <v>3927</v>
      </c>
      <c r="R363" t="s">
        <v>3928</v>
      </c>
      <c r="S363" s="2">
        <v>38718</v>
      </c>
      <c r="T363">
        <v>0</v>
      </c>
      <c r="U363" t="s">
        <v>3929</v>
      </c>
      <c r="V363">
        <v>1</v>
      </c>
      <c r="W363">
        <v>6</v>
      </c>
      <c r="X363">
        <v>207187</v>
      </c>
      <c r="Y363" t="s">
        <v>379</v>
      </c>
      <c r="Z363" t="s">
        <v>3927</v>
      </c>
      <c r="AA363" t="s">
        <v>1853</v>
      </c>
      <c r="AB363" t="s">
        <v>45</v>
      </c>
      <c r="AC363" t="s">
        <v>3766</v>
      </c>
    </row>
    <row r="364" spans="1:29">
      <c r="A364" t="s">
        <v>3143</v>
      </c>
      <c r="B364" s="1">
        <v>93145</v>
      </c>
      <c r="C364" t="s">
        <v>3930</v>
      </c>
      <c r="D364" t="s">
        <v>3756</v>
      </c>
      <c r="E364" s="1">
        <v>-6537</v>
      </c>
      <c r="F364" t="s">
        <v>1525</v>
      </c>
      <c r="G364" t="s">
        <v>1989</v>
      </c>
      <c r="H364" t="s">
        <v>3931</v>
      </c>
      <c r="I364">
        <v>4</v>
      </c>
      <c r="J364" t="s">
        <v>3932</v>
      </c>
      <c r="K364">
        <v>73</v>
      </c>
      <c r="L364" t="s">
        <v>3933</v>
      </c>
      <c r="M364" t="s">
        <v>3934</v>
      </c>
      <c r="N364" t="s">
        <v>3935</v>
      </c>
      <c r="O364" t="s">
        <v>3761</v>
      </c>
      <c r="P364" t="s">
        <v>3936</v>
      </c>
      <c r="Q364" t="s">
        <v>3937</v>
      </c>
      <c r="R364" t="s">
        <v>3938</v>
      </c>
      <c r="S364" s="2">
        <v>35944</v>
      </c>
      <c r="T364" t="s">
        <v>3939</v>
      </c>
      <c r="U364" t="s">
        <v>3940</v>
      </c>
      <c r="V364">
        <v>0</v>
      </c>
      <c r="W364">
        <v>1</v>
      </c>
      <c r="X364">
        <v>294787</v>
      </c>
      <c r="Y364" t="s">
        <v>730</v>
      </c>
      <c r="Z364" t="s">
        <v>3937</v>
      </c>
      <c r="AA364" t="s">
        <v>1853</v>
      </c>
      <c r="AB364" t="s">
        <v>45</v>
      </c>
      <c r="AC364" t="s">
        <v>3766</v>
      </c>
    </row>
    <row r="365" spans="1:29">
      <c r="A365" t="s">
        <v>143</v>
      </c>
      <c r="B365" s="1">
        <v>86768</v>
      </c>
      <c r="C365" t="s">
        <v>2764</v>
      </c>
      <c r="D365" t="s">
        <v>3756</v>
      </c>
      <c r="E365" s="1">
        <v>-5847</v>
      </c>
      <c r="F365" t="s">
        <v>1980</v>
      </c>
      <c r="G365" t="s">
        <v>161</v>
      </c>
      <c r="H365" t="s">
        <v>3846</v>
      </c>
      <c r="I365">
        <v>4</v>
      </c>
      <c r="J365" t="s">
        <v>2416</v>
      </c>
      <c r="K365">
        <v>71</v>
      </c>
      <c r="L365" t="s">
        <v>3941</v>
      </c>
      <c r="M365" t="s">
        <v>3942</v>
      </c>
      <c r="N365" t="s">
        <v>3943</v>
      </c>
      <c r="O365" t="s">
        <v>3761</v>
      </c>
      <c r="P365" t="s">
        <v>3944</v>
      </c>
      <c r="Q365" t="s">
        <v>3945</v>
      </c>
      <c r="R365" t="s">
        <v>3946</v>
      </c>
      <c r="S365">
        <v>2005</v>
      </c>
      <c r="T365">
        <v>0</v>
      </c>
      <c r="U365" t="s">
        <v>3947</v>
      </c>
      <c r="V365">
        <v>1</v>
      </c>
      <c r="W365">
        <v>4</v>
      </c>
      <c r="X365">
        <v>229040</v>
      </c>
      <c r="Y365" t="s">
        <v>1483</v>
      </c>
      <c r="Z365" t="s">
        <v>3945</v>
      </c>
      <c r="AA365" t="s">
        <v>1853</v>
      </c>
      <c r="AB365" t="s">
        <v>45</v>
      </c>
      <c r="AC365" t="s">
        <v>3766</v>
      </c>
    </row>
    <row r="366" spans="1:29">
      <c r="A366" t="s">
        <v>1279</v>
      </c>
      <c r="B366" t="s">
        <v>3948</v>
      </c>
      <c r="C366" t="s">
        <v>3949</v>
      </c>
      <c r="D366" t="s">
        <v>3756</v>
      </c>
      <c r="E366" s="1">
        <v>-5747</v>
      </c>
      <c r="F366" t="s">
        <v>1202</v>
      </c>
      <c r="G366" t="s">
        <v>3950</v>
      </c>
      <c r="H366" t="s">
        <v>3807</v>
      </c>
      <c r="I366">
        <v>4</v>
      </c>
      <c r="J366" t="s">
        <v>3932</v>
      </c>
      <c r="K366">
        <v>86</v>
      </c>
      <c r="L366" t="s">
        <v>3951</v>
      </c>
      <c r="M366" t="s">
        <v>3952</v>
      </c>
      <c r="N366" t="s">
        <v>3760</v>
      </c>
      <c r="O366" t="s">
        <v>3761</v>
      </c>
      <c r="P366" t="s">
        <v>3953</v>
      </c>
      <c r="Q366" t="s">
        <v>3954</v>
      </c>
      <c r="R366" t="s">
        <v>3955</v>
      </c>
      <c r="S366" s="2">
        <v>44903</v>
      </c>
      <c r="T366" t="s">
        <v>1347</v>
      </c>
      <c r="U366" t="s">
        <v>3765</v>
      </c>
      <c r="V366">
        <v>1</v>
      </c>
      <c r="W366">
        <v>8</v>
      </c>
      <c r="X366">
        <v>153947</v>
      </c>
      <c r="Y366" t="s">
        <v>3956</v>
      </c>
      <c r="Z366" t="s">
        <v>3954</v>
      </c>
      <c r="AA366" t="s">
        <v>1853</v>
      </c>
      <c r="AB366" t="s">
        <v>45</v>
      </c>
      <c r="AC366" t="s">
        <v>3766</v>
      </c>
    </row>
    <row r="367" spans="1:29">
      <c r="A367" t="s">
        <v>2886</v>
      </c>
      <c r="B367" s="1">
        <v>137007</v>
      </c>
      <c r="C367" t="s">
        <v>460</v>
      </c>
      <c r="D367" t="s">
        <v>3756</v>
      </c>
      <c r="E367" s="1">
        <v>-7472</v>
      </c>
      <c r="F367" t="s">
        <v>1335</v>
      </c>
      <c r="G367" t="s">
        <v>786</v>
      </c>
      <c r="H367" t="s">
        <v>3825</v>
      </c>
      <c r="I367">
        <v>4</v>
      </c>
      <c r="J367" t="s">
        <v>3957</v>
      </c>
      <c r="K367">
        <v>77</v>
      </c>
      <c r="L367" t="s">
        <v>3958</v>
      </c>
      <c r="M367" t="s">
        <v>3959</v>
      </c>
      <c r="N367" t="s">
        <v>3871</v>
      </c>
      <c r="O367" t="s">
        <v>3761</v>
      </c>
      <c r="P367" t="s">
        <v>3960</v>
      </c>
      <c r="Q367" t="s">
        <v>3961</v>
      </c>
      <c r="R367" t="s">
        <v>3962</v>
      </c>
      <c r="S367" s="2">
        <v>45226</v>
      </c>
      <c r="T367" t="s">
        <v>3963</v>
      </c>
      <c r="U367" t="s">
        <v>3876</v>
      </c>
      <c r="V367">
        <v>1</v>
      </c>
      <c r="W367">
        <v>2</v>
      </c>
      <c r="X367">
        <v>96369</v>
      </c>
      <c r="Y367" t="s">
        <v>3964</v>
      </c>
      <c r="Z367" t="s">
        <v>3961</v>
      </c>
      <c r="AA367" t="s">
        <v>1853</v>
      </c>
      <c r="AB367" t="s">
        <v>45</v>
      </c>
      <c r="AC367" t="s">
        <v>3766</v>
      </c>
    </row>
    <row r="368" spans="1:29">
      <c r="A368" t="s">
        <v>420</v>
      </c>
      <c r="B368" s="1">
        <v>90098</v>
      </c>
      <c r="C368" t="s">
        <v>1371</v>
      </c>
      <c r="D368" t="s">
        <v>3756</v>
      </c>
      <c r="E368" s="1">
        <v>-5423</v>
      </c>
      <c r="F368" t="s">
        <v>3965</v>
      </c>
      <c r="G368" t="s">
        <v>608</v>
      </c>
      <c r="H368" t="s">
        <v>3815</v>
      </c>
      <c r="I368">
        <v>4</v>
      </c>
      <c r="J368" t="s">
        <v>103</v>
      </c>
      <c r="K368">
        <v>76</v>
      </c>
      <c r="L368" t="s">
        <v>3966</v>
      </c>
      <c r="M368" t="s">
        <v>3967</v>
      </c>
      <c r="N368" t="s">
        <v>3968</v>
      </c>
      <c r="O368" t="s">
        <v>3761</v>
      </c>
      <c r="P368" t="s">
        <v>3969</v>
      </c>
      <c r="Q368" t="s">
        <v>3970</v>
      </c>
      <c r="R368" t="s">
        <v>3971</v>
      </c>
      <c r="S368" s="2">
        <v>39364</v>
      </c>
      <c r="T368" t="s">
        <v>3972</v>
      </c>
      <c r="U368" t="s">
        <v>3973</v>
      </c>
      <c r="V368">
        <v>0</v>
      </c>
      <c r="W368">
        <v>1</v>
      </c>
      <c r="X368">
        <v>254524</v>
      </c>
      <c r="Y368" t="s">
        <v>671</v>
      </c>
      <c r="Z368" t="s">
        <v>3970</v>
      </c>
      <c r="AA368" t="s">
        <v>1853</v>
      </c>
      <c r="AB368" t="s">
        <v>45</v>
      </c>
      <c r="AC368" t="s">
        <v>3766</v>
      </c>
    </row>
    <row r="369" spans="1:29">
      <c r="A369" t="s">
        <v>3974</v>
      </c>
      <c r="B369" s="1">
        <v>95975</v>
      </c>
      <c r="C369" t="s">
        <v>2641</v>
      </c>
      <c r="D369" t="s">
        <v>3756</v>
      </c>
      <c r="E369" s="1">
        <v>-4262</v>
      </c>
      <c r="F369" t="s">
        <v>331</v>
      </c>
      <c r="G369" t="s">
        <v>2377</v>
      </c>
      <c r="H369" t="s">
        <v>3975</v>
      </c>
      <c r="I369">
        <v>4</v>
      </c>
      <c r="J369" t="s">
        <v>1361</v>
      </c>
      <c r="K369">
        <v>76</v>
      </c>
      <c r="L369" t="s">
        <v>3976</v>
      </c>
      <c r="M369" t="s">
        <v>3977</v>
      </c>
      <c r="N369" t="s">
        <v>3978</v>
      </c>
      <c r="O369" t="s">
        <v>3761</v>
      </c>
      <c r="P369" t="s">
        <v>3979</v>
      </c>
      <c r="Q369" t="s">
        <v>3980</v>
      </c>
      <c r="R369" t="s">
        <v>3981</v>
      </c>
      <c r="S369" s="2">
        <v>40267</v>
      </c>
      <c r="T369">
        <v>0</v>
      </c>
      <c r="U369" t="s">
        <v>3982</v>
      </c>
      <c r="V369">
        <v>1</v>
      </c>
      <c r="W369">
        <v>11</v>
      </c>
      <c r="X369">
        <v>224093</v>
      </c>
      <c r="Y369" t="s">
        <v>3983</v>
      </c>
      <c r="Z369" t="s">
        <v>3980</v>
      </c>
      <c r="AA369" t="s">
        <v>1853</v>
      </c>
      <c r="AB369" t="s">
        <v>45</v>
      </c>
      <c r="AC369" t="s">
        <v>3766</v>
      </c>
    </row>
    <row r="370" spans="1:29">
      <c r="A370" t="s">
        <v>3984</v>
      </c>
      <c r="B370" t="s">
        <v>3985</v>
      </c>
      <c r="C370" t="s">
        <v>392</v>
      </c>
      <c r="D370" t="s">
        <v>3756</v>
      </c>
      <c r="E370" t="s">
        <v>1713</v>
      </c>
      <c r="F370" t="s">
        <v>3085</v>
      </c>
      <c r="G370" t="s">
        <v>1121</v>
      </c>
      <c r="H370" t="s">
        <v>3986</v>
      </c>
      <c r="I370">
        <v>4</v>
      </c>
      <c r="J370" t="s">
        <v>3987</v>
      </c>
      <c r="K370">
        <v>76</v>
      </c>
      <c r="L370" t="s">
        <v>3988</v>
      </c>
      <c r="M370" t="s">
        <v>3989</v>
      </c>
      <c r="N370" t="s">
        <v>3990</v>
      </c>
      <c r="O370" t="s">
        <v>3761</v>
      </c>
      <c r="P370" t="s">
        <v>3991</v>
      </c>
      <c r="Q370" t="s">
        <v>3992</v>
      </c>
      <c r="R370" t="s">
        <v>3993</v>
      </c>
      <c r="S370" s="2">
        <v>43000</v>
      </c>
      <c r="T370">
        <v>0</v>
      </c>
      <c r="U370" t="s">
        <v>3994</v>
      </c>
      <c r="V370">
        <v>0</v>
      </c>
      <c r="W370">
        <v>6</v>
      </c>
      <c r="X370">
        <v>276960</v>
      </c>
      <c r="Y370" t="s">
        <v>2854</v>
      </c>
      <c r="Z370" t="s">
        <v>3992</v>
      </c>
      <c r="AA370" t="s">
        <v>1853</v>
      </c>
      <c r="AB370" t="s">
        <v>45</v>
      </c>
      <c r="AC370" t="s">
        <v>3766</v>
      </c>
    </row>
    <row r="371" spans="1:29">
      <c r="A371" t="s">
        <v>407</v>
      </c>
      <c r="B371" s="1">
        <v>96644</v>
      </c>
      <c r="C371" t="s">
        <v>335</v>
      </c>
      <c r="D371" t="s">
        <v>3756</v>
      </c>
      <c r="E371" s="1">
        <v>-6131</v>
      </c>
      <c r="F371" t="s">
        <v>301</v>
      </c>
      <c r="G371" t="s">
        <v>3995</v>
      </c>
      <c r="H371" t="s">
        <v>3996</v>
      </c>
      <c r="I371">
        <v>4</v>
      </c>
      <c r="J371" t="s">
        <v>2283</v>
      </c>
      <c r="K371">
        <v>72</v>
      </c>
      <c r="L371" t="s">
        <v>3997</v>
      </c>
      <c r="M371" t="s">
        <v>3998</v>
      </c>
      <c r="N371" t="s">
        <v>3999</v>
      </c>
      <c r="O371" t="s">
        <v>3761</v>
      </c>
      <c r="P371" t="s">
        <v>4000</v>
      </c>
      <c r="Q371" t="s">
        <v>4001</v>
      </c>
      <c r="R371" t="s">
        <v>4002</v>
      </c>
      <c r="S371" s="2">
        <v>37166</v>
      </c>
      <c r="T371">
        <v>0</v>
      </c>
      <c r="U371" t="s">
        <v>4003</v>
      </c>
      <c r="V371">
        <v>0</v>
      </c>
      <c r="W371">
        <v>5</v>
      </c>
      <c r="X371">
        <v>245093</v>
      </c>
      <c r="Y371" t="s">
        <v>1864</v>
      </c>
      <c r="Z371" t="s">
        <v>4001</v>
      </c>
      <c r="AA371" t="s">
        <v>1853</v>
      </c>
      <c r="AB371" t="s">
        <v>45</v>
      </c>
      <c r="AC371" t="s">
        <v>3766</v>
      </c>
    </row>
    <row r="372" spans="1:29">
      <c r="A372" t="s">
        <v>4004</v>
      </c>
      <c r="B372" s="1">
        <v>141967</v>
      </c>
      <c r="C372" t="s">
        <v>4005</v>
      </c>
      <c r="D372" t="s">
        <v>3756</v>
      </c>
      <c r="E372" t="s">
        <v>4006</v>
      </c>
      <c r="F372" t="s">
        <v>437</v>
      </c>
      <c r="G372" t="s">
        <v>4007</v>
      </c>
      <c r="H372" t="s">
        <v>3825</v>
      </c>
      <c r="I372">
        <v>4</v>
      </c>
      <c r="J372" t="s">
        <v>4008</v>
      </c>
      <c r="K372">
        <v>76</v>
      </c>
      <c r="L372" t="s">
        <v>4009</v>
      </c>
      <c r="M372" t="s">
        <v>4010</v>
      </c>
      <c r="N372" t="s">
        <v>4011</v>
      </c>
      <c r="O372" t="s">
        <v>3761</v>
      </c>
      <c r="P372" t="s">
        <v>4012</v>
      </c>
      <c r="Q372" t="s">
        <v>4013</v>
      </c>
      <c r="R372" t="s">
        <v>4014</v>
      </c>
      <c r="S372" s="2">
        <v>44750</v>
      </c>
      <c r="T372" t="s">
        <v>4015</v>
      </c>
      <c r="U372" t="s">
        <v>4016</v>
      </c>
      <c r="V372">
        <v>1</v>
      </c>
      <c r="W372">
        <v>9</v>
      </c>
      <c r="X372">
        <v>216063</v>
      </c>
      <c r="Y372" t="s">
        <v>4017</v>
      </c>
      <c r="Z372" t="s">
        <v>4013</v>
      </c>
      <c r="AA372" t="s">
        <v>1853</v>
      </c>
      <c r="AB372" t="s">
        <v>45</v>
      </c>
      <c r="AC372" t="s">
        <v>3766</v>
      </c>
    </row>
    <row r="373" spans="1:29">
      <c r="A373" t="s">
        <v>713</v>
      </c>
      <c r="B373" t="s">
        <v>4018</v>
      </c>
      <c r="C373" t="s">
        <v>813</v>
      </c>
      <c r="D373" t="s">
        <v>3756</v>
      </c>
      <c r="E373" t="s">
        <v>4019</v>
      </c>
      <c r="F373" t="s">
        <v>2795</v>
      </c>
      <c r="G373" t="s">
        <v>475</v>
      </c>
      <c r="H373" t="s">
        <v>4020</v>
      </c>
      <c r="I373">
        <v>4</v>
      </c>
      <c r="J373" t="s">
        <v>757</v>
      </c>
      <c r="K373">
        <v>74</v>
      </c>
      <c r="L373" t="s">
        <v>4021</v>
      </c>
      <c r="M373" t="s">
        <v>4022</v>
      </c>
      <c r="N373" t="s">
        <v>4023</v>
      </c>
      <c r="O373" t="s">
        <v>3761</v>
      </c>
      <c r="P373" t="s">
        <v>4024</v>
      </c>
      <c r="Q373" t="s">
        <v>4025</v>
      </c>
      <c r="R373" t="s">
        <v>4023</v>
      </c>
      <c r="S373" s="2">
        <v>45590</v>
      </c>
      <c r="T373">
        <v>0</v>
      </c>
      <c r="U373" t="s">
        <v>4026</v>
      </c>
      <c r="V373">
        <v>0</v>
      </c>
      <c r="W373">
        <v>9</v>
      </c>
      <c r="X373">
        <v>171000</v>
      </c>
      <c r="Y373" t="s">
        <v>1152</v>
      </c>
      <c r="Z373" t="s">
        <v>4025</v>
      </c>
      <c r="AA373" t="s">
        <v>1853</v>
      </c>
      <c r="AB373" t="s">
        <v>45</v>
      </c>
      <c r="AC373" t="s">
        <v>3766</v>
      </c>
    </row>
    <row r="374" spans="1:29">
      <c r="A374" t="s">
        <v>2831</v>
      </c>
      <c r="B374" s="1">
        <v>93985</v>
      </c>
      <c r="C374" t="s">
        <v>2786</v>
      </c>
      <c r="D374" t="s">
        <v>3756</v>
      </c>
      <c r="E374" s="1">
        <v>-4938</v>
      </c>
      <c r="F374" t="s">
        <v>1012</v>
      </c>
      <c r="G374" t="s">
        <v>2151</v>
      </c>
      <c r="H374" t="s">
        <v>3975</v>
      </c>
      <c r="I374">
        <v>4</v>
      </c>
      <c r="J374" t="s">
        <v>850</v>
      </c>
      <c r="K374">
        <v>69</v>
      </c>
      <c r="L374" t="s">
        <v>4027</v>
      </c>
      <c r="M374" t="s">
        <v>4028</v>
      </c>
      <c r="N374">
        <v>8701</v>
      </c>
      <c r="O374" t="s">
        <v>3761</v>
      </c>
      <c r="P374" t="s">
        <v>4029</v>
      </c>
      <c r="Q374" t="s">
        <v>4030</v>
      </c>
      <c r="R374" t="s">
        <v>4031</v>
      </c>
      <c r="S374" s="2">
        <v>37110</v>
      </c>
      <c r="T374">
        <v>0</v>
      </c>
      <c r="U374" t="s">
        <v>4032</v>
      </c>
      <c r="V374">
        <v>1</v>
      </c>
      <c r="W374">
        <v>6</v>
      </c>
      <c r="X374">
        <v>266893</v>
      </c>
      <c r="Y374" t="s">
        <v>2164</v>
      </c>
      <c r="Z374" t="s">
        <v>4030</v>
      </c>
      <c r="AA374" t="s">
        <v>1853</v>
      </c>
      <c r="AB374" t="s">
        <v>45</v>
      </c>
      <c r="AC374" t="s">
        <v>3766</v>
      </c>
    </row>
    <row r="375" spans="1:29">
      <c r="A375" t="s">
        <v>4033</v>
      </c>
      <c r="B375" s="1">
        <v>82887</v>
      </c>
      <c r="C375" t="s">
        <v>3284</v>
      </c>
      <c r="D375" t="s">
        <v>3756</v>
      </c>
      <c r="E375" s="1">
        <v>-11548</v>
      </c>
      <c r="F375" t="s">
        <v>743</v>
      </c>
      <c r="G375" t="s">
        <v>43</v>
      </c>
      <c r="H375" t="s">
        <v>4034</v>
      </c>
      <c r="I375">
        <v>4</v>
      </c>
      <c r="J375" t="s">
        <v>2283</v>
      </c>
      <c r="K375">
        <v>75</v>
      </c>
      <c r="L375" t="s">
        <v>4035</v>
      </c>
      <c r="M375" t="s">
        <v>4036</v>
      </c>
      <c r="N375" t="s">
        <v>4037</v>
      </c>
      <c r="O375" t="s">
        <v>3761</v>
      </c>
      <c r="P375" t="s">
        <v>4038</v>
      </c>
      <c r="Q375" t="s">
        <v>4039</v>
      </c>
      <c r="R375" t="s">
        <v>4040</v>
      </c>
      <c r="S375" s="2">
        <v>41275</v>
      </c>
      <c r="T375" t="s">
        <v>4041</v>
      </c>
      <c r="U375" t="s">
        <v>4042</v>
      </c>
      <c r="V375">
        <v>0</v>
      </c>
      <c r="W375">
        <v>8</v>
      </c>
      <c r="X375">
        <v>382760</v>
      </c>
      <c r="Y375" t="s">
        <v>1010</v>
      </c>
      <c r="Z375" t="s">
        <v>4039</v>
      </c>
      <c r="AA375" t="s">
        <v>1853</v>
      </c>
      <c r="AB375" t="s">
        <v>45</v>
      </c>
      <c r="AC375" t="s">
        <v>3766</v>
      </c>
    </row>
    <row r="376" spans="1:29">
      <c r="A376" t="s">
        <v>2343</v>
      </c>
      <c r="B376" s="1">
        <v>135002</v>
      </c>
      <c r="C376" t="s">
        <v>770</v>
      </c>
      <c r="D376" t="s">
        <v>3756</v>
      </c>
      <c r="E376" t="s">
        <v>4043</v>
      </c>
      <c r="F376" t="s">
        <v>3291</v>
      </c>
      <c r="G376" t="s">
        <v>4044</v>
      </c>
      <c r="H376" t="s">
        <v>3757</v>
      </c>
      <c r="I376">
        <v>4</v>
      </c>
      <c r="J376" t="s">
        <v>4045</v>
      </c>
      <c r="K376">
        <v>77</v>
      </c>
      <c r="L376" t="s">
        <v>4046</v>
      </c>
      <c r="M376" t="s">
        <v>4047</v>
      </c>
      <c r="N376" t="s">
        <v>3857</v>
      </c>
      <c r="O376" t="s">
        <v>3761</v>
      </c>
      <c r="P376" t="s">
        <v>4048</v>
      </c>
      <c r="Q376" t="s">
        <v>4049</v>
      </c>
      <c r="R376" t="s">
        <v>4050</v>
      </c>
      <c r="S376" s="2">
        <v>42895</v>
      </c>
      <c r="T376">
        <v>0</v>
      </c>
      <c r="U376" t="s">
        <v>3861</v>
      </c>
      <c r="V376">
        <v>1</v>
      </c>
      <c r="W376">
        <v>0</v>
      </c>
      <c r="X376">
        <v>275080</v>
      </c>
      <c r="Y376" t="s">
        <v>757</v>
      </c>
      <c r="Z376" t="s">
        <v>4049</v>
      </c>
      <c r="AA376" t="s">
        <v>1853</v>
      </c>
      <c r="AB376" t="s">
        <v>45</v>
      </c>
      <c r="AC376" t="s">
        <v>3766</v>
      </c>
    </row>
    <row r="377" spans="1:29">
      <c r="A377" t="s">
        <v>728</v>
      </c>
      <c r="B377" s="1">
        <v>132798</v>
      </c>
      <c r="C377" t="s">
        <v>1213</v>
      </c>
      <c r="D377" t="s">
        <v>3756</v>
      </c>
      <c r="E377" s="1">
        <v>-9377</v>
      </c>
      <c r="F377" t="s">
        <v>463</v>
      </c>
      <c r="G377" t="s">
        <v>2426</v>
      </c>
      <c r="H377" t="s">
        <v>3825</v>
      </c>
      <c r="I377">
        <v>4</v>
      </c>
      <c r="J377" t="s">
        <v>971</v>
      </c>
      <c r="K377">
        <v>75</v>
      </c>
      <c r="L377" t="s">
        <v>4051</v>
      </c>
      <c r="M377" t="s">
        <v>4052</v>
      </c>
      <c r="N377" t="s">
        <v>3916</v>
      </c>
      <c r="O377" t="s">
        <v>3761</v>
      </c>
      <c r="P377" t="s">
        <v>4053</v>
      </c>
      <c r="Q377" t="s">
        <v>4054</v>
      </c>
      <c r="R377" t="s">
        <v>4055</v>
      </c>
      <c r="S377" s="2">
        <v>43868</v>
      </c>
      <c r="T377" t="s">
        <v>1034</v>
      </c>
      <c r="U377" t="s">
        <v>3920</v>
      </c>
      <c r="V377">
        <v>1</v>
      </c>
      <c r="W377">
        <v>8</v>
      </c>
      <c r="X377">
        <v>223630</v>
      </c>
      <c r="Y377" t="s">
        <v>2538</v>
      </c>
      <c r="Z377" t="s">
        <v>4054</v>
      </c>
      <c r="AA377" t="s">
        <v>1853</v>
      </c>
      <c r="AB377" t="s">
        <v>45</v>
      </c>
      <c r="AC377" t="s">
        <v>3766</v>
      </c>
    </row>
    <row r="378" spans="1:29">
      <c r="A378" t="s">
        <v>176</v>
      </c>
      <c r="B378" s="1">
        <v>133876</v>
      </c>
      <c r="C378" t="s">
        <v>3143</v>
      </c>
      <c r="D378" t="s">
        <v>3756</v>
      </c>
      <c r="E378" s="1">
        <v>-5825</v>
      </c>
      <c r="F378" t="s">
        <v>2725</v>
      </c>
      <c r="G378" t="s">
        <v>4056</v>
      </c>
      <c r="H378" t="s">
        <v>4057</v>
      </c>
      <c r="I378">
        <v>4</v>
      </c>
      <c r="J378" t="s">
        <v>2488</v>
      </c>
      <c r="K378">
        <v>72</v>
      </c>
      <c r="L378" t="s">
        <v>4058</v>
      </c>
      <c r="M378" t="s">
        <v>4059</v>
      </c>
      <c r="N378" t="s">
        <v>4060</v>
      </c>
      <c r="O378" t="s">
        <v>3761</v>
      </c>
      <c r="P378" t="s">
        <v>4061</v>
      </c>
      <c r="Q378" t="s">
        <v>4062</v>
      </c>
      <c r="R378" t="s">
        <v>4063</v>
      </c>
      <c r="S378" s="2">
        <v>44505</v>
      </c>
      <c r="T378">
        <v>0</v>
      </c>
      <c r="U378" t="s">
        <v>4064</v>
      </c>
      <c r="V378">
        <v>0</v>
      </c>
      <c r="W378">
        <v>1</v>
      </c>
      <c r="X378">
        <v>231498</v>
      </c>
      <c r="Y378" t="s">
        <v>134</v>
      </c>
      <c r="Z378" t="s">
        <v>4062</v>
      </c>
      <c r="AA378" t="s">
        <v>1853</v>
      </c>
      <c r="AB378" t="s">
        <v>45</v>
      </c>
      <c r="AC378" t="s">
        <v>3766</v>
      </c>
    </row>
    <row r="379" spans="1:29">
      <c r="A379" t="s">
        <v>2538</v>
      </c>
      <c r="B379" s="1">
        <v>119928</v>
      </c>
      <c r="C379" t="s">
        <v>4065</v>
      </c>
      <c r="D379" t="s">
        <v>3756</v>
      </c>
      <c r="E379" s="1">
        <v>-7161</v>
      </c>
      <c r="F379" t="s">
        <v>408</v>
      </c>
      <c r="G379" t="s">
        <v>1457</v>
      </c>
      <c r="H379" t="s">
        <v>3975</v>
      </c>
      <c r="I379">
        <v>4</v>
      </c>
      <c r="J379" t="s">
        <v>1596</v>
      </c>
      <c r="K379">
        <v>70</v>
      </c>
      <c r="L379" t="s">
        <v>4066</v>
      </c>
      <c r="M379" t="s">
        <v>4067</v>
      </c>
      <c r="N379" t="s">
        <v>3793</v>
      </c>
      <c r="O379" t="s">
        <v>3761</v>
      </c>
      <c r="P379" t="s">
        <v>4068</v>
      </c>
      <c r="Q379" t="s">
        <v>4069</v>
      </c>
      <c r="R379" t="s">
        <v>4070</v>
      </c>
      <c r="S379" s="2">
        <v>38069</v>
      </c>
      <c r="T379">
        <v>0</v>
      </c>
      <c r="U379" t="s">
        <v>3797</v>
      </c>
      <c r="V379">
        <v>1</v>
      </c>
      <c r="W379">
        <v>1</v>
      </c>
      <c r="X379">
        <v>231933</v>
      </c>
      <c r="Y379" t="s">
        <v>2620</v>
      </c>
      <c r="Z379" t="s">
        <v>4069</v>
      </c>
      <c r="AA379" t="s">
        <v>1853</v>
      </c>
      <c r="AB379" t="s">
        <v>45</v>
      </c>
      <c r="AC379" t="s">
        <v>3766</v>
      </c>
    </row>
    <row r="380" spans="1:29">
      <c r="A380" t="s">
        <v>580</v>
      </c>
      <c r="B380" s="1">
        <v>171864</v>
      </c>
      <c r="C380" t="s">
        <v>892</v>
      </c>
      <c r="D380" t="s">
        <v>3756</v>
      </c>
      <c r="E380" s="1">
        <v>-5693</v>
      </c>
      <c r="F380" t="s">
        <v>2949</v>
      </c>
      <c r="G380" t="s">
        <v>3143</v>
      </c>
      <c r="H380" t="s">
        <v>3921</v>
      </c>
      <c r="I380">
        <v>4</v>
      </c>
      <c r="J380" t="s">
        <v>710</v>
      </c>
      <c r="K380">
        <v>77</v>
      </c>
      <c r="L380" t="s">
        <v>4071</v>
      </c>
      <c r="M380" t="s">
        <v>4072</v>
      </c>
      <c r="N380" t="s">
        <v>4073</v>
      </c>
      <c r="O380" t="s">
        <v>3761</v>
      </c>
      <c r="P380" t="s">
        <v>4074</v>
      </c>
      <c r="Q380" t="s">
        <v>4075</v>
      </c>
      <c r="R380" t="s">
        <v>4076</v>
      </c>
      <c r="S380" s="2">
        <v>39448</v>
      </c>
      <c r="T380">
        <v>0</v>
      </c>
      <c r="U380" t="s">
        <v>4077</v>
      </c>
      <c r="V380">
        <v>1</v>
      </c>
      <c r="W380">
        <v>1</v>
      </c>
      <c r="X380">
        <v>232000</v>
      </c>
      <c r="Y380" t="s">
        <v>4078</v>
      </c>
      <c r="Z380" t="s">
        <v>4075</v>
      </c>
      <c r="AA380" t="s">
        <v>1853</v>
      </c>
      <c r="AB380" t="s">
        <v>45</v>
      </c>
      <c r="AC380" t="s">
        <v>3766</v>
      </c>
    </row>
    <row r="381" spans="1:29">
      <c r="A381" t="s">
        <v>4079</v>
      </c>
      <c r="B381" s="1">
        <v>94519</v>
      </c>
      <c r="C381" t="s">
        <v>157</v>
      </c>
      <c r="D381" t="s">
        <v>3756</v>
      </c>
      <c r="E381" s="1">
        <v>-8343</v>
      </c>
      <c r="F381" t="s">
        <v>120</v>
      </c>
      <c r="G381" t="s">
        <v>4005</v>
      </c>
      <c r="H381" t="s">
        <v>4080</v>
      </c>
      <c r="I381">
        <v>4</v>
      </c>
      <c r="J381" t="s">
        <v>1313</v>
      </c>
      <c r="K381">
        <v>75</v>
      </c>
      <c r="L381" t="s">
        <v>4081</v>
      </c>
      <c r="M381" t="s">
        <v>4082</v>
      </c>
      <c r="N381" t="s">
        <v>4083</v>
      </c>
      <c r="O381" t="s">
        <v>3761</v>
      </c>
      <c r="P381" t="s">
        <v>4084</v>
      </c>
      <c r="Q381" t="s">
        <v>4085</v>
      </c>
      <c r="R381" t="s">
        <v>4086</v>
      </c>
      <c r="S381" s="2">
        <v>38061</v>
      </c>
      <c r="T381">
        <v>0</v>
      </c>
      <c r="U381" t="s">
        <v>4087</v>
      </c>
      <c r="V381">
        <v>0</v>
      </c>
      <c r="W381">
        <v>7</v>
      </c>
      <c r="X381">
        <v>249120</v>
      </c>
      <c r="Y381" t="s">
        <v>1800</v>
      </c>
      <c r="Z381" t="s">
        <v>4085</v>
      </c>
      <c r="AA381" t="s">
        <v>1853</v>
      </c>
      <c r="AB381" t="s">
        <v>45</v>
      </c>
      <c r="AC381" t="s">
        <v>3766</v>
      </c>
    </row>
    <row r="382" spans="1:29">
      <c r="A382" t="s">
        <v>728</v>
      </c>
      <c r="B382" t="s">
        <v>4088</v>
      </c>
      <c r="C382" t="s">
        <v>2569</v>
      </c>
      <c r="D382" t="s">
        <v>3756</v>
      </c>
      <c r="E382" s="1">
        <v>-9393</v>
      </c>
      <c r="F382" t="s">
        <v>189</v>
      </c>
      <c r="G382" t="s">
        <v>2211</v>
      </c>
      <c r="H382" t="s">
        <v>4089</v>
      </c>
      <c r="I382">
        <v>4</v>
      </c>
      <c r="J382" t="s">
        <v>2613</v>
      </c>
      <c r="K382">
        <v>75</v>
      </c>
      <c r="L382" t="s">
        <v>4090</v>
      </c>
      <c r="M382" t="s">
        <v>4091</v>
      </c>
      <c r="N382" t="s">
        <v>3871</v>
      </c>
      <c r="O382" t="s">
        <v>3761</v>
      </c>
      <c r="P382" t="s">
        <v>4092</v>
      </c>
      <c r="Q382" t="s">
        <v>4093</v>
      </c>
      <c r="R382" t="s">
        <v>4094</v>
      </c>
      <c r="S382" s="2">
        <v>45226</v>
      </c>
      <c r="T382">
        <v>0</v>
      </c>
      <c r="U382" t="s">
        <v>3876</v>
      </c>
      <c r="V382">
        <v>1</v>
      </c>
      <c r="W382">
        <v>11</v>
      </c>
      <c r="X382">
        <v>177900</v>
      </c>
      <c r="Y382" t="s">
        <v>606</v>
      </c>
      <c r="Z382" t="s">
        <v>4093</v>
      </c>
      <c r="AA382" t="s">
        <v>1853</v>
      </c>
      <c r="AB382" t="s">
        <v>45</v>
      </c>
      <c r="AC382" t="s">
        <v>3766</v>
      </c>
    </row>
    <row r="383" spans="1:29">
      <c r="A383" t="s">
        <v>332</v>
      </c>
      <c r="B383" s="1">
        <v>146163</v>
      </c>
      <c r="C383" t="s">
        <v>3984</v>
      </c>
      <c r="D383" t="s">
        <v>3756</v>
      </c>
      <c r="E383" s="1">
        <v>-5131</v>
      </c>
      <c r="F383" t="s">
        <v>1073</v>
      </c>
      <c r="G383" t="s">
        <v>4095</v>
      </c>
      <c r="H383" t="s">
        <v>4096</v>
      </c>
      <c r="I383">
        <v>4</v>
      </c>
      <c r="J383" t="s">
        <v>1442</v>
      </c>
      <c r="K383">
        <v>73</v>
      </c>
      <c r="L383" t="s">
        <v>4097</v>
      </c>
      <c r="M383" t="s">
        <v>4098</v>
      </c>
      <c r="N383" t="s">
        <v>4099</v>
      </c>
      <c r="O383" t="s">
        <v>3761</v>
      </c>
      <c r="P383" t="s">
        <v>4100</v>
      </c>
      <c r="Q383" t="s">
        <v>4101</v>
      </c>
      <c r="R383" t="s">
        <v>4102</v>
      </c>
      <c r="S383" s="2">
        <v>43518</v>
      </c>
      <c r="T383">
        <v>0</v>
      </c>
      <c r="U383" t="s">
        <v>4103</v>
      </c>
      <c r="V383">
        <v>1</v>
      </c>
      <c r="W383">
        <v>8</v>
      </c>
      <c r="X383">
        <v>201788</v>
      </c>
      <c r="Y383" t="s">
        <v>836</v>
      </c>
      <c r="Z383" t="s">
        <v>4101</v>
      </c>
      <c r="AA383" t="s">
        <v>1853</v>
      </c>
      <c r="AB383" t="s">
        <v>45</v>
      </c>
      <c r="AC383" t="s">
        <v>3766</v>
      </c>
    </row>
    <row r="384" spans="1:29">
      <c r="A384" t="s">
        <v>728</v>
      </c>
      <c r="B384" s="1">
        <v>124037</v>
      </c>
      <c r="C384" t="s">
        <v>3074</v>
      </c>
      <c r="D384" t="s">
        <v>3756</v>
      </c>
      <c r="E384" s="1">
        <v>-4551</v>
      </c>
      <c r="F384" t="s">
        <v>1412</v>
      </c>
      <c r="G384" t="s">
        <v>1990</v>
      </c>
      <c r="H384" t="s">
        <v>3975</v>
      </c>
      <c r="I384">
        <v>4</v>
      </c>
      <c r="J384" t="s">
        <v>4104</v>
      </c>
      <c r="K384">
        <v>69</v>
      </c>
      <c r="L384" t="s">
        <v>4105</v>
      </c>
      <c r="M384" t="s">
        <v>4106</v>
      </c>
      <c r="N384">
        <v>8701</v>
      </c>
      <c r="O384" t="s">
        <v>3761</v>
      </c>
      <c r="P384" t="s">
        <v>4107</v>
      </c>
      <c r="Q384" t="s">
        <v>4108</v>
      </c>
      <c r="R384" t="s">
        <v>4109</v>
      </c>
      <c r="S384" s="2">
        <v>37110</v>
      </c>
      <c r="T384" t="s">
        <v>4110</v>
      </c>
      <c r="U384" t="s">
        <v>4032</v>
      </c>
      <c r="V384">
        <v>1</v>
      </c>
      <c r="W384">
        <v>1</v>
      </c>
      <c r="X384">
        <v>247840</v>
      </c>
      <c r="Y384" t="s">
        <v>4111</v>
      </c>
      <c r="Z384" t="s">
        <v>4108</v>
      </c>
      <c r="AA384" t="s">
        <v>1853</v>
      </c>
      <c r="AB384" t="s">
        <v>45</v>
      </c>
      <c r="AC384" t="s">
        <v>3766</v>
      </c>
    </row>
    <row r="385" spans="1:29">
      <c r="A385" t="s">
        <v>4112</v>
      </c>
      <c r="B385" t="s">
        <v>4113</v>
      </c>
      <c r="C385" t="s">
        <v>945</v>
      </c>
      <c r="D385" t="s">
        <v>3756</v>
      </c>
      <c r="E385" s="1">
        <v>-6008</v>
      </c>
      <c r="F385" t="s">
        <v>147</v>
      </c>
      <c r="G385" t="s">
        <v>1537</v>
      </c>
      <c r="H385" t="s">
        <v>4114</v>
      </c>
      <c r="I385">
        <v>5</v>
      </c>
      <c r="J385" t="s">
        <v>475</v>
      </c>
      <c r="K385">
        <v>73</v>
      </c>
      <c r="L385" t="s">
        <v>4115</v>
      </c>
      <c r="M385" t="s">
        <v>4116</v>
      </c>
      <c r="N385" t="s">
        <v>4117</v>
      </c>
      <c r="O385" t="s">
        <v>3761</v>
      </c>
      <c r="P385" t="s">
        <v>4118</v>
      </c>
      <c r="Q385" t="s">
        <v>4119</v>
      </c>
      <c r="R385" t="s">
        <v>4120</v>
      </c>
      <c r="S385" s="2">
        <v>39083</v>
      </c>
      <c r="T385">
        <v>0</v>
      </c>
      <c r="U385" t="s">
        <v>4121</v>
      </c>
      <c r="V385">
        <v>0</v>
      </c>
      <c r="W385">
        <v>5</v>
      </c>
      <c r="X385">
        <v>273133</v>
      </c>
      <c r="Y385" t="s">
        <v>1643</v>
      </c>
      <c r="Z385" t="s">
        <v>4119</v>
      </c>
      <c r="AA385" t="s">
        <v>1853</v>
      </c>
      <c r="AB385" t="s">
        <v>45</v>
      </c>
      <c r="AC385" t="s">
        <v>3766</v>
      </c>
    </row>
    <row r="386" spans="1:29">
      <c r="A386" t="s">
        <v>4122</v>
      </c>
      <c r="B386" t="s">
        <v>4123</v>
      </c>
      <c r="C386" t="s">
        <v>3867</v>
      </c>
      <c r="D386" t="s">
        <v>3756</v>
      </c>
      <c r="E386" s="1">
        <v>-5783</v>
      </c>
      <c r="F386" t="s">
        <v>4124</v>
      </c>
      <c r="G386" t="s">
        <v>1726</v>
      </c>
      <c r="H386" t="s">
        <v>3921</v>
      </c>
      <c r="I386">
        <v>4</v>
      </c>
      <c r="J386" t="s">
        <v>4125</v>
      </c>
      <c r="K386">
        <v>74</v>
      </c>
      <c r="L386" t="s">
        <v>4126</v>
      </c>
      <c r="M386" t="s">
        <v>4127</v>
      </c>
      <c r="N386" t="s">
        <v>4128</v>
      </c>
      <c r="O386" t="s">
        <v>3761</v>
      </c>
      <c r="P386" t="s">
        <v>4129</v>
      </c>
      <c r="Q386" t="s">
        <v>4130</v>
      </c>
      <c r="R386" t="s">
        <v>4128</v>
      </c>
      <c r="S386" s="2">
        <v>39083</v>
      </c>
      <c r="T386">
        <v>0</v>
      </c>
      <c r="U386" t="s">
        <v>4131</v>
      </c>
      <c r="V386">
        <v>0</v>
      </c>
      <c r="W386">
        <v>0</v>
      </c>
      <c r="X386">
        <v>266840</v>
      </c>
      <c r="Y386" t="s">
        <v>278</v>
      </c>
      <c r="Z386" t="s">
        <v>4130</v>
      </c>
      <c r="AA386" t="s">
        <v>1853</v>
      </c>
      <c r="AB386" t="s">
        <v>45</v>
      </c>
      <c r="AC386" t="s">
        <v>3766</v>
      </c>
    </row>
    <row r="387" spans="1:29">
      <c r="A387" t="s">
        <v>837</v>
      </c>
      <c r="B387" s="1">
        <v>92009</v>
      </c>
      <c r="C387" t="s">
        <v>2210</v>
      </c>
      <c r="D387" t="s">
        <v>3756</v>
      </c>
      <c r="E387" s="1">
        <v>-8559</v>
      </c>
      <c r="F387" t="s">
        <v>49</v>
      </c>
      <c r="G387" t="s">
        <v>1666</v>
      </c>
      <c r="H387" t="s">
        <v>3825</v>
      </c>
      <c r="I387">
        <v>4</v>
      </c>
      <c r="J387" t="s">
        <v>608</v>
      </c>
      <c r="K387">
        <v>75</v>
      </c>
      <c r="L387" t="s">
        <v>4132</v>
      </c>
      <c r="M387" t="s">
        <v>4133</v>
      </c>
      <c r="N387" t="s">
        <v>4134</v>
      </c>
      <c r="O387" t="s">
        <v>3761</v>
      </c>
      <c r="P387" t="s">
        <v>4135</v>
      </c>
      <c r="Q387" t="s">
        <v>4136</v>
      </c>
      <c r="R387" t="s">
        <v>4137</v>
      </c>
      <c r="S387" s="2">
        <v>43392</v>
      </c>
      <c r="T387" t="s">
        <v>4138</v>
      </c>
      <c r="U387" t="s">
        <v>4139</v>
      </c>
      <c r="V387">
        <v>1</v>
      </c>
      <c r="W387">
        <v>8</v>
      </c>
      <c r="X387">
        <v>158421</v>
      </c>
      <c r="Y387" t="s">
        <v>2702</v>
      </c>
      <c r="Z387" t="s">
        <v>4136</v>
      </c>
      <c r="AA387" t="s">
        <v>1853</v>
      </c>
      <c r="AB387" t="s">
        <v>45</v>
      </c>
      <c r="AC387" t="s">
        <v>3766</v>
      </c>
    </row>
    <row r="388" spans="1:29">
      <c r="A388" t="s">
        <v>420</v>
      </c>
      <c r="B388" t="s">
        <v>4140</v>
      </c>
      <c r="C388" t="s">
        <v>291</v>
      </c>
      <c r="D388" t="s">
        <v>3756</v>
      </c>
      <c r="E388" s="1">
        <v>-8074</v>
      </c>
      <c r="F388" t="s">
        <v>4141</v>
      </c>
      <c r="G388" t="s">
        <v>2853</v>
      </c>
      <c r="H388" t="s">
        <v>4142</v>
      </c>
      <c r="I388">
        <v>4</v>
      </c>
      <c r="J388" t="s">
        <v>476</v>
      </c>
      <c r="K388">
        <v>77</v>
      </c>
      <c r="L388" t="s">
        <v>4143</v>
      </c>
      <c r="M388" t="s">
        <v>4144</v>
      </c>
      <c r="N388" t="s">
        <v>4145</v>
      </c>
      <c r="O388" t="s">
        <v>3761</v>
      </c>
      <c r="P388" t="s">
        <v>4146</v>
      </c>
      <c r="Q388" t="s">
        <v>4147</v>
      </c>
      <c r="R388" t="s">
        <v>4148</v>
      </c>
      <c r="S388" s="2">
        <v>37432</v>
      </c>
      <c r="T388" t="s">
        <v>741</v>
      </c>
      <c r="U388" t="s">
        <v>4149</v>
      </c>
      <c r="V388">
        <v>0</v>
      </c>
      <c r="W388">
        <v>2</v>
      </c>
      <c r="X388">
        <v>289160</v>
      </c>
      <c r="Y388" t="s">
        <v>2947</v>
      </c>
      <c r="Z388" t="s">
        <v>4147</v>
      </c>
      <c r="AA388" t="s">
        <v>1853</v>
      </c>
      <c r="AB388" t="s">
        <v>45</v>
      </c>
      <c r="AC388" t="s">
        <v>3766</v>
      </c>
    </row>
    <row r="389" spans="1:29">
      <c r="A389" t="s">
        <v>489</v>
      </c>
      <c r="B389" s="1">
        <v>140012</v>
      </c>
      <c r="C389" t="s">
        <v>1737</v>
      </c>
      <c r="D389" t="s">
        <v>3756</v>
      </c>
      <c r="E389" s="1">
        <v>-5976</v>
      </c>
      <c r="F389" t="s">
        <v>2389</v>
      </c>
      <c r="G389" t="s">
        <v>2365</v>
      </c>
      <c r="H389" t="s">
        <v>4150</v>
      </c>
      <c r="I389">
        <v>4</v>
      </c>
      <c r="J389" t="s">
        <v>4151</v>
      </c>
      <c r="K389">
        <v>74</v>
      </c>
      <c r="L389" t="s">
        <v>4152</v>
      </c>
      <c r="M389" t="s">
        <v>4153</v>
      </c>
      <c r="N389" t="s">
        <v>4154</v>
      </c>
      <c r="O389" t="s">
        <v>3761</v>
      </c>
      <c r="P389" t="s">
        <v>4155</v>
      </c>
      <c r="Q389" t="s">
        <v>4156</v>
      </c>
      <c r="R389" t="s">
        <v>4157</v>
      </c>
      <c r="S389" s="2">
        <v>39595</v>
      </c>
      <c r="T389">
        <v>0</v>
      </c>
      <c r="U389" t="s">
        <v>4158</v>
      </c>
      <c r="V389">
        <v>1</v>
      </c>
      <c r="W389">
        <v>0</v>
      </c>
      <c r="X389">
        <v>259720</v>
      </c>
      <c r="Y389" t="s">
        <v>4159</v>
      </c>
      <c r="Z389" t="s">
        <v>4156</v>
      </c>
      <c r="AA389" t="s">
        <v>1853</v>
      </c>
      <c r="AB389" t="s">
        <v>45</v>
      </c>
      <c r="AC389" t="s">
        <v>3766</v>
      </c>
    </row>
    <row r="390" spans="1:29">
      <c r="A390" t="s">
        <v>2487</v>
      </c>
      <c r="B390" s="1">
        <v>179063</v>
      </c>
      <c r="C390" t="s">
        <v>4160</v>
      </c>
      <c r="D390" t="s">
        <v>3756</v>
      </c>
      <c r="E390" s="1">
        <v>-5693</v>
      </c>
      <c r="F390" t="s">
        <v>4161</v>
      </c>
      <c r="G390" t="s">
        <v>2949</v>
      </c>
      <c r="H390" t="s">
        <v>3799</v>
      </c>
      <c r="I390">
        <v>4</v>
      </c>
      <c r="J390" t="s">
        <v>2457</v>
      </c>
      <c r="K390">
        <v>68</v>
      </c>
      <c r="L390" t="s">
        <v>4162</v>
      </c>
      <c r="M390" t="s">
        <v>4163</v>
      </c>
      <c r="N390" t="s">
        <v>4164</v>
      </c>
      <c r="O390" t="s">
        <v>3761</v>
      </c>
      <c r="P390" t="s">
        <v>4165</v>
      </c>
      <c r="Q390" t="s">
        <v>4166</v>
      </c>
      <c r="R390" t="s">
        <v>4167</v>
      </c>
      <c r="S390">
        <v>2012</v>
      </c>
      <c r="T390" t="s">
        <v>4168</v>
      </c>
      <c r="U390" t="s">
        <v>4169</v>
      </c>
      <c r="V390">
        <v>0</v>
      </c>
      <c r="W390">
        <v>11</v>
      </c>
      <c r="X390">
        <v>193147</v>
      </c>
      <c r="Y390" t="s">
        <v>4170</v>
      </c>
      <c r="Z390" t="s">
        <v>4166</v>
      </c>
      <c r="AA390" t="s">
        <v>1853</v>
      </c>
      <c r="AB390" t="s">
        <v>45</v>
      </c>
      <c r="AC390" t="s">
        <v>3766</v>
      </c>
    </row>
    <row r="391" spans="1:29">
      <c r="A391" t="s">
        <v>1434</v>
      </c>
      <c r="B391" s="1">
        <v>73313</v>
      </c>
      <c r="C391" t="s">
        <v>1958</v>
      </c>
      <c r="D391" t="s">
        <v>3756</v>
      </c>
      <c r="E391" s="1">
        <v>-9405</v>
      </c>
      <c r="F391" t="s">
        <v>135</v>
      </c>
      <c r="G391" t="s">
        <v>1202</v>
      </c>
      <c r="H391" t="s">
        <v>3807</v>
      </c>
      <c r="I391">
        <v>3</v>
      </c>
      <c r="J391" t="s">
        <v>4171</v>
      </c>
      <c r="K391">
        <v>73</v>
      </c>
      <c r="L391" t="s">
        <v>4172</v>
      </c>
      <c r="M391" t="s">
        <v>4173</v>
      </c>
      <c r="N391" t="s">
        <v>3857</v>
      </c>
      <c r="O391" t="s">
        <v>3761</v>
      </c>
      <c r="P391" t="s">
        <v>4174</v>
      </c>
      <c r="Q391" t="s">
        <v>4175</v>
      </c>
      <c r="R391" t="s">
        <v>4176</v>
      </c>
      <c r="S391" s="2">
        <v>42895</v>
      </c>
      <c r="T391">
        <v>0</v>
      </c>
      <c r="U391" t="s">
        <v>3861</v>
      </c>
      <c r="V391">
        <v>0</v>
      </c>
      <c r="W391">
        <v>8</v>
      </c>
      <c r="X391">
        <v>272187</v>
      </c>
      <c r="Y391" t="s">
        <v>515</v>
      </c>
      <c r="Z391" t="s">
        <v>4175</v>
      </c>
      <c r="AA391" t="s">
        <v>1853</v>
      </c>
      <c r="AB391" t="s">
        <v>45</v>
      </c>
      <c r="AC391" t="s">
        <v>3766</v>
      </c>
    </row>
    <row r="392" spans="1:29">
      <c r="A392" t="s">
        <v>515</v>
      </c>
      <c r="B392" s="1">
        <v>144211</v>
      </c>
      <c r="C392" t="s">
        <v>513</v>
      </c>
      <c r="D392" t="s">
        <v>3756</v>
      </c>
      <c r="E392" s="1">
        <v>-11692</v>
      </c>
      <c r="F392" t="s">
        <v>743</v>
      </c>
      <c r="G392" t="s">
        <v>2060</v>
      </c>
      <c r="H392" t="s">
        <v>3825</v>
      </c>
      <c r="I392">
        <v>4</v>
      </c>
      <c r="J392" t="s">
        <v>4177</v>
      </c>
      <c r="K392">
        <v>71</v>
      </c>
      <c r="L392" t="s">
        <v>4178</v>
      </c>
      <c r="M392" t="s">
        <v>4179</v>
      </c>
      <c r="N392" t="s">
        <v>3916</v>
      </c>
      <c r="O392" t="s">
        <v>3761</v>
      </c>
      <c r="P392" t="s">
        <v>4180</v>
      </c>
      <c r="Q392" t="s">
        <v>4181</v>
      </c>
      <c r="R392" t="s">
        <v>4182</v>
      </c>
      <c r="S392" s="2">
        <v>43868</v>
      </c>
      <c r="T392" t="s">
        <v>4183</v>
      </c>
      <c r="U392" t="s">
        <v>3920</v>
      </c>
      <c r="V392">
        <v>1</v>
      </c>
      <c r="W392">
        <v>5</v>
      </c>
      <c r="X392">
        <v>180304</v>
      </c>
      <c r="Y392" t="s">
        <v>3347</v>
      </c>
      <c r="Z392" t="s">
        <v>4181</v>
      </c>
      <c r="AA392" t="s">
        <v>1853</v>
      </c>
      <c r="AB392" t="s">
        <v>45</v>
      </c>
      <c r="AC392" t="s">
        <v>3766</v>
      </c>
    </row>
    <row r="393" spans="1:29">
      <c r="A393" t="s">
        <v>839</v>
      </c>
      <c r="B393" s="1">
        <v>169904</v>
      </c>
      <c r="C393" t="s">
        <v>391</v>
      </c>
      <c r="D393" t="s">
        <v>3756</v>
      </c>
      <c r="E393" s="1">
        <v>-5538</v>
      </c>
      <c r="F393" t="s">
        <v>346</v>
      </c>
      <c r="G393" t="s">
        <v>2081</v>
      </c>
      <c r="H393" t="s">
        <v>4184</v>
      </c>
      <c r="I393">
        <v>4</v>
      </c>
      <c r="J393" t="s">
        <v>4185</v>
      </c>
      <c r="K393">
        <v>77</v>
      </c>
      <c r="L393" t="s">
        <v>4186</v>
      </c>
      <c r="M393" t="s">
        <v>4187</v>
      </c>
      <c r="N393" t="s">
        <v>4188</v>
      </c>
      <c r="O393" t="s">
        <v>3761</v>
      </c>
      <c r="P393" t="s">
        <v>4189</v>
      </c>
      <c r="Q393" t="s">
        <v>4190</v>
      </c>
      <c r="R393" t="s">
        <v>4188</v>
      </c>
      <c r="S393" s="2">
        <v>42867</v>
      </c>
      <c r="T393" t="s">
        <v>4191</v>
      </c>
      <c r="U393" t="s">
        <v>4192</v>
      </c>
      <c r="V393">
        <v>0</v>
      </c>
      <c r="W393">
        <v>4</v>
      </c>
      <c r="X393">
        <v>150361</v>
      </c>
      <c r="Y393" t="s">
        <v>1575</v>
      </c>
      <c r="Z393" t="s">
        <v>4190</v>
      </c>
      <c r="AA393" t="s">
        <v>1853</v>
      </c>
      <c r="AB393" t="s">
        <v>45</v>
      </c>
      <c r="AC393" t="s">
        <v>3766</v>
      </c>
    </row>
    <row r="394" spans="1:29">
      <c r="A394" t="s">
        <v>133</v>
      </c>
      <c r="B394" s="1">
        <v>138007</v>
      </c>
      <c r="C394" t="s">
        <v>4193</v>
      </c>
      <c r="D394" t="s">
        <v>3756</v>
      </c>
      <c r="E394" s="1">
        <v>-7674</v>
      </c>
      <c r="F394" t="s">
        <v>4194</v>
      </c>
      <c r="G394" t="s">
        <v>2251</v>
      </c>
      <c r="H394" t="s">
        <v>3975</v>
      </c>
      <c r="I394">
        <v>4</v>
      </c>
      <c r="J394" t="s">
        <v>2280</v>
      </c>
      <c r="K394">
        <v>68</v>
      </c>
      <c r="L394" t="s">
        <v>4195</v>
      </c>
      <c r="M394" t="s">
        <v>4196</v>
      </c>
      <c r="N394" t="s">
        <v>3793</v>
      </c>
      <c r="O394" t="s">
        <v>3761</v>
      </c>
      <c r="P394" t="s">
        <v>4197</v>
      </c>
      <c r="Q394" t="s">
        <v>4198</v>
      </c>
      <c r="R394" t="s">
        <v>4199</v>
      </c>
      <c r="S394" s="2">
        <v>38069</v>
      </c>
      <c r="T394">
        <v>0</v>
      </c>
      <c r="U394" t="s">
        <v>3797</v>
      </c>
      <c r="V394">
        <v>1</v>
      </c>
      <c r="W394">
        <v>1</v>
      </c>
      <c r="X394">
        <v>211200</v>
      </c>
      <c r="Y394" t="s">
        <v>4200</v>
      </c>
      <c r="Z394" t="s">
        <v>4198</v>
      </c>
      <c r="AA394" t="s">
        <v>1853</v>
      </c>
      <c r="AB394" t="s">
        <v>45</v>
      </c>
      <c r="AC394" t="s">
        <v>3766</v>
      </c>
    </row>
    <row r="395" spans="1:29">
      <c r="A395" t="s">
        <v>436</v>
      </c>
      <c r="B395" s="1">
        <v>103019</v>
      </c>
      <c r="C395" t="s">
        <v>4005</v>
      </c>
      <c r="D395" t="s">
        <v>4201</v>
      </c>
      <c r="E395" s="1">
        <v>-6769</v>
      </c>
      <c r="F395" t="s">
        <v>264</v>
      </c>
      <c r="G395" t="s">
        <v>550</v>
      </c>
      <c r="H395" t="s">
        <v>4202</v>
      </c>
      <c r="I395">
        <v>4</v>
      </c>
      <c r="J395" t="s">
        <v>926</v>
      </c>
      <c r="K395">
        <v>86</v>
      </c>
      <c r="L395" t="s">
        <v>4203</v>
      </c>
      <c r="M395" t="s">
        <v>4204</v>
      </c>
      <c r="N395" t="s">
        <v>4205</v>
      </c>
      <c r="O395" t="s">
        <v>4206</v>
      </c>
      <c r="P395" t="s">
        <v>4207</v>
      </c>
      <c r="Q395" t="s">
        <v>4208</v>
      </c>
      <c r="R395" t="s">
        <v>4209</v>
      </c>
      <c r="S395" s="2">
        <v>42832</v>
      </c>
      <c r="T395" t="s">
        <v>4210</v>
      </c>
      <c r="U395" t="s">
        <v>4211</v>
      </c>
      <c r="V395">
        <v>0</v>
      </c>
      <c r="W395">
        <v>11</v>
      </c>
      <c r="X395">
        <v>247160</v>
      </c>
      <c r="Y395" t="s">
        <v>4212</v>
      </c>
      <c r="Z395" t="s">
        <v>4208</v>
      </c>
      <c r="AA395" t="s">
        <v>1853</v>
      </c>
      <c r="AB395" t="s">
        <v>45</v>
      </c>
      <c r="AC395" t="s">
        <v>4213</v>
      </c>
    </row>
    <row r="396" spans="1:29">
      <c r="A396" t="s">
        <v>94</v>
      </c>
      <c r="B396" s="1">
        <v>129024</v>
      </c>
      <c r="C396" t="s">
        <v>1394</v>
      </c>
      <c r="D396" t="s">
        <v>4201</v>
      </c>
      <c r="E396" s="1">
        <v>-3206</v>
      </c>
      <c r="F396" t="s">
        <v>971</v>
      </c>
      <c r="G396" t="s">
        <v>278</v>
      </c>
      <c r="H396" t="s">
        <v>4214</v>
      </c>
      <c r="I396">
        <v>4</v>
      </c>
      <c r="J396" t="s">
        <v>1202</v>
      </c>
      <c r="K396">
        <v>84</v>
      </c>
      <c r="L396" t="s">
        <v>4215</v>
      </c>
      <c r="M396" t="s">
        <v>4216</v>
      </c>
      <c r="N396" t="s">
        <v>4217</v>
      </c>
      <c r="O396" t="s">
        <v>4206</v>
      </c>
      <c r="P396" t="s">
        <v>4218</v>
      </c>
      <c r="Q396" t="s">
        <v>4219</v>
      </c>
      <c r="R396" t="s">
        <v>4220</v>
      </c>
      <c r="S396" s="2">
        <v>40711</v>
      </c>
      <c r="T396">
        <v>0</v>
      </c>
      <c r="U396" t="s">
        <v>4221</v>
      </c>
      <c r="V396">
        <v>1</v>
      </c>
      <c r="W396">
        <v>8</v>
      </c>
      <c r="X396">
        <v>252307</v>
      </c>
      <c r="Y396" t="s">
        <v>201</v>
      </c>
      <c r="Z396" t="s">
        <v>4219</v>
      </c>
      <c r="AA396" t="s">
        <v>1853</v>
      </c>
      <c r="AB396" t="s">
        <v>45</v>
      </c>
      <c r="AC396" t="s">
        <v>4213</v>
      </c>
    </row>
    <row r="397" spans="1:29">
      <c r="A397" t="s">
        <v>4222</v>
      </c>
      <c r="B397" s="1">
        <v>199892</v>
      </c>
      <c r="C397" t="s">
        <v>641</v>
      </c>
      <c r="D397" t="s">
        <v>4201</v>
      </c>
      <c r="E397" s="1">
        <v>-5371</v>
      </c>
      <c r="F397" t="s">
        <v>2022</v>
      </c>
      <c r="G397" t="s">
        <v>64</v>
      </c>
      <c r="H397" t="s">
        <v>4223</v>
      </c>
      <c r="I397">
        <v>4</v>
      </c>
      <c r="J397" t="s">
        <v>4224</v>
      </c>
      <c r="K397">
        <v>83</v>
      </c>
      <c r="L397" t="s">
        <v>4225</v>
      </c>
      <c r="M397" t="s">
        <v>4226</v>
      </c>
      <c r="N397" t="s">
        <v>4227</v>
      </c>
      <c r="O397" t="s">
        <v>4206</v>
      </c>
      <c r="P397" t="s">
        <v>4228</v>
      </c>
      <c r="Q397" t="s">
        <v>4229</v>
      </c>
      <c r="R397" t="s">
        <v>4086</v>
      </c>
      <c r="S397" s="2">
        <v>42587</v>
      </c>
      <c r="T397" t="s">
        <v>4230</v>
      </c>
      <c r="U397" t="s">
        <v>4231</v>
      </c>
      <c r="V397">
        <v>1</v>
      </c>
      <c r="W397">
        <v>8</v>
      </c>
      <c r="X397">
        <v>205947</v>
      </c>
      <c r="Y397" t="s">
        <v>2856</v>
      </c>
      <c r="Z397" t="s">
        <v>4229</v>
      </c>
      <c r="AA397" t="s">
        <v>1853</v>
      </c>
      <c r="AB397" t="s">
        <v>45</v>
      </c>
      <c r="AC397" t="s">
        <v>4213</v>
      </c>
    </row>
    <row r="398" spans="1:29">
      <c r="A398" t="s">
        <v>2984</v>
      </c>
      <c r="B398" s="1">
        <v>128035</v>
      </c>
      <c r="C398" t="s">
        <v>460</v>
      </c>
      <c r="D398" t="s">
        <v>4201</v>
      </c>
      <c r="E398" s="1">
        <v>-4123</v>
      </c>
      <c r="F398" t="s">
        <v>825</v>
      </c>
      <c r="G398" t="s">
        <v>3950</v>
      </c>
      <c r="H398" t="s">
        <v>4232</v>
      </c>
      <c r="I398">
        <v>4</v>
      </c>
      <c r="J398" t="s">
        <v>4233</v>
      </c>
      <c r="K398">
        <v>82</v>
      </c>
      <c r="L398" t="s">
        <v>4234</v>
      </c>
      <c r="M398" t="s">
        <v>4235</v>
      </c>
      <c r="N398" t="s">
        <v>4236</v>
      </c>
      <c r="O398" t="s">
        <v>4206</v>
      </c>
      <c r="P398" t="s">
        <v>4237</v>
      </c>
      <c r="Q398" t="s">
        <v>4238</v>
      </c>
      <c r="R398" t="s">
        <v>4239</v>
      </c>
      <c r="S398" s="2">
        <v>41943</v>
      </c>
      <c r="T398">
        <v>0</v>
      </c>
      <c r="U398" t="s">
        <v>4240</v>
      </c>
      <c r="V398">
        <v>0</v>
      </c>
      <c r="W398">
        <v>2</v>
      </c>
      <c r="X398">
        <v>227267</v>
      </c>
      <c r="Y398" t="s">
        <v>4241</v>
      </c>
      <c r="Z398" t="s">
        <v>4238</v>
      </c>
      <c r="AA398" t="s">
        <v>1853</v>
      </c>
      <c r="AB398" t="s">
        <v>45</v>
      </c>
      <c r="AC398" t="s">
        <v>4213</v>
      </c>
    </row>
    <row r="399" spans="1:29">
      <c r="A399" t="s">
        <v>1866</v>
      </c>
      <c r="B399" s="1">
        <v>125983</v>
      </c>
      <c r="C399" t="s">
        <v>2152</v>
      </c>
      <c r="D399" t="s">
        <v>4201</v>
      </c>
      <c r="E399" s="1">
        <v>-5298</v>
      </c>
      <c r="F399" t="s">
        <v>3878</v>
      </c>
      <c r="G399" t="s">
        <v>1480</v>
      </c>
      <c r="H399" t="s">
        <v>4242</v>
      </c>
      <c r="I399">
        <v>4</v>
      </c>
      <c r="J399" t="s">
        <v>4243</v>
      </c>
      <c r="K399">
        <v>82</v>
      </c>
      <c r="L399" t="s">
        <v>4244</v>
      </c>
      <c r="M399" t="s">
        <v>4245</v>
      </c>
      <c r="N399" t="s">
        <v>4246</v>
      </c>
      <c r="O399" t="s">
        <v>4206</v>
      </c>
      <c r="P399" t="s">
        <v>4247</v>
      </c>
      <c r="Q399" t="s">
        <v>4248</v>
      </c>
      <c r="R399" t="s">
        <v>4249</v>
      </c>
      <c r="S399" s="2">
        <v>41640</v>
      </c>
      <c r="T399">
        <v>0</v>
      </c>
      <c r="U399" t="s">
        <v>4250</v>
      </c>
      <c r="V399">
        <v>1</v>
      </c>
      <c r="W399">
        <v>6</v>
      </c>
      <c r="X399">
        <v>176658</v>
      </c>
      <c r="Y399" t="s">
        <v>4251</v>
      </c>
      <c r="Z399" t="s">
        <v>4248</v>
      </c>
      <c r="AA399" t="s">
        <v>1853</v>
      </c>
      <c r="AB399" t="s">
        <v>45</v>
      </c>
      <c r="AC399" t="s">
        <v>4213</v>
      </c>
    </row>
    <row r="400" spans="1:29">
      <c r="A400" t="s">
        <v>1631</v>
      </c>
      <c r="B400" s="1">
        <v>117948</v>
      </c>
      <c r="C400" t="s">
        <v>2529</v>
      </c>
      <c r="D400" t="s">
        <v>4201</v>
      </c>
      <c r="E400" s="1">
        <v>-4258</v>
      </c>
      <c r="F400" t="s">
        <v>582</v>
      </c>
      <c r="G400" t="s">
        <v>2011</v>
      </c>
      <c r="H400" t="s">
        <v>4252</v>
      </c>
      <c r="I400">
        <v>4</v>
      </c>
      <c r="J400" t="s">
        <v>4253</v>
      </c>
      <c r="K400">
        <v>80</v>
      </c>
      <c r="L400" t="s">
        <v>4254</v>
      </c>
      <c r="M400" t="s">
        <v>4255</v>
      </c>
      <c r="N400" t="s">
        <v>4256</v>
      </c>
      <c r="O400" t="s">
        <v>4206</v>
      </c>
      <c r="P400" t="s">
        <v>4257</v>
      </c>
      <c r="Q400" t="s">
        <v>4258</v>
      </c>
      <c r="R400" t="s">
        <v>4256</v>
      </c>
      <c r="S400" s="2">
        <v>43672</v>
      </c>
      <c r="T400" t="s">
        <v>4259</v>
      </c>
      <c r="U400" t="s">
        <v>4260</v>
      </c>
      <c r="V400">
        <v>0</v>
      </c>
      <c r="W400">
        <v>7</v>
      </c>
      <c r="X400">
        <v>157606</v>
      </c>
      <c r="Y400" t="s">
        <v>4261</v>
      </c>
      <c r="Z400" t="s">
        <v>4258</v>
      </c>
      <c r="AA400" t="s">
        <v>1853</v>
      </c>
      <c r="AB400" t="s">
        <v>45</v>
      </c>
      <c r="AC400" t="s">
        <v>4213</v>
      </c>
    </row>
    <row r="401" spans="1:29">
      <c r="A401" t="s">
        <v>1457</v>
      </c>
      <c r="B401" t="s">
        <v>4262</v>
      </c>
      <c r="C401" t="s">
        <v>290</v>
      </c>
      <c r="D401" t="s">
        <v>4201</v>
      </c>
      <c r="E401" s="1">
        <v>-6237</v>
      </c>
      <c r="F401" t="s">
        <v>2510</v>
      </c>
      <c r="G401" t="s">
        <v>852</v>
      </c>
      <c r="H401" t="s">
        <v>4263</v>
      </c>
      <c r="I401">
        <v>4</v>
      </c>
      <c r="J401" t="s">
        <v>4264</v>
      </c>
      <c r="K401">
        <v>80</v>
      </c>
      <c r="L401" t="s">
        <v>4265</v>
      </c>
      <c r="M401" t="s">
        <v>4266</v>
      </c>
      <c r="N401" t="s">
        <v>4267</v>
      </c>
      <c r="O401" t="s">
        <v>4206</v>
      </c>
      <c r="P401" t="s">
        <v>4268</v>
      </c>
      <c r="Q401" t="s">
        <v>4269</v>
      </c>
      <c r="R401" t="s">
        <v>4270</v>
      </c>
      <c r="S401" s="2">
        <v>42293</v>
      </c>
      <c r="T401" t="s">
        <v>4271</v>
      </c>
      <c r="U401" t="s">
        <v>4272</v>
      </c>
      <c r="V401">
        <v>1</v>
      </c>
      <c r="W401">
        <v>4</v>
      </c>
      <c r="X401">
        <v>180566</v>
      </c>
      <c r="Y401" t="s">
        <v>942</v>
      </c>
      <c r="Z401" t="s">
        <v>4269</v>
      </c>
      <c r="AA401" t="s">
        <v>1853</v>
      </c>
      <c r="AB401" t="s">
        <v>45</v>
      </c>
      <c r="AC401" t="s">
        <v>4213</v>
      </c>
    </row>
    <row r="402" spans="1:29">
      <c r="A402" t="s">
        <v>3779</v>
      </c>
      <c r="B402" t="s">
        <v>4273</v>
      </c>
      <c r="C402" t="s">
        <v>1501</v>
      </c>
      <c r="D402" t="s">
        <v>4201</v>
      </c>
      <c r="E402" s="1">
        <v>-5599</v>
      </c>
      <c r="F402" t="s">
        <v>160</v>
      </c>
      <c r="G402" t="s">
        <v>1131</v>
      </c>
      <c r="H402" t="s">
        <v>4274</v>
      </c>
      <c r="I402">
        <v>4</v>
      </c>
      <c r="J402" t="s">
        <v>919</v>
      </c>
      <c r="K402">
        <v>84</v>
      </c>
      <c r="L402" t="s">
        <v>4275</v>
      </c>
      <c r="M402" t="s">
        <v>4276</v>
      </c>
      <c r="N402" t="s">
        <v>4277</v>
      </c>
      <c r="O402" t="s">
        <v>4206</v>
      </c>
      <c r="P402" t="s">
        <v>4278</v>
      </c>
      <c r="Q402" t="s">
        <v>4279</v>
      </c>
      <c r="R402" t="s">
        <v>4277</v>
      </c>
      <c r="S402" s="2">
        <v>42580</v>
      </c>
      <c r="T402">
        <v>0</v>
      </c>
      <c r="U402" t="s">
        <v>4280</v>
      </c>
      <c r="V402">
        <v>1</v>
      </c>
      <c r="W402">
        <v>8</v>
      </c>
      <c r="X402">
        <v>244960</v>
      </c>
      <c r="Y402" t="s">
        <v>4281</v>
      </c>
      <c r="Z402" t="s">
        <v>4279</v>
      </c>
      <c r="AA402" t="s">
        <v>1853</v>
      </c>
      <c r="AB402" t="s">
        <v>45</v>
      </c>
      <c r="AC402" t="s">
        <v>4213</v>
      </c>
    </row>
    <row r="403" spans="1:29">
      <c r="A403" t="s">
        <v>3094</v>
      </c>
      <c r="B403" s="1">
        <v>179642</v>
      </c>
      <c r="C403" t="s">
        <v>3431</v>
      </c>
      <c r="D403" t="s">
        <v>4201</v>
      </c>
      <c r="E403" s="1">
        <v>-5085</v>
      </c>
      <c r="F403" t="s">
        <v>437</v>
      </c>
      <c r="G403" t="s">
        <v>64</v>
      </c>
      <c r="H403" t="s">
        <v>4282</v>
      </c>
      <c r="I403">
        <v>4</v>
      </c>
      <c r="J403" t="s">
        <v>1600</v>
      </c>
      <c r="K403">
        <v>80</v>
      </c>
      <c r="L403" t="s">
        <v>4283</v>
      </c>
      <c r="M403" t="s">
        <v>4284</v>
      </c>
      <c r="N403" t="s">
        <v>4285</v>
      </c>
      <c r="O403" t="s">
        <v>4206</v>
      </c>
      <c r="P403" t="s">
        <v>4286</v>
      </c>
      <c r="Q403" t="s">
        <v>4287</v>
      </c>
      <c r="R403" t="s">
        <v>4288</v>
      </c>
      <c r="S403" s="2">
        <v>43448</v>
      </c>
      <c r="T403" t="s">
        <v>4289</v>
      </c>
      <c r="U403" t="s">
        <v>4290</v>
      </c>
      <c r="V403">
        <v>1</v>
      </c>
      <c r="W403">
        <v>6</v>
      </c>
      <c r="X403">
        <v>212107</v>
      </c>
      <c r="Y403" t="s">
        <v>3606</v>
      </c>
      <c r="Z403" t="s">
        <v>4287</v>
      </c>
      <c r="AA403" t="s">
        <v>1853</v>
      </c>
      <c r="AB403" t="s">
        <v>45</v>
      </c>
      <c r="AC403" t="s">
        <v>4213</v>
      </c>
    </row>
    <row r="404" spans="1:29">
      <c r="A404" t="s">
        <v>2569</v>
      </c>
      <c r="B404" s="1">
        <v>127949</v>
      </c>
      <c r="C404" t="s">
        <v>4291</v>
      </c>
      <c r="D404" t="s">
        <v>4201</v>
      </c>
      <c r="E404" s="1">
        <v>-3556</v>
      </c>
      <c r="F404" t="s">
        <v>595</v>
      </c>
      <c r="G404" t="s">
        <v>699</v>
      </c>
      <c r="H404" t="s">
        <v>4292</v>
      </c>
      <c r="I404">
        <v>4</v>
      </c>
      <c r="J404" t="s">
        <v>2958</v>
      </c>
      <c r="K404">
        <v>81</v>
      </c>
      <c r="L404" t="s">
        <v>4293</v>
      </c>
      <c r="M404" t="s">
        <v>4294</v>
      </c>
      <c r="N404" t="s">
        <v>4236</v>
      </c>
      <c r="O404" t="s">
        <v>4206</v>
      </c>
      <c r="P404" t="s">
        <v>4295</v>
      </c>
      <c r="Q404" t="s">
        <v>4296</v>
      </c>
      <c r="R404" t="s">
        <v>4297</v>
      </c>
      <c r="S404" s="2">
        <v>41943</v>
      </c>
      <c r="T404" t="s">
        <v>4298</v>
      </c>
      <c r="U404" t="s">
        <v>4240</v>
      </c>
      <c r="V404">
        <v>0</v>
      </c>
      <c r="W404">
        <v>4</v>
      </c>
      <c r="X404">
        <v>222533</v>
      </c>
      <c r="Y404" t="s">
        <v>4299</v>
      </c>
      <c r="Z404" t="s">
        <v>4296</v>
      </c>
      <c r="AA404" t="s">
        <v>1853</v>
      </c>
      <c r="AB404" t="s">
        <v>45</v>
      </c>
      <c r="AC404" t="s">
        <v>4213</v>
      </c>
    </row>
    <row r="405" spans="1:29">
      <c r="A405" t="s">
        <v>2081</v>
      </c>
      <c r="B405" s="1">
        <v>125905</v>
      </c>
      <c r="C405" t="s">
        <v>422</v>
      </c>
      <c r="D405" t="s">
        <v>4201</v>
      </c>
      <c r="E405" s="1">
        <v>-5335</v>
      </c>
      <c r="F405" t="s">
        <v>710</v>
      </c>
      <c r="G405" t="s">
        <v>1200</v>
      </c>
      <c r="H405" t="s">
        <v>4300</v>
      </c>
      <c r="I405">
        <v>4</v>
      </c>
      <c r="J405" t="s">
        <v>2013</v>
      </c>
      <c r="K405">
        <v>80</v>
      </c>
      <c r="L405" t="s">
        <v>4301</v>
      </c>
      <c r="M405" t="s">
        <v>4302</v>
      </c>
      <c r="N405" t="s">
        <v>4303</v>
      </c>
      <c r="O405" t="s">
        <v>4206</v>
      </c>
      <c r="P405" t="s">
        <v>4304</v>
      </c>
      <c r="Q405" t="s">
        <v>4305</v>
      </c>
      <c r="R405" t="s">
        <v>4303</v>
      </c>
      <c r="S405" s="2">
        <v>43259</v>
      </c>
      <c r="T405" t="s">
        <v>4306</v>
      </c>
      <c r="U405" t="s">
        <v>4307</v>
      </c>
      <c r="V405">
        <v>1</v>
      </c>
      <c r="W405">
        <v>6</v>
      </c>
      <c r="X405">
        <v>184560</v>
      </c>
      <c r="Y405" t="s">
        <v>4308</v>
      </c>
      <c r="Z405" t="s">
        <v>4305</v>
      </c>
      <c r="AA405" t="s">
        <v>1853</v>
      </c>
      <c r="AB405" t="s">
        <v>45</v>
      </c>
      <c r="AC405" t="s">
        <v>4213</v>
      </c>
    </row>
    <row r="406" spans="1:29">
      <c r="A406" t="s">
        <v>2621</v>
      </c>
      <c r="B406" s="1">
        <v>129992</v>
      </c>
      <c r="C406" t="s">
        <v>3032</v>
      </c>
      <c r="D406" t="s">
        <v>4201</v>
      </c>
      <c r="E406" s="1">
        <v>-4087</v>
      </c>
      <c r="F406" t="s">
        <v>348</v>
      </c>
      <c r="G406" t="s">
        <v>503</v>
      </c>
      <c r="H406" t="s">
        <v>4309</v>
      </c>
      <c r="I406">
        <v>4</v>
      </c>
      <c r="J406" t="s">
        <v>624</v>
      </c>
      <c r="K406">
        <v>82</v>
      </c>
      <c r="L406" t="s">
        <v>4310</v>
      </c>
      <c r="M406" t="s">
        <v>4311</v>
      </c>
      <c r="N406" t="s">
        <v>4312</v>
      </c>
      <c r="O406" t="s">
        <v>4206</v>
      </c>
      <c r="P406" t="s">
        <v>4313</v>
      </c>
      <c r="Q406" t="s">
        <v>4314</v>
      </c>
      <c r="R406" t="s">
        <v>4315</v>
      </c>
      <c r="S406">
        <v>2012</v>
      </c>
      <c r="T406">
        <v>0</v>
      </c>
      <c r="U406" t="s">
        <v>4316</v>
      </c>
      <c r="V406">
        <v>1</v>
      </c>
      <c r="W406">
        <v>11</v>
      </c>
      <c r="X406">
        <v>204160</v>
      </c>
      <c r="Y406" t="s">
        <v>405</v>
      </c>
      <c r="Z406" t="s">
        <v>4314</v>
      </c>
      <c r="AA406" t="s">
        <v>1853</v>
      </c>
      <c r="AB406" t="s">
        <v>45</v>
      </c>
      <c r="AC406" t="s">
        <v>4213</v>
      </c>
    </row>
    <row r="407" spans="1:29">
      <c r="A407" t="s">
        <v>250</v>
      </c>
      <c r="B407" s="1">
        <v>126062</v>
      </c>
      <c r="C407" t="s">
        <v>215</v>
      </c>
      <c r="D407" t="s">
        <v>4201</v>
      </c>
      <c r="E407" s="1">
        <v>-3674</v>
      </c>
      <c r="F407" t="s">
        <v>743</v>
      </c>
      <c r="G407" t="s">
        <v>1951</v>
      </c>
      <c r="H407" t="s">
        <v>4317</v>
      </c>
      <c r="I407">
        <v>4</v>
      </c>
      <c r="J407" t="s">
        <v>593</v>
      </c>
      <c r="K407">
        <v>80</v>
      </c>
      <c r="L407" t="s">
        <v>4318</v>
      </c>
      <c r="M407" t="s">
        <v>4319</v>
      </c>
      <c r="N407" t="s">
        <v>4320</v>
      </c>
      <c r="O407" t="s">
        <v>4206</v>
      </c>
      <c r="P407" t="s">
        <v>4321</v>
      </c>
      <c r="Q407" t="s">
        <v>4322</v>
      </c>
      <c r="R407" t="s">
        <v>4323</v>
      </c>
      <c r="S407" s="2">
        <v>41250</v>
      </c>
      <c r="T407" t="s">
        <v>1442</v>
      </c>
      <c r="U407" t="s">
        <v>4324</v>
      </c>
      <c r="V407">
        <v>0</v>
      </c>
      <c r="W407">
        <v>0</v>
      </c>
      <c r="X407">
        <v>245040</v>
      </c>
      <c r="Y407" t="s">
        <v>4325</v>
      </c>
      <c r="Z407" t="s">
        <v>4322</v>
      </c>
      <c r="AA407" t="s">
        <v>1853</v>
      </c>
      <c r="AB407" t="s">
        <v>45</v>
      </c>
      <c r="AC407" t="s">
        <v>4213</v>
      </c>
    </row>
    <row r="408" spans="1:29">
      <c r="A408" t="s">
        <v>4326</v>
      </c>
      <c r="B408" s="1">
        <v>101969</v>
      </c>
      <c r="C408" t="s">
        <v>308</v>
      </c>
      <c r="D408" t="s">
        <v>4201</v>
      </c>
      <c r="E408" s="1">
        <v>-6645</v>
      </c>
      <c r="F408" t="s">
        <v>767</v>
      </c>
      <c r="G408" t="s">
        <v>2830</v>
      </c>
      <c r="H408" t="s">
        <v>4327</v>
      </c>
      <c r="I408">
        <v>4</v>
      </c>
      <c r="J408" t="s">
        <v>160</v>
      </c>
      <c r="K408">
        <v>79</v>
      </c>
      <c r="L408" t="s">
        <v>4328</v>
      </c>
      <c r="M408" t="s">
        <v>4329</v>
      </c>
      <c r="N408" t="s">
        <v>4330</v>
      </c>
      <c r="O408" t="s">
        <v>4206</v>
      </c>
      <c r="P408" t="s">
        <v>4331</v>
      </c>
      <c r="Q408" t="s">
        <v>4332</v>
      </c>
      <c r="R408" t="s">
        <v>4333</v>
      </c>
      <c r="S408" s="2">
        <v>42496</v>
      </c>
      <c r="T408" t="s">
        <v>4334</v>
      </c>
      <c r="U408" t="s">
        <v>4335</v>
      </c>
      <c r="V408">
        <v>0</v>
      </c>
      <c r="W408">
        <v>7</v>
      </c>
      <c r="X408">
        <v>197933</v>
      </c>
      <c r="Y408" t="s">
        <v>1064</v>
      </c>
      <c r="Z408" t="s">
        <v>4332</v>
      </c>
      <c r="AA408" t="s">
        <v>1853</v>
      </c>
      <c r="AB408" t="s">
        <v>45</v>
      </c>
      <c r="AC408" t="s">
        <v>4213</v>
      </c>
    </row>
    <row r="409" spans="1:29">
      <c r="A409" t="s">
        <v>3577</v>
      </c>
      <c r="B409" s="1">
        <v>123063</v>
      </c>
      <c r="C409" t="s">
        <v>3634</v>
      </c>
      <c r="D409" t="s">
        <v>4201</v>
      </c>
      <c r="E409" s="1">
        <v>-5098</v>
      </c>
      <c r="F409" t="s">
        <v>1200</v>
      </c>
      <c r="G409" t="s">
        <v>3634</v>
      </c>
      <c r="H409" t="s">
        <v>4336</v>
      </c>
      <c r="I409">
        <v>4</v>
      </c>
      <c r="J409" t="s">
        <v>4337</v>
      </c>
      <c r="K409">
        <v>78</v>
      </c>
      <c r="L409" t="s">
        <v>4338</v>
      </c>
      <c r="M409" t="s">
        <v>4339</v>
      </c>
      <c r="N409" t="s">
        <v>4340</v>
      </c>
      <c r="O409" t="s">
        <v>4206</v>
      </c>
      <c r="P409" t="s">
        <v>4341</v>
      </c>
      <c r="Q409" t="s">
        <v>4342</v>
      </c>
      <c r="R409" t="s">
        <v>4343</v>
      </c>
      <c r="S409" s="2">
        <v>42272</v>
      </c>
      <c r="T409">
        <v>0</v>
      </c>
      <c r="U409" t="s">
        <v>4344</v>
      </c>
      <c r="V409">
        <v>0</v>
      </c>
      <c r="W409">
        <v>5</v>
      </c>
      <c r="X409">
        <v>219043</v>
      </c>
      <c r="Y409" t="s">
        <v>4345</v>
      </c>
      <c r="Z409" t="s">
        <v>4342</v>
      </c>
      <c r="AA409" t="s">
        <v>1853</v>
      </c>
      <c r="AB409" t="s">
        <v>45</v>
      </c>
      <c r="AC409" t="s">
        <v>4213</v>
      </c>
    </row>
    <row r="410" spans="1:29">
      <c r="A410" t="s">
        <v>4346</v>
      </c>
      <c r="B410" s="1">
        <v>127999</v>
      </c>
      <c r="C410" t="s">
        <v>190</v>
      </c>
      <c r="D410" t="s">
        <v>4201</v>
      </c>
      <c r="E410" s="1">
        <v>-3863</v>
      </c>
      <c r="F410" t="s">
        <v>4141</v>
      </c>
      <c r="G410" t="s">
        <v>4347</v>
      </c>
      <c r="H410" t="s">
        <v>4242</v>
      </c>
      <c r="I410">
        <v>4</v>
      </c>
      <c r="J410" t="s">
        <v>4348</v>
      </c>
      <c r="K410">
        <v>78</v>
      </c>
      <c r="L410" t="s">
        <v>4349</v>
      </c>
      <c r="M410" t="s">
        <v>4350</v>
      </c>
      <c r="N410" t="s">
        <v>4351</v>
      </c>
      <c r="O410" t="s">
        <v>4206</v>
      </c>
      <c r="P410" t="s">
        <v>4352</v>
      </c>
      <c r="Q410" t="s">
        <v>4353</v>
      </c>
      <c r="R410" t="s">
        <v>4354</v>
      </c>
      <c r="S410" s="2">
        <v>42279</v>
      </c>
      <c r="T410">
        <v>0</v>
      </c>
      <c r="U410" t="s">
        <v>4355</v>
      </c>
      <c r="V410">
        <v>0</v>
      </c>
      <c r="W410">
        <v>6</v>
      </c>
      <c r="X410">
        <v>230613</v>
      </c>
      <c r="Y410" t="s">
        <v>1336</v>
      </c>
      <c r="Z410" t="s">
        <v>4353</v>
      </c>
      <c r="AA410" t="s">
        <v>1853</v>
      </c>
      <c r="AB410" t="s">
        <v>45</v>
      </c>
      <c r="AC410" t="s">
        <v>4213</v>
      </c>
    </row>
    <row r="411" spans="1:29">
      <c r="A411" t="s">
        <v>92</v>
      </c>
      <c r="B411" s="1">
        <v>130003</v>
      </c>
      <c r="C411" t="s">
        <v>1085</v>
      </c>
      <c r="D411" t="s">
        <v>4201</v>
      </c>
      <c r="E411" s="1">
        <v>-5194</v>
      </c>
      <c r="F411" t="s">
        <v>4356</v>
      </c>
      <c r="G411" t="s">
        <v>1467</v>
      </c>
      <c r="H411" t="s">
        <v>4357</v>
      </c>
      <c r="I411">
        <v>4</v>
      </c>
      <c r="J411" t="s">
        <v>4358</v>
      </c>
      <c r="K411">
        <v>78</v>
      </c>
      <c r="L411" t="s">
        <v>4359</v>
      </c>
      <c r="M411" t="s">
        <v>4360</v>
      </c>
      <c r="N411" t="s">
        <v>4361</v>
      </c>
      <c r="O411" t="s">
        <v>4206</v>
      </c>
      <c r="P411" t="s">
        <v>4362</v>
      </c>
      <c r="Q411" t="s">
        <v>4363</v>
      </c>
      <c r="R411" t="s">
        <v>4364</v>
      </c>
      <c r="S411" s="2">
        <v>40662</v>
      </c>
      <c r="T411" t="s">
        <v>4365</v>
      </c>
      <c r="U411" t="s">
        <v>4366</v>
      </c>
      <c r="V411">
        <v>0</v>
      </c>
      <c r="W411">
        <v>3</v>
      </c>
      <c r="X411">
        <v>284867</v>
      </c>
      <c r="Y411" t="s">
        <v>2580</v>
      </c>
      <c r="Z411" t="s">
        <v>4363</v>
      </c>
      <c r="AA411" t="s">
        <v>1853</v>
      </c>
      <c r="AB411" t="s">
        <v>45</v>
      </c>
      <c r="AC411" t="s">
        <v>4213</v>
      </c>
    </row>
    <row r="412" spans="1:29">
      <c r="A412" t="s">
        <v>1289</v>
      </c>
      <c r="B412" s="1">
        <v>159805</v>
      </c>
      <c r="C412" t="s">
        <v>1880</v>
      </c>
      <c r="D412" t="s">
        <v>4201</v>
      </c>
      <c r="E412" s="1">
        <v>-5093</v>
      </c>
      <c r="F412" t="s">
        <v>1812</v>
      </c>
      <c r="G412" t="s">
        <v>4367</v>
      </c>
      <c r="H412" t="s">
        <v>4368</v>
      </c>
      <c r="I412">
        <v>4</v>
      </c>
      <c r="J412" t="s">
        <v>1238</v>
      </c>
      <c r="K412">
        <v>80</v>
      </c>
      <c r="L412" t="s">
        <v>4369</v>
      </c>
      <c r="M412" t="s">
        <v>4370</v>
      </c>
      <c r="N412" t="s">
        <v>4371</v>
      </c>
      <c r="O412" t="s">
        <v>4206</v>
      </c>
      <c r="P412" t="s">
        <v>4372</v>
      </c>
      <c r="Q412" t="s">
        <v>4373</v>
      </c>
      <c r="R412" t="s">
        <v>4371</v>
      </c>
      <c r="S412" s="2">
        <v>42405</v>
      </c>
      <c r="T412" t="s">
        <v>4374</v>
      </c>
      <c r="U412" t="s">
        <v>4375</v>
      </c>
      <c r="V412">
        <v>1</v>
      </c>
      <c r="W412">
        <v>11</v>
      </c>
      <c r="X412">
        <v>208373</v>
      </c>
      <c r="Y412" t="s">
        <v>1553</v>
      </c>
      <c r="Z412" t="s">
        <v>4373</v>
      </c>
      <c r="AA412" t="s">
        <v>1853</v>
      </c>
      <c r="AB412" t="s">
        <v>45</v>
      </c>
      <c r="AC412" t="s">
        <v>4213</v>
      </c>
    </row>
    <row r="413" spans="1:29">
      <c r="A413" t="s">
        <v>4376</v>
      </c>
      <c r="B413" s="1">
        <v>128024</v>
      </c>
      <c r="C413" t="s">
        <v>4281</v>
      </c>
      <c r="D413" t="s">
        <v>4201</v>
      </c>
      <c r="E413" s="1">
        <v>-4078</v>
      </c>
      <c r="F413" t="s">
        <v>349</v>
      </c>
      <c r="G413" t="s">
        <v>2751</v>
      </c>
      <c r="H413" t="s">
        <v>4377</v>
      </c>
      <c r="I413">
        <v>4</v>
      </c>
      <c r="J413" t="s">
        <v>2821</v>
      </c>
      <c r="K413">
        <v>79</v>
      </c>
      <c r="L413" t="s">
        <v>4378</v>
      </c>
      <c r="M413" t="s">
        <v>4379</v>
      </c>
      <c r="N413" t="s">
        <v>4236</v>
      </c>
      <c r="O413" t="s">
        <v>4206</v>
      </c>
      <c r="P413" t="s">
        <v>4380</v>
      </c>
      <c r="Q413" t="s">
        <v>4381</v>
      </c>
      <c r="R413" t="s">
        <v>4382</v>
      </c>
      <c r="S413" s="2">
        <v>41943</v>
      </c>
      <c r="T413" t="s">
        <v>681</v>
      </c>
      <c r="U413" t="s">
        <v>4240</v>
      </c>
      <c r="V413">
        <v>0</v>
      </c>
      <c r="W413">
        <v>0</v>
      </c>
      <c r="X413">
        <v>212960</v>
      </c>
      <c r="Y413" t="s">
        <v>4383</v>
      </c>
      <c r="Z413" t="s">
        <v>4381</v>
      </c>
      <c r="AA413" t="s">
        <v>1853</v>
      </c>
      <c r="AB413" t="s">
        <v>45</v>
      </c>
      <c r="AC413" t="s">
        <v>4213</v>
      </c>
    </row>
    <row r="414" spans="1:29">
      <c r="A414" t="s">
        <v>3257</v>
      </c>
      <c r="B414" s="1">
        <v>127075</v>
      </c>
      <c r="C414" t="s">
        <v>200</v>
      </c>
      <c r="D414" t="s">
        <v>4201</v>
      </c>
      <c r="E414" s="1">
        <v>-5324</v>
      </c>
      <c r="F414" t="s">
        <v>1667</v>
      </c>
      <c r="G414" t="s">
        <v>1444</v>
      </c>
      <c r="H414" t="s">
        <v>4384</v>
      </c>
      <c r="I414">
        <v>4</v>
      </c>
      <c r="J414" t="s">
        <v>1313</v>
      </c>
      <c r="K414">
        <v>77</v>
      </c>
      <c r="L414" t="s">
        <v>4385</v>
      </c>
      <c r="M414" t="s">
        <v>4386</v>
      </c>
      <c r="N414" t="s">
        <v>4387</v>
      </c>
      <c r="O414" t="s">
        <v>4206</v>
      </c>
      <c r="P414" t="s">
        <v>4388</v>
      </c>
      <c r="Q414" t="s">
        <v>4389</v>
      </c>
      <c r="R414" t="s">
        <v>4390</v>
      </c>
      <c r="S414" s="2">
        <v>41082</v>
      </c>
      <c r="T414">
        <v>0</v>
      </c>
      <c r="U414" t="s">
        <v>4391</v>
      </c>
      <c r="V414">
        <v>0</v>
      </c>
      <c r="W414">
        <v>5</v>
      </c>
      <c r="X414">
        <v>232947</v>
      </c>
      <c r="Y414" t="s">
        <v>4392</v>
      </c>
      <c r="Z414" t="s">
        <v>4389</v>
      </c>
      <c r="AA414" t="s">
        <v>1853</v>
      </c>
      <c r="AB414" t="s">
        <v>45</v>
      </c>
      <c r="AC414" t="s">
        <v>4213</v>
      </c>
    </row>
    <row r="415" spans="1:29">
      <c r="A415" t="s">
        <v>4393</v>
      </c>
      <c r="B415" s="1">
        <v>116047</v>
      </c>
      <c r="C415" t="s">
        <v>1881</v>
      </c>
      <c r="D415" t="s">
        <v>4201</v>
      </c>
      <c r="E415" s="1">
        <v>-8966</v>
      </c>
      <c r="F415" t="s">
        <v>366</v>
      </c>
      <c r="G415" t="s">
        <v>4394</v>
      </c>
      <c r="H415" t="s">
        <v>4395</v>
      </c>
      <c r="I415">
        <v>4</v>
      </c>
      <c r="J415" t="s">
        <v>4177</v>
      </c>
      <c r="K415">
        <v>77</v>
      </c>
      <c r="L415" t="s">
        <v>4396</v>
      </c>
      <c r="M415" t="s">
        <v>4397</v>
      </c>
      <c r="N415" t="s">
        <v>4398</v>
      </c>
      <c r="O415" t="s">
        <v>4206</v>
      </c>
      <c r="P415" t="s">
        <v>4399</v>
      </c>
      <c r="Q415" t="s">
        <v>4400</v>
      </c>
      <c r="R415" t="s">
        <v>4398</v>
      </c>
      <c r="S415" s="2">
        <v>41383</v>
      </c>
      <c r="T415" t="s">
        <v>4401</v>
      </c>
      <c r="U415" t="s">
        <v>4402</v>
      </c>
      <c r="V415">
        <v>0</v>
      </c>
      <c r="W415">
        <v>6</v>
      </c>
      <c r="X415">
        <v>248413</v>
      </c>
      <c r="Y415" t="s">
        <v>4403</v>
      </c>
      <c r="Z415" t="s">
        <v>4400</v>
      </c>
      <c r="AA415" t="s">
        <v>1853</v>
      </c>
      <c r="AB415" t="s">
        <v>45</v>
      </c>
      <c r="AC415" t="s">
        <v>4213</v>
      </c>
    </row>
    <row r="416" spans="1:29">
      <c r="A416" t="s">
        <v>392</v>
      </c>
      <c r="B416" s="1">
        <v>123077</v>
      </c>
      <c r="C416" t="s">
        <v>460</v>
      </c>
      <c r="D416" t="s">
        <v>4201</v>
      </c>
      <c r="E416" s="1">
        <v>-4973</v>
      </c>
      <c r="F416" t="s">
        <v>252</v>
      </c>
      <c r="G416" t="s">
        <v>4404</v>
      </c>
      <c r="H416" t="s">
        <v>4405</v>
      </c>
      <c r="I416">
        <v>4</v>
      </c>
      <c r="J416" t="s">
        <v>4406</v>
      </c>
      <c r="K416">
        <v>77</v>
      </c>
      <c r="L416" t="s">
        <v>4407</v>
      </c>
      <c r="M416" t="s">
        <v>4408</v>
      </c>
      <c r="N416" t="s">
        <v>4409</v>
      </c>
      <c r="O416" t="s">
        <v>4206</v>
      </c>
      <c r="P416" t="s">
        <v>4410</v>
      </c>
      <c r="Q416" t="s">
        <v>4411</v>
      </c>
      <c r="R416" t="s">
        <v>4409</v>
      </c>
      <c r="S416" s="2">
        <v>42944</v>
      </c>
      <c r="T416">
        <v>0</v>
      </c>
      <c r="U416" t="s">
        <v>4412</v>
      </c>
      <c r="V416">
        <v>0</v>
      </c>
      <c r="W416">
        <v>5</v>
      </c>
      <c r="X416">
        <v>203000</v>
      </c>
      <c r="Y416" t="s">
        <v>4413</v>
      </c>
      <c r="Z416" t="s">
        <v>4411</v>
      </c>
      <c r="AA416" t="s">
        <v>1853</v>
      </c>
      <c r="AB416" t="s">
        <v>45</v>
      </c>
      <c r="AC416" t="s">
        <v>4213</v>
      </c>
    </row>
    <row r="417" spans="1:29">
      <c r="A417" t="s">
        <v>1177</v>
      </c>
      <c r="B417" t="s">
        <v>4414</v>
      </c>
      <c r="C417" t="s">
        <v>241</v>
      </c>
      <c r="D417" t="s">
        <v>4201</v>
      </c>
      <c r="E417" t="s">
        <v>4415</v>
      </c>
      <c r="F417" t="s">
        <v>551</v>
      </c>
      <c r="G417" t="s">
        <v>2673</v>
      </c>
      <c r="H417" t="s">
        <v>4416</v>
      </c>
      <c r="I417">
        <v>4</v>
      </c>
      <c r="J417" t="s">
        <v>4417</v>
      </c>
      <c r="K417">
        <v>77</v>
      </c>
      <c r="L417" t="s">
        <v>4418</v>
      </c>
      <c r="M417" t="s">
        <v>4419</v>
      </c>
      <c r="N417" t="s">
        <v>4420</v>
      </c>
      <c r="O417" t="s">
        <v>4206</v>
      </c>
      <c r="P417" t="s">
        <v>4421</v>
      </c>
      <c r="Q417" t="s">
        <v>4422</v>
      </c>
      <c r="R417" t="s">
        <v>4420</v>
      </c>
      <c r="S417" s="2">
        <v>42580</v>
      </c>
      <c r="T417">
        <v>0</v>
      </c>
      <c r="U417" t="s">
        <v>4423</v>
      </c>
      <c r="V417">
        <v>0</v>
      </c>
      <c r="W417">
        <v>4</v>
      </c>
      <c r="X417">
        <v>195707</v>
      </c>
      <c r="Y417" t="s">
        <v>1528</v>
      </c>
      <c r="Z417" t="s">
        <v>4422</v>
      </c>
      <c r="AA417" t="s">
        <v>1853</v>
      </c>
      <c r="AB417" t="s">
        <v>45</v>
      </c>
      <c r="AC417" t="s">
        <v>4213</v>
      </c>
    </row>
    <row r="418" spans="1:29">
      <c r="A418" t="s">
        <v>4424</v>
      </c>
      <c r="B418" s="1">
        <v>121985</v>
      </c>
      <c r="C418" t="s">
        <v>1153</v>
      </c>
      <c r="D418" t="s">
        <v>4201</v>
      </c>
      <c r="E418" s="1">
        <v>-4759</v>
      </c>
      <c r="F418" t="s">
        <v>2947</v>
      </c>
      <c r="G418" t="s">
        <v>643</v>
      </c>
      <c r="H418" t="s">
        <v>4425</v>
      </c>
      <c r="I418">
        <v>4</v>
      </c>
      <c r="J418" t="s">
        <v>1470</v>
      </c>
      <c r="K418">
        <v>76</v>
      </c>
      <c r="L418" t="s">
        <v>4426</v>
      </c>
      <c r="M418" t="s">
        <v>4427</v>
      </c>
      <c r="N418" t="s">
        <v>4428</v>
      </c>
      <c r="O418" t="s">
        <v>4206</v>
      </c>
      <c r="P418" t="s">
        <v>4429</v>
      </c>
      <c r="Q418" t="s">
        <v>4430</v>
      </c>
      <c r="R418" t="s">
        <v>4431</v>
      </c>
      <c r="S418" s="2">
        <v>42678</v>
      </c>
      <c r="T418" t="s">
        <v>4432</v>
      </c>
      <c r="U418" t="s">
        <v>4433</v>
      </c>
      <c r="V418">
        <v>0</v>
      </c>
      <c r="W418">
        <v>0</v>
      </c>
      <c r="X418">
        <v>195547</v>
      </c>
      <c r="Y418" t="s">
        <v>2326</v>
      </c>
      <c r="Z418" t="s">
        <v>4430</v>
      </c>
      <c r="AA418" t="s">
        <v>1853</v>
      </c>
      <c r="AB418" t="s">
        <v>45</v>
      </c>
      <c r="AC418" t="s">
        <v>4213</v>
      </c>
    </row>
    <row r="419" spans="1:29">
      <c r="A419" t="s">
        <v>1457</v>
      </c>
      <c r="B419" s="1">
        <v>130039</v>
      </c>
      <c r="C419" t="s">
        <v>2241</v>
      </c>
      <c r="D419" t="s">
        <v>4201</v>
      </c>
      <c r="E419" s="1">
        <v>-6849</v>
      </c>
      <c r="F419" t="s">
        <v>956</v>
      </c>
      <c r="G419" t="s">
        <v>241</v>
      </c>
      <c r="H419" t="s">
        <v>4434</v>
      </c>
      <c r="I419">
        <v>4</v>
      </c>
      <c r="J419" t="s">
        <v>4435</v>
      </c>
      <c r="K419">
        <v>76</v>
      </c>
      <c r="L419" t="s">
        <v>4436</v>
      </c>
      <c r="M419" t="s">
        <v>4437</v>
      </c>
      <c r="N419" t="s">
        <v>4438</v>
      </c>
      <c r="O419" t="s">
        <v>4206</v>
      </c>
      <c r="P419" t="s">
        <v>4439</v>
      </c>
      <c r="Q419" t="s">
        <v>4440</v>
      </c>
      <c r="R419" t="s">
        <v>4441</v>
      </c>
      <c r="S419" s="2">
        <v>41275</v>
      </c>
      <c r="T419" t="s">
        <v>4442</v>
      </c>
      <c r="U419" t="s">
        <v>4443</v>
      </c>
      <c r="V419">
        <v>1</v>
      </c>
      <c r="W419">
        <v>5</v>
      </c>
      <c r="X419">
        <v>283400</v>
      </c>
      <c r="Y419" t="s">
        <v>4444</v>
      </c>
      <c r="Z419" t="s">
        <v>4440</v>
      </c>
      <c r="AA419" t="s">
        <v>1853</v>
      </c>
      <c r="AB419" t="s">
        <v>45</v>
      </c>
      <c r="AC419" t="s">
        <v>4213</v>
      </c>
    </row>
    <row r="420" spans="1:29">
      <c r="A420" t="s">
        <v>1407</v>
      </c>
      <c r="B420" s="1">
        <v>123962</v>
      </c>
      <c r="C420" t="s">
        <v>2240</v>
      </c>
      <c r="D420" t="s">
        <v>4201</v>
      </c>
      <c r="E420" s="1">
        <v>-2787</v>
      </c>
      <c r="F420" t="s">
        <v>3965</v>
      </c>
      <c r="G420" t="s">
        <v>1666</v>
      </c>
      <c r="H420" t="s">
        <v>4445</v>
      </c>
      <c r="I420">
        <v>4</v>
      </c>
      <c r="J420" t="s">
        <v>4446</v>
      </c>
      <c r="K420">
        <v>77</v>
      </c>
      <c r="L420" t="s">
        <v>4447</v>
      </c>
      <c r="M420" t="s">
        <v>4448</v>
      </c>
      <c r="N420" t="s">
        <v>4449</v>
      </c>
      <c r="O420" t="s">
        <v>4206</v>
      </c>
      <c r="P420" t="s">
        <v>4450</v>
      </c>
      <c r="Q420" t="s">
        <v>4451</v>
      </c>
      <c r="R420" t="s">
        <v>4449</v>
      </c>
      <c r="S420" s="2">
        <v>42489</v>
      </c>
      <c r="T420" t="s">
        <v>1483</v>
      </c>
      <c r="U420" t="s">
        <v>4452</v>
      </c>
      <c r="V420">
        <v>0</v>
      </c>
      <c r="W420">
        <v>9</v>
      </c>
      <c r="X420">
        <v>222160</v>
      </c>
      <c r="Y420" t="s">
        <v>526</v>
      </c>
      <c r="Z420" t="s">
        <v>4451</v>
      </c>
      <c r="AA420" t="s">
        <v>1853</v>
      </c>
      <c r="AB420" t="s">
        <v>45</v>
      </c>
      <c r="AC420" t="s">
        <v>4213</v>
      </c>
    </row>
    <row r="421" spans="1:29">
      <c r="A421" t="s">
        <v>3555</v>
      </c>
      <c r="B421" s="1">
        <v>119958</v>
      </c>
      <c r="C421" t="s">
        <v>2579</v>
      </c>
      <c r="D421" t="s">
        <v>4201</v>
      </c>
      <c r="E421" s="1">
        <v>-9204</v>
      </c>
      <c r="F421" t="s">
        <v>3826</v>
      </c>
      <c r="G421" t="s">
        <v>1121</v>
      </c>
      <c r="H421" t="s">
        <v>4453</v>
      </c>
      <c r="I421">
        <v>4</v>
      </c>
      <c r="J421" t="s">
        <v>597</v>
      </c>
      <c r="K421">
        <v>75</v>
      </c>
      <c r="L421" t="s">
        <v>4454</v>
      </c>
      <c r="M421" t="s">
        <v>4455</v>
      </c>
      <c r="N421" t="s">
        <v>4456</v>
      </c>
      <c r="O421" t="s">
        <v>4206</v>
      </c>
      <c r="P421" t="s">
        <v>4457</v>
      </c>
      <c r="Q421" t="s">
        <v>4458</v>
      </c>
      <c r="R421" t="s">
        <v>4459</v>
      </c>
      <c r="S421" s="2">
        <v>40179</v>
      </c>
      <c r="T421" t="s">
        <v>4460</v>
      </c>
      <c r="U421" t="s">
        <v>4461</v>
      </c>
      <c r="V421">
        <v>0</v>
      </c>
      <c r="W421">
        <v>1</v>
      </c>
      <c r="X421">
        <v>206067</v>
      </c>
      <c r="Y421" t="s">
        <v>178</v>
      </c>
      <c r="Z421" t="s">
        <v>4458</v>
      </c>
      <c r="AA421" t="s">
        <v>1853</v>
      </c>
      <c r="AB421" t="s">
        <v>45</v>
      </c>
      <c r="AC421" t="s">
        <v>4213</v>
      </c>
    </row>
    <row r="422" spans="1:29">
      <c r="A422" t="s">
        <v>4462</v>
      </c>
      <c r="B422" s="1">
        <v>127975</v>
      </c>
      <c r="C422" t="s">
        <v>1279</v>
      </c>
      <c r="D422" t="s">
        <v>4201</v>
      </c>
      <c r="E422" s="1">
        <v>-4485</v>
      </c>
      <c r="F422" t="s">
        <v>1596</v>
      </c>
      <c r="G422" t="s">
        <v>2905</v>
      </c>
      <c r="H422" t="s">
        <v>4463</v>
      </c>
      <c r="I422">
        <v>4</v>
      </c>
      <c r="J422" t="s">
        <v>928</v>
      </c>
      <c r="K422">
        <v>75</v>
      </c>
      <c r="L422" t="s">
        <v>4464</v>
      </c>
      <c r="M422" t="s">
        <v>4465</v>
      </c>
      <c r="N422" t="s">
        <v>4466</v>
      </c>
      <c r="O422" t="s">
        <v>4206</v>
      </c>
      <c r="P422" t="s">
        <v>4467</v>
      </c>
      <c r="Q422" t="s">
        <v>4468</v>
      </c>
      <c r="R422" t="s">
        <v>4469</v>
      </c>
      <c r="S422" s="2">
        <v>40866</v>
      </c>
      <c r="T422" t="s">
        <v>4470</v>
      </c>
      <c r="U422" t="s">
        <v>4471</v>
      </c>
      <c r="V422">
        <v>1</v>
      </c>
      <c r="W422">
        <v>1</v>
      </c>
      <c r="X422">
        <v>215227</v>
      </c>
      <c r="Y422" t="s">
        <v>3648</v>
      </c>
      <c r="Z422" t="s">
        <v>4468</v>
      </c>
      <c r="AA422" t="s">
        <v>1853</v>
      </c>
      <c r="AB422" t="s">
        <v>45</v>
      </c>
      <c r="AC422" t="s">
        <v>4213</v>
      </c>
    </row>
    <row r="423" spans="1:29">
      <c r="A423" t="s">
        <v>4472</v>
      </c>
      <c r="B423" s="1">
        <v>119994</v>
      </c>
      <c r="C423" t="s">
        <v>4473</v>
      </c>
      <c r="D423" t="s">
        <v>4201</v>
      </c>
      <c r="E423" s="1">
        <v>-9334</v>
      </c>
      <c r="F423" t="s">
        <v>4474</v>
      </c>
      <c r="G423" t="s">
        <v>3877</v>
      </c>
      <c r="H423" t="s">
        <v>4475</v>
      </c>
      <c r="I423">
        <v>4</v>
      </c>
      <c r="J423" t="s">
        <v>1349</v>
      </c>
      <c r="K423">
        <v>75</v>
      </c>
      <c r="L423" t="s">
        <v>4476</v>
      </c>
      <c r="M423" t="s">
        <v>4477</v>
      </c>
      <c r="N423" t="s">
        <v>4478</v>
      </c>
      <c r="O423" t="s">
        <v>4206</v>
      </c>
      <c r="P423" t="s">
        <v>4479</v>
      </c>
      <c r="Q423" t="s">
        <v>4480</v>
      </c>
      <c r="R423" t="s">
        <v>4481</v>
      </c>
      <c r="S423" s="2">
        <v>41677</v>
      </c>
      <c r="T423" t="s">
        <v>4482</v>
      </c>
      <c r="U423" t="s">
        <v>4483</v>
      </c>
      <c r="V423">
        <v>0</v>
      </c>
      <c r="W423">
        <v>5</v>
      </c>
      <c r="X423">
        <v>208133</v>
      </c>
      <c r="Y423" t="s">
        <v>4484</v>
      </c>
      <c r="Z423" t="s">
        <v>4480</v>
      </c>
      <c r="AA423" t="s">
        <v>1853</v>
      </c>
      <c r="AB423" t="s">
        <v>45</v>
      </c>
      <c r="AC423" t="s">
        <v>4213</v>
      </c>
    </row>
    <row r="424" spans="1:29">
      <c r="A424" t="s">
        <v>1289</v>
      </c>
      <c r="B424" s="1">
        <v>127966</v>
      </c>
      <c r="C424" t="s">
        <v>2711</v>
      </c>
      <c r="D424" t="s">
        <v>4201</v>
      </c>
      <c r="E424" s="1">
        <v>-3911</v>
      </c>
      <c r="F424" t="s">
        <v>1223</v>
      </c>
      <c r="G424" t="s">
        <v>4485</v>
      </c>
      <c r="H424" t="s">
        <v>4486</v>
      </c>
      <c r="I424">
        <v>4</v>
      </c>
      <c r="J424" t="s">
        <v>1130</v>
      </c>
      <c r="K424">
        <v>76</v>
      </c>
      <c r="L424" t="s">
        <v>4487</v>
      </c>
      <c r="M424" t="s">
        <v>4488</v>
      </c>
      <c r="N424" t="s">
        <v>4489</v>
      </c>
      <c r="O424" t="s">
        <v>4206</v>
      </c>
      <c r="P424" t="s">
        <v>4490</v>
      </c>
      <c r="Q424" t="s">
        <v>4491</v>
      </c>
      <c r="R424" t="s">
        <v>4492</v>
      </c>
      <c r="S424" s="2">
        <v>40506</v>
      </c>
      <c r="T424">
        <v>0</v>
      </c>
      <c r="U424" t="s">
        <v>4493</v>
      </c>
      <c r="V424">
        <v>1</v>
      </c>
      <c r="W424">
        <v>0</v>
      </c>
      <c r="X424">
        <v>234560</v>
      </c>
      <c r="Y424" t="s">
        <v>103</v>
      </c>
      <c r="Z424" t="s">
        <v>4491</v>
      </c>
      <c r="AA424" t="s">
        <v>1853</v>
      </c>
      <c r="AB424" t="s">
        <v>45</v>
      </c>
      <c r="AC424" t="s">
        <v>4213</v>
      </c>
    </row>
    <row r="425" spans="1:29">
      <c r="A425" t="s">
        <v>4494</v>
      </c>
      <c r="B425" s="1">
        <v>126094</v>
      </c>
      <c r="C425" t="s">
        <v>2803</v>
      </c>
      <c r="D425" t="s">
        <v>4201</v>
      </c>
      <c r="E425" s="1">
        <v>-3405</v>
      </c>
      <c r="F425" t="s">
        <v>1211</v>
      </c>
      <c r="G425" t="s">
        <v>4472</v>
      </c>
      <c r="H425" t="s">
        <v>4495</v>
      </c>
      <c r="I425">
        <v>4</v>
      </c>
      <c r="J425" t="s">
        <v>4496</v>
      </c>
      <c r="K425">
        <v>76</v>
      </c>
      <c r="L425" t="s">
        <v>4497</v>
      </c>
      <c r="M425" t="s">
        <v>4498</v>
      </c>
      <c r="N425" t="s">
        <v>4236</v>
      </c>
      <c r="O425" t="s">
        <v>4206</v>
      </c>
      <c r="P425" t="s">
        <v>4499</v>
      </c>
      <c r="Q425" t="s">
        <v>4500</v>
      </c>
      <c r="R425" t="s">
        <v>4501</v>
      </c>
      <c r="S425" s="2">
        <v>41943</v>
      </c>
      <c r="T425" t="s">
        <v>4502</v>
      </c>
      <c r="U425" t="s">
        <v>4240</v>
      </c>
      <c r="V425">
        <v>1</v>
      </c>
      <c r="W425">
        <v>8</v>
      </c>
      <c r="X425">
        <v>184280</v>
      </c>
      <c r="Y425" t="s">
        <v>715</v>
      </c>
      <c r="Z425" t="s">
        <v>4500</v>
      </c>
      <c r="AA425" t="s">
        <v>1853</v>
      </c>
      <c r="AB425" t="s">
        <v>45</v>
      </c>
      <c r="AC425" t="s">
        <v>4213</v>
      </c>
    </row>
    <row r="426" spans="1:29">
      <c r="A426" t="s">
        <v>392</v>
      </c>
      <c r="B426" s="1">
        <v>119896</v>
      </c>
      <c r="C426" t="s">
        <v>1121</v>
      </c>
      <c r="D426" t="s">
        <v>4201</v>
      </c>
      <c r="E426" s="1">
        <v>-6529</v>
      </c>
      <c r="F426" t="s">
        <v>2763</v>
      </c>
      <c r="G426" t="s">
        <v>4503</v>
      </c>
      <c r="H426" t="s">
        <v>4504</v>
      </c>
      <c r="I426">
        <v>4</v>
      </c>
      <c r="J426" t="s">
        <v>4383</v>
      </c>
      <c r="K426">
        <v>75</v>
      </c>
      <c r="L426" t="s">
        <v>4505</v>
      </c>
      <c r="M426" t="s">
        <v>4506</v>
      </c>
      <c r="N426" t="s">
        <v>4507</v>
      </c>
      <c r="O426" t="s">
        <v>4206</v>
      </c>
      <c r="P426" t="s">
        <v>4508</v>
      </c>
      <c r="Q426" t="s">
        <v>4509</v>
      </c>
      <c r="R426" t="s">
        <v>4510</v>
      </c>
      <c r="S426" s="2">
        <v>41950</v>
      </c>
      <c r="T426" t="s">
        <v>4511</v>
      </c>
      <c r="U426" t="s">
        <v>4512</v>
      </c>
      <c r="V426">
        <v>0</v>
      </c>
      <c r="W426">
        <v>10</v>
      </c>
      <c r="X426">
        <v>198053</v>
      </c>
      <c r="Y426" t="s">
        <v>366</v>
      </c>
      <c r="Z426" t="s">
        <v>4509</v>
      </c>
      <c r="AA426" t="s">
        <v>1853</v>
      </c>
      <c r="AB426" t="s">
        <v>45</v>
      </c>
      <c r="AC426" t="s">
        <v>4213</v>
      </c>
    </row>
    <row r="427" spans="1:29">
      <c r="A427" t="s">
        <v>1097</v>
      </c>
      <c r="B427" s="1">
        <v>122746</v>
      </c>
      <c r="C427" t="s">
        <v>4347</v>
      </c>
      <c r="D427" t="s">
        <v>4201</v>
      </c>
      <c r="E427" s="1">
        <v>-8618</v>
      </c>
      <c r="F427" t="s">
        <v>438</v>
      </c>
      <c r="G427" t="s">
        <v>1747</v>
      </c>
      <c r="H427" t="s">
        <v>4513</v>
      </c>
      <c r="I427">
        <v>4</v>
      </c>
      <c r="J427" t="s">
        <v>279</v>
      </c>
      <c r="K427">
        <v>74</v>
      </c>
      <c r="L427" t="s">
        <v>4514</v>
      </c>
      <c r="M427" t="s">
        <v>4515</v>
      </c>
      <c r="N427" t="s">
        <v>4516</v>
      </c>
      <c r="O427" t="s">
        <v>4206</v>
      </c>
      <c r="P427" t="s">
        <v>4517</v>
      </c>
      <c r="Q427" t="s">
        <v>4518</v>
      </c>
      <c r="R427" t="s">
        <v>4519</v>
      </c>
      <c r="S427" s="2">
        <v>36962</v>
      </c>
      <c r="T427">
        <v>0</v>
      </c>
      <c r="U427" t="s">
        <v>4520</v>
      </c>
      <c r="V427">
        <v>1</v>
      </c>
      <c r="W427">
        <v>2</v>
      </c>
      <c r="X427">
        <v>320357</v>
      </c>
      <c r="Y427" t="s">
        <v>4521</v>
      </c>
      <c r="Z427" t="s">
        <v>4518</v>
      </c>
      <c r="AA427" t="s">
        <v>1853</v>
      </c>
      <c r="AB427" t="s">
        <v>45</v>
      </c>
      <c r="AC427" t="s">
        <v>4213</v>
      </c>
    </row>
    <row r="428" spans="1:29">
      <c r="A428" t="s">
        <v>2814</v>
      </c>
      <c r="B428" s="1">
        <v>113927</v>
      </c>
      <c r="C428" t="s">
        <v>3930</v>
      </c>
      <c r="D428" t="s">
        <v>4201</v>
      </c>
      <c r="E428" s="1">
        <v>-7374</v>
      </c>
      <c r="F428" t="s">
        <v>4522</v>
      </c>
      <c r="G428" t="s">
        <v>1214</v>
      </c>
      <c r="H428" t="s">
        <v>4523</v>
      </c>
      <c r="I428">
        <v>4</v>
      </c>
      <c r="J428" t="s">
        <v>841</v>
      </c>
      <c r="K428">
        <v>74</v>
      </c>
      <c r="L428" t="s">
        <v>4524</v>
      </c>
      <c r="M428" t="s">
        <v>4525</v>
      </c>
      <c r="N428" t="s">
        <v>4526</v>
      </c>
      <c r="O428" t="s">
        <v>4206</v>
      </c>
      <c r="P428" t="s">
        <v>4527</v>
      </c>
      <c r="Q428" t="s">
        <v>4528</v>
      </c>
      <c r="R428" t="s">
        <v>4529</v>
      </c>
      <c r="S428" s="2">
        <v>42503</v>
      </c>
      <c r="T428" t="s">
        <v>4530</v>
      </c>
      <c r="U428" t="s">
        <v>4531</v>
      </c>
      <c r="V428">
        <v>0</v>
      </c>
      <c r="W428">
        <v>11</v>
      </c>
      <c r="X428">
        <v>271640</v>
      </c>
      <c r="Y428" t="s">
        <v>4532</v>
      </c>
      <c r="Z428" t="s">
        <v>4528</v>
      </c>
      <c r="AA428" t="s">
        <v>1853</v>
      </c>
      <c r="AB428" t="s">
        <v>45</v>
      </c>
      <c r="AC428" t="s">
        <v>4213</v>
      </c>
    </row>
    <row r="429" spans="1:29">
      <c r="A429" t="s">
        <v>4533</v>
      </c>
      <c r="B429" s="1">
        <v>117965</v>
      </c>
      <c r="C429" t="s">
        <v>1085</v>
      </c>
      <c r="D429" t="s">
        <v>4201</v>
      </c>
      <c r="E429" t="s">
        <v>4534</v>
      </c>
      <c r="F429" t="s">
        <v>4241</v>
      </c>
      <c r="G429" t="s">
        <v>3930</v>
      </c>
      <c r="H429" t="s">
        <v>4535</v>
      </c>
      <c r="I429">
        <v>4</v>
      </c>
      <c r="J429" t="s">
        <v>4536</v>
      </c>
      <c r="K429">
        <v>74</v>
      </c>
      <c r="L429" t="s">
        <v>4537</v>
      </c>
      <c r="M429" t="s">
        <v>4538</v>
      </c>
      <c r="N429" t="s">
        <v>4539</v>
      </c>
      <c r="O429" t="s">
        <v>4206</v>
      </c>
      <c r="P429" t="s">
        <v>4540</v>
      </c>
      <c r="Q429" t="s">
        <v>4541</v>
      </c>
      <c r="R429" t="s">
        <v>4542</v>
      </c>
      <c r="S429" s="2">
        <v>43413</v>
      </c>
      <c r="T429">
        <v>0</v>
      </c>
      <c r="U429" t="s">
        <v>4543</v>
      </c>
      <c r="V429">
        <v>1</v>
      </c>
      <c r="W429">
        <v>1</v>
      </c>
      <c r="X429">
        <v>196613</v>
      </c>
      <c r="Y429" t="s">
        <v>903</v>
      </c>
      <c r="Z429" t="s">
        <v>4541</v>
      </c>
      <c r="AA429" t="s">
        <v>1853</v>
      </c>
      <c r="AB429" t="s">
        <v>45</v>
      </c>
      <c r="AC429" t="s">
        <v>4213</v>
      </c>
    </row>
    <row r="430" spans="1:29">
      <c r="A430" t="s">
        <v>4544</v>
      </c>
      <c r="B430" s="1">
        <v>126002</v>
      </c>
      <c r="C430" t="s">
        <v>3613</v>
      </c>
      <c r="D430" t="s">
        <v>4201</v>
      </c>
      <c r="E430" s="1">
        <v>-4225</v>
      </c>
      <c r="F430" t="s">
        <v>1619</v>
      </c>
      <c r="G430" t="s">
        <v>3339</v>
      </c>
      <c r="H430" t="s">
        <v>4545</v>
      </c>
      <c r="I430">
        <v>4</v>
      </c>
      <c r="J430" t="s">
        <v>4546</v>
      </c>
      <c r="K430">
        <v>74</v>
      </c>
      <c r="L430" t="s">
        <v>4547</v>
      </c>
      <c r="M430" t="s">
        <v>4548</v>
      </c>
      <c r="N430" t="s">
        <v>4549</v>
      </c>
      <c r="O430" t="s">
        <v>4206</v>
      </c>
      <c r="P430" t="s">
        <v>4550</v>
      </c>
      <c r="Q430" t="s">
        <v>4551</v>
      </c>
      <c r="R430" t="s">
        <v>4552</v>
      </c>
      <c r="S430" s="2">
        <v>44358</v>
      </c>
      <c r="T430" t="s">
        <v>4503</v>
      </c>
      <c r="U430" t="s">
        <v>4553</v>
      </c>
      <c r="V430">
        <v>0</v>
      </c>
      <c r="W430">
        <v>10</v>
      </c>
      <c r="X430">
        <v>158095</v>
      </c>
      <c r="Y430" t="s">
        <v>1357</v>
      </c>
      <c r="Z430" t="s">
        <v>4551</v>
      </c>
      <c r="AA430" t="s">
        <v>1853</v>
      </c>
      <c r="AB430" t="s">
        <v>45</v>
      </c>
      <c r="AC430" t="s">
        <v>4213</v>
      </c>
    </row>
    <row r="431" spans="1:29">
      <c r="A431" t="s">
        <v>1023</v>
      </c>
      <c r="B431" s="1">
        <v>126008</v>
      </c>
      <c r="C431" t="s">
        <v>1855</v>
      </c>
      <c r="D431" t="s">
        <v>4201</v>
      </c>
      <c r="E431" s="1">
        <v>-4119</v>
      </c>
      <c r="F431" t="s">
        <v>4554</v>
      </c>
      <c r="G431" t="s">
        <v>2664</v>
      </c>
      <c r="H431" t="s">
        <v>4555</v>
      </c>
      <c r="I431">
        <v>4</v>
      </c>
      <c r="J431" t="s">
        <v>542</v>
      </c>
      <c r="K431">
        <v>74</v>
      </c>
      <c r="L431" t="s">
        <v>4556</v>
      </c>
      <c r="M431" t="s">
        <v>4557</v>
      </c>
      <c r="N431" t="s">
        <v>4558</v>
      </c>
      <c r="O431" t="s">
        <v>4206</v>
      </c>
      <c r="P431" t="s">
        <v>4559</v>
      </c>
      <c r="Q431" t="s">
        <v>4560</v>
      </c>
      <c r="R431" t="s">
        <v>4561</v>
      </c>
      <c r="S431" s="2">
        <v>42160</v>
      </c>
      <c r="T431" t="s">
        <v>4562</v>
      </c>
      <c r="U431" t="s">
        <v>4563</v>
      </c>
      <c r="V431">
        <v>1</v>
      </c>
      <c r="W431">
        <v>1</v>
      </c>
      <c r="X431">
        <v>227074</v>
      </c>
      <c r="Y431" t="s">
        <v>4564</v>
      </c>
      <c r="Z431" t="s">
        <v>4560</v>
      </c>
      <c r="AA431" t="s">
        <v>1853</v>
      </c>
      <c r="AB431" t="s">
        <v>45</v>
      </c>
      <c r="AC431" t="s">
        <v>4213</v>
      </c>
    </row>
    <row r="432" spans="1:29">
      <c r="A432" t="s">
        <v>3888</v>
      </c>
      <c r="B432" s="1">
        <v>104879</v>
      </c>
      <c r="C432" t="s">
        <v>1431</v>
      </c>
      <c r="D432" t="s">
        <v>4201</v>
      </c>
      <c r="E432" s="1">
        <v>-5336</v>
      </c>
      <c r="F432" t="s">
        <v>4348</v>
      </c>
      <c r="G432" t="s">
        <v>4565</v>
      </c>
      <c r="H432" t="s">
        <v>4566</v>
      </c>
      <c r="I432">
        <v>4</v>
      </c>
      <c r="J432" t="s">
        <v>4567</v>
      </c>
      <c r="K432">
        <v>73</v>
      </c>
      <c r="L432" t="s">
        <v>4568</v>
      </c>
      <c r="M432" t="s">
        <v>4569</v>
      </c>
      <c r="N432" t="s">
        <v>4227</v>
      </c>
      <c r="O432" t="s">
        <v>4206</v>
      </c>
      <c r="P432" t="s">
        <v>4570</v>
      </c>
      <c r="Q432" t="s">
        <v>4571</v>
      </c>
      <c r="R432" t="s">
        <v>4572</v>
      </c>
      <c r="S432" s="2">
        <v>42587</v>
      </c>
      <c r="T432">
        <v>0</v>
      </c>
      <c r="U432" t="s">
        <v>4231</v>
      </c>
      <c r="V432">
        <v>1</v>
      </c>
      <c r="W432">
        <v>9</v>
      </c>
      <c r="X432">
        <v>220573</v>
      </c>
      <c r="Y432" t="s">
        <v>4573</v>
      </c>
      <c r="Z432" t="s">
        <v>4571</v>
      </c>
      <c r="AA432" t="s">
        <v>1853</v>
      </c>
      <c r="AB432" t="s">
        <v>45</v>
      </c>
      <c r="AC432" t="s">
        <v>4213</v>
      </c>
    </row>
    <row r="433" spans="1:29">
      <c r="A433" t="s">
        <v>4394</v>
      </c>
      <c r="B433" s="1">
        <v>128036</v>
      </c>
      <c r="C433" t="s">
        <v>3798</v>
      </c>
      <c r="D433" t="s">
        <v>4201</v>
      </c>
      <c r="E433" t="s">
        <v>4574</v>
      </c>
      <c r="F433" t="s">
        <v>2377</v>
      </c>
      <c r="G433" t="s">
        <v>4575</v>
      </c>
      <c r="H433" t="s">
        <v>4576</v>
      </c>
      <c r="I433">
        <v>4</v>
      </c>
      <c r="J433" t="s">
        <v>4577</v>
      </c>
      <c r="K433">
        <v>73</v>
      </c>
      <c r="L433" t="s">
        <v>4578</v>
      </c>
      <c r="M433" t="s">
        <v>4579</v>
      </c>
      <c r="N433" t="s">
        <v>4580</v>
      </c>
      <c r="O433" t="s">
        <v>4206</v>
      </c>
      <c r="P433" t="s">
        <v>4581</v>
      </c>
      <c r="Q433" t="s">
        <v>4582</v>
      </c>
      <c r="R433" t="s">
        <v>4583</v>
      </c>
      <c r="S433" s="2">
        <v>39575</v>
      </c>
      <c r="T433" t="s">
        <v>4584</v>
      </c>
      <c r="U433" t="s">
        <v>4585</v>
      </c>
      <c r="V433">
        <v>0</v>
      </c>
      <c r="W433">
        <v>7</v>
      </c>
      <c r="X433">
        <v>192294</v>
      </c>
      <c r="Y433" t="s">
        <v>4586</v>
      </c>
      <c r="Z433" t="s">
        <v>4582</v>
      </c>
      <c r="AA433" t="s">
        <v>1853</v>
      </c>
      <c r="AB433" t="s">
        <v>45</v>
      </c>
      <c r="AC433" t="s">
        <v>4213</v>
      </c>
    </row>
    <row r="434" spans="1:29">
      <c r="A434" t="s">
        <v>4376</v>
      </c>
      <c r="B434" s="1">
        <v>119975</v>
      </c>
      <c r="C434" t="s">
        <v>581</v>
      </c>
      <c r="D434" t="s">
        <v>4201</v>
      </c>
      <c r="E434" s="1">
        <v>-4145</v>
      </c>
      <c r="F434" t="s">
        <v>2002</v>
      </c>
      <c r="G434" t="s">
        <v>1607</v>
      </c>
      <c r="H434" t="s">
        <v>4587</v>
      </c>
      <c r="I434">
        <v>4</v>
      </c>
      <c r="J434" t="s">
        <v>1511</v>
      </c>
      <c r="K434">
        <v>73</v>
      </c>
      <c r="L434" t="s">
        <v>4588</v>
      </c>
      <c r="M434" t="s">
        <v>4589</v>
      </c>
      <c r="N434" t="s">
        <v>4590</v>
      </c>
      <c r="O434" t="s">
        <v>4206</v>
      </c>
      <c r="P434" t="s">
        <v>4591</v>
      </c>
      <c r="Q434" t="s">
        <v>4592</v>
      </c>
      <c r="R434" t="s">
        <v>4593</v>
      </c>
      <c r="S434" s="2">
        <v>42195</v>
      </c>
      <c r="T434">
        <v>0</v>
      </c>
      <c r="U434" t="s">
        <v>4594</v>
      </c>
      <c r="V434">
        <v>0</v>
      </c>
      <c r="W434">
        <v>4</v>
      </c>
      <c r="X434">
        <v>215360</v>
      </c>
      <c r="Y434" t="s">
        <v>4595</v>
      </c>
      <c r="Z434" t="s">
        <v>4592</v>
      </c>
      <c r="AA434" t="s">
        <v>1853</v>
      </c>
      <c r="AB434" t="s">
        <v>45</v>
      </c>
      <c r="AC434" t="s">
        <v>4213</v>
      </c>
    </row>
    <row r="435" spans="1:29">
      <c r="A435" t="s">
        <v>866</v>
      </c>
      <c r="B435" t="s">
        <v>4596</v>
      </c>
      <c r="C435" t="s">
        <v>1456</v>
      </c>
      <c r="D435" t="s">
        <v>4201</v>
      </c>
      <c r="E435" t="s">
        <v>4597</v>
      </c>
      <c r="F435" t="s">
        <v>4598</v>
      </c>
      <c r="G435" t="s">
        <v>4308</v>
      </c>
      <c r="H435" t="s">
        <v>4599</v>
      </c>
      <c r="I435">
        <v>4</v>
      </c>
      <c r="J435" t="s">
        <v>1857</v>
      </c>
      <c r="K435">
        <v>73</v>
      </c>
      <c r="L435" t="s">
        <v>4600</v>
      </c>
      <c r="M435" t="s">
        <v>4601</v>
      </c>
      <c r="N435" t="s">
        <v>4602</v>
      </c>
      <c r="O435" t="s">
        <v>4206</v>
      </c>
      <c r="P435" t="s">
        <v>4603</v>
      </c>
      <c r="Q435" t="s">
        <v>4604</v>
      </c>
      <c r="R435" t="s">
        <v>4602</v>
      </c>
      <c r="S435" s="2">
        <v>40909</v>
      </c>
      <c r="T435">
        <v>0</v>
      </c>
      <c r="U435" t="s">
        <v>4605</v>
      </c>
      <c r="V435">
        <v>1</v>
      </c>
      <c r="W435">
        <v>8</v>
      </c>
      <c r="X435">
        <v>271427</v>
      </c>
      <c r="Y435" t="s">
        <v>393</v>
      </c>
      <c r="Z435" t="s">
        <v>4604</v>
      </c>
      <c r="AA435" t="s">
        <v>1853</v>
      </c>
      <c r="AB435" t="s">
        <v>45</v>
      </c>
      <c r="AC435" t="s">
        <v>4213</v>
      </c>
    </row>
    <row r="436" spans="1:29">
      <c r="A436" t="s">
        <v>1085</v>
      </c>
      <c r="B436" s="1">
        <v>85979</v>
      </c>
      <c r="C436" t="s">
        <v>4291</v>
      </c>
      <c r="D436" t="s">
        <v>4201</v>
      </c>
      <c r="E436" s="1">
        <v>-4091</v>
      </c>
      <c r="F436" t="s">
        <v>4606</v>
      </c>
      <c r="G436" t="s">
        <v>2041</v>
      </c>
      <c r="H436" t="s">
        <v>4607</v>
      </c>
      <c r="I436">
        <v>4</v>
      </c>
      <c r="J436" t="s">
        <v>486</v>
      </c>
      <c r="K436">
        <v>73</v>
      </c>
      <c r="L436" t="s">
        <v>4608</v>
      </c>
      <c r="M436" t="s">
        <v>4609</v>
      </c>
      <c r="N436" t="s">
        <v>4610</v>
      </c>
      <c r="O436" t="s">
        <v>4206</v>
      </c>
      <c r="P436" t="s">
        <v>4611</v>
      </c>
      <c r="Q436" t="s">
        <v>4612</v>
      </c>
      <c r="R436" t="s">
        <v>4613</v>
      </c>
      <c r="S436" s="2">
        <v>41953</v>
      </c>
      <c r="T436">
        <v>0</v>
      </c>
      <c r="U436" t="s">
        <v>4614</v>
      </c>
      <c r="V436">
        <v>1</v>
      </c>
      <c r="W436">
        <v>9</v>
      </c>
      <c r="X436">
        <v>192560</v>
      </c>
      <c r="Y436" t="s">
        <v>4615</v>
      </c>
      <c r="Z436" t="s">
        <v>4612</v>
      </c>
      <c r="AA436" t="s">
        <v>1853</v>
      </c>
      <c r="AB436" t="s">
        <v>45</v>
      </c>
      <c r="AC436" t="s">
        <v>4213</v>
      </c>
    </row>
    <row r="437" spans="1:29">
      <c r="A437" t="s">
        <v>1655</v>
      </c>
      <c r="B437" s="1">
        <v>117973</v>
      </c>
      <c r="C437" t="s">
        <v>3545</v>
      </c>
      <c r="D437" t="s">
        <v>4201</v>
      </c>
      <c r="E437" t="s">
        <v>4616</v>
      </c>
      <c r="F437" t="s">
        <v>3847</v>
      </c>
      <c r="G437" t="s">
        <v>3292</v>
      </c>
      <c r="H437" t="s">
        <v>4617</v>
      </c>
      <c r="I437">
        <v>4</v>
      </c>
      <c r="J437" t="s">
        <v>1802</v>
      </c>
      <c r="K437">
        <v>73</v>
      </c>
      <c r="L437" t="s">
        <v>4618</v>
      </c>
      <c r="M437" t="s">
        <v>4619</v>
      </c>
      <c r="N437" t="s">
        <v>4620</v>
      </c>
      <c r="O437" t="s">
        <v>4206</v>
      </c>
      <c r="P437" t="s">
        <v>4621</v>
      </c>
      <c r="Q437" t="s">
        <v>4622</v>
      </c>
      <c r="R437" t="s">
        <v>4623</v>
      </c>
      <c r="S437" s="2">
        <v>43147</v>
      </c>
      <c r="T437" t="s">
        <v>4624</v>
      </c>
      <c r="U437" t="s">
        <v>4625</v>
      </c>
      <c r="V437">
        <v>0</v>
      </c>
      <c r="W437">
        <v>2</v>
      </c>
      <c r="X437">
        <v>186147</v>
      </c>
      <c r="Y437" t="s">
        <v>527</v>
      </c>
      <c r="Z437" t="s">
        <v>4622</v>
      </c>
      <c r="AA437" t="s">
        <v>1853</v>
      </c>
      <c r="AB437" t="s">
        <v>45</v>
      </c>
      <c r="AC437" t="s">
        <v>4213</v>
      </c>
    </row>
    <row r="438" spans="1:29">
      <c r="A438" t="s">
        <v>2611</v>
      </c>
      <c r="B438" s="1">
        <v>121999</v>
      </c>
      <c r="C438" t="s">
        <v>4626</v>
      </c>
      <c r="D438" t="s">
        <v>4201</v>
      </c>
      <c r="E438" s="1">
        <v>-7603</v>
      </c>
      <c r="F438" t="s">
        <v>2142</v>
      </c>
      <c r="G438" t="s">
        <v>434</v>
      </c>
      <c r="H438" t="s">
        <v>4627</v>
      </c>
      <c r="I438">
        <v>4</v>
      </c>
      <c r="J438" t="s">
        <v>4628</v>
      </c>
      <c r="K438">
        <v>73</v>
      </c>
      <c r="L438" t="s">
        <v>4629</v>
      </c>
      <c r="M438" t="s">
        <v>4630</v>
      </c>
      <c r="N438" t="s">
        <v>4631</v>
      </c>
      <c r="O438" t="s">
        <v>4206</v>
      </c>
      <c r="P438" t="s">
        <v>4632</v>
      </c>
      <c r="Q438" t="s">
        <v>4633</v>
      </c>
      <c r="R438" t="s">
        <v>4634</v>
      </c>
      <c r="S438" s="2">
        <v>42664</v>
      </c>
      <c r="T438" t="s">
        <v>665</v>
      </c>
      <c r="U438" t="s">
        <v>4635</v>
      </c>
      <c r="V438">
        <v>1</v>
      </c>
      <c r="W438">
        <v>11</v>
      </c>
      <c r="X438">
        <v>194840</v>
      </c>
      <c r="Y438" t="s">
        <v>4636</v>
      </c>
      <c r="Z438" t="s">
        <v>4633</v>
      </c>
      <c r="AA438" t="s">
        <v>1853</v>
      </c>
      <c r="AB438" t="s">
        <v>45</v>
      </c>
      <c r="AC438" t="s">
        <v>4213</v>
      </c>
    </row>
    <row r="439" spans="1:29">
      <c r="A439" t="s">
        <v>1098</v>
      </c>
      <c r="B439" t="s">
        <v>4637</v>
      </c>
      <c r="C439" t="s">
        <v>1163</v>
      </c>
      <c r="D439" t="s">
        <v>4201</v>
      </c>
      <c r="E439" s="1">
        <v>-7567</v>
      </c>
      <c r="F439" t="s">
        <v>4532</v>
      </c>
      <c r="G439" t="s">
        <v>2500</v>
      </c>
      <c r="H439" t="s">
        <v>4638</v>
      </c>
      <c r="I439">
        <v>4</v>
      </c>
      <c r="J439" t="s">
        <v>4639</v>
      </c>
      <c r="K439">
        <v>73</v>
      </c>
      <c r="L439" t="s">
        <v>4640</v>
      </c>
      <c r="M439" t="s">
        <v>4641</v>
      </c>
      <c r="N439" t="s">
        <v>4642</v>
      </c>
      <c r="O439" t="s">
        <v>4206</v>
      </c>
      <c r="P439" t="s">
        <v>4643</v>
      </c>
      <c r="Q439" t="s">
        <v>4644</v>
      </c>
      <c r="R439" t="s">
        <v>4642</v>
      </c>
      <c r="S439" s="2">
        <v>43795</v>
      </c>
      <c r="T439" t="s">
        <v>4645</v>
      </c>
      <c r="U439" t="s">
        <v>4646</v>
      </c>
      <c r="V439">
        <v>0</v>
      </c>
      <c r="W439">
        <v>11</v>
      </c>
      <c r="X439">
        <v>176547</v>
      </c>
      <c r="Y439" t="s">
        <v>4647</v>
      </c>
      <c r="Z439" t="s">
        <v>4644</v>
      </c>
      <c r="AA439" t="s">
        <v>1853</v>
      </c>
      <c r="AB439" t="s">
        <v>45</v>
      </c>
      <c r="AC439" t="s">
        <v>4213</v>
      </c>
    </row>
    <row r="440" spans="1:29">
      <c r="A440" t="s">
        <v>3867</v>
      </c>
      <c r="B440" s="1">
        <v>126052</v>
      </c>
      <c r="C440" t="s">
        <v>3633</v>
      </c>
      <c r="D440" t="s">
        <v>4201</v>
      </c>
      <c r="E440" s="1">
        <v>-5791</v>
      </c>
      <c r="F440" t="s">
        <v>1241</v>
      </c>
      <c r="G440" t="s">
        <v>437</v>
      </c>
      <c r="H440" t="s">
        <v>4648</v>
      </c>
      <c r="I440">
        <v>4</v>
      </c>
      <c r="J440" t="s">
        <v>4649</v>
      </c>
      <c r="K440">
        <v>72</v>
      </c>
      <c r="L440" t="s">
        <v>4650</v>
      </c>
      <c r="M440" t="s">
        <v>4651</v>
      </c>
      <c r="N440" t="s">
        <v>4652</v>
      </c>
      <c r="O440" t="s">
        <v>4206</v>
      </c>
      <c r="P440" t="s">
        <v>4653</v>
      </c>
      <c r="Q440" t="s">
        <v>4654</v>
      </c>
      <c r="R440" t="s">
        <v>4655</v>
      </c>
      <c r="S440" s="2">
        <v>41306</v>
      </c>
      <c r="T440" t="s">
        <v>4656</v>
      </c>
      <c r="U440" t="s">
        <v>4657</v>
      </c>
      <c r="V440">
        <v>0</v>
      </c>
      <c r="W440">
        <v>1</v>
      </c>
      <c r="X440">
        <v>214912</v>
      </c>
      <c r="Y440" t="s">
        <v>4658</v>
      </c>
      <c r="Z440" t="s">
        <v>4654</v>
      </c>
      <c r="AA440" t="s">
        <v>1853</v>
      </c>
      <c r="AB440" t="s">
        <v>45</v>
      </c>
      <c r="AC440" t="s">
        <v>4213</v>
      </c>
    </row>
    <row r="441" spans="1:29">
      <c r="A441" t="s">
        <v>866</v>
      </c>
      <c r="B441" s="1">
        <v>119977</v>
      </c>
      <c r="C441" t="s">
        <v>1631</v>
      </c>
      <c r="D441" t="s">
        <v>4201</v>
      </c>
      <c r="E441" s="1">
        <v>-3724</v>
      </c>
      <c r="F441" t="s">
        <v>1840</v>
      </c>
      <c r="G441" t="s">
        <v>891</v>
      </c>
      <c r="H441" t="s">
        <v>4659</v>
      </c>
      <c r="I441">
        <v>4</v>
      </c>
      <c r="J441" t="s">
        <v>4660</v>
      </c>
      <c r="K441">
        <v>72</v>
      </c>
      <c r="L441" t="s">
        <v>4661</v>
      </c>
      <c r="M441" t="s">
        <v>4662</v>
      </c>
      <c r="N441" t="s">
        <v>4663</v>
      </c>
      <c r="O441" t="s">
        <v>4206</v>
      </c>
      <c r="P441" t="s">
        <v>4664</v>
      </c>
      <c r="Q441" t="s">
        <v>4665</v>
      </c>
      <c r="R441" t="s">
        <v>4666</v>
      </c>
      <c r="S441" s="2">
        <v>40179</v>
      </c>
      <c r="T441">
        <v>0</v>
      </c>
      <c r="U441" t="s">
        <v>4667</v>
      </c>
      <c r="V441">
        <v>1</v>
      </c>
      <c r="W441">
        <v>4</v>
      </c>
      <c r="X441">
        <v>202613</v>
      </c>
      <c r="Y441" t="s">
        <v>712</v>
      </c>
      <c r="Z441" t="s">
        <v>4665</v>
      </c>
      <c r="AA441" t="s">
        <v>1853</v>
      </c>
      <c r="AB441" t="s">
        <v>45</v>
      </c>
      <c r="AC441" t="s">
        <v>4213</v>
      </c>
    </row>
    <row r="442" spans="1:29">
      <c r="A442" t="s">
        <v>188</v>
      </c>
      <c r="B442" t="s">
        <v>4668</v>
      </c>
      <c r="C442" t="s">
        <v>2118</v>
      </c>
      <c r="D442" t="s">
        <v>4201</v>
      </c>
      <c r="E442" s="1">
        <v>-6735</v>
      </c>
      <c r="F442" t="s">
        <v>655</v>
      </c>
      <c r="G442" t="s">
        <v>513</v>
      </c>
      <c r="H442" t="s">
        <v>4669</v>
      </c>
      <c r="I442">
        <v>4</v>
      </c>
      <c r="J442" t="s">
        <v>4670</v>
      </c>
      <c r="K442">
        <v>72</v>
      </c>
      <c r="L442" t="s">
        <v>4671</v>
      </c>
      <c r="M442" t="s">
        <v>4672</v>
      </c>
      <c r="N442" t="s">
        <v>4673</v>
      </c>
      <c r="O442" t="s">
        <v>4206</v>
      </c>
      <c r="P442" t="s">
        <v>4674</v>
      </c>
      <c r="Q442" t="s">
        <v>4675</v>
      </c>
      <c r="R442" t="s">
        <v>4676</v>
      </c>
      <c r="S442" s="2">
        <v>41792</v>
      </c>
      <c r="T442" t="s">
        <v>4677</v>
      </c>
      <c r="U442" t="s">
        <v>4678</v>
      </c>
      <c r="V442">
        <v>1</v>
      </c>
      <c r="W442">
        <v>11</v>
      </c>
      <c r="X442">
        <v>227833</v>
      </c>
      <c r="Y442" t="s">
        <v>3291</v>
      </c>
      <c r="Z442" t="s">
        <v>4675</v>
      </c>
      <c r="AA442" t="s">
        <v>1853</v>
      </c>
      <c r="AB442" t="s">
        <v>45</v>
      </c>
      <c r="AC442" t="s">
        <v>4213</v>
      </c>
    </row>
    <row r="443" spans="1:29">
      <c r="A443" t="s">
        <v>1121</v>
      </c>
      <c r="B443" s="1">
        <v>122031</v>
      </c>
      <c r="C443" t="s">
        <v>786</v>
      </c>
      <c r="D443" t="s">
        <v>4201</v>
      </c>
      <c r="E443" s="1">
        <v>-5652</v>
      </c>
      <c r="F443" t="s">
        <v>715</v>
      </c>
      <c r="G443" t="s">
        <v>308</v>
      </c>
      <c r="H443" t="s">
        <v>4679</v>
      </c>
      <c r="I443">
        <v>4</v>
      </c>
      <c r="J443" t="s">
        <v>4680</v>
      </c>
      <c r="K443">
        <v>72</v>
      </c>
      <c r="L443" t="s">
        <v>4681</v>
      </c>
      <c r="M443" t="s">
        <v>4682</v>
      </c>
      <c r="N443" t="s">
        <v>4683</v>
      </c>
      <c r="O443" t="s">
        <v>4206</v>
      </c>
      <c r="P443" t="s">
        <v>4684</v>
      </c>
      <c r="Q443" t="s">
        <v>4685</v>
      </c>
      <c r="R443" t="s">
        <v>4683</v>
      </c>
      <c r="S443" s="2">
        <v>43818</v>
      </c>
      <c r="T443">
        <v>0</v>
      </c>
      <c r="U443" t="s">
        <v>4686</v>
      </c>
      <c r="V443">
        <v>0</v>
      </c>
      <c r="W443">
        <v>8</v>
      </c>
      <c r="X443">
        <v>166794</v>
      </c>
      <c r="Y443" t="s">
        <v>3153</v>
      </c>
      <c r="Z443" t="s">
        <v>4685</v>
      </c>
      <c r="AA443" t="s">
        <v>1853</v>
      </c>
      <c r="AB443" t="s">
        <v>45</v>
      </c>
      <c r="AC443" t="s">
        <v>4213</v>
      </c>
    </row>
    <row r="444" spans="1:29">
      <c r="A444" t="s">
        <v>391</v>
      </c>
      <c r="B444" s="1">
        <v>120031</v>
      </c>
      <c r="C444" t="s">
        <v>3657</v>
      </c>
      <c r="D444" t="s">
        <v>4201</v>
      </c>
      <c r="E444" s="1">
        <v>-7079</v>
      </c>
      <c r="F444" t="s">
        <v>757</v>
      </c>
      <c r="G444" t="s">
        <v>2949</v>
      </c>
      <c r="H444" t="s">
        <v>4687</v>
      </c>
      <c r="I444">
        <v>4</v>
      </c>
      <c r="J444" t="s">
        <v>2402</v>
      </c>
      <c r="K444">
        <v>72</v>
      </c>
      <c r="L444" t="s">
        <v>4688</v>
      </c>
      <c r="M444" t="s">
        <v>4689</v>
      </c>
      <c r="N444" t="s">
        <v>4690</v>
      </c>
      <c r="O444" t="s">
        <v>4206</v>
      </c>
      <c r="P444" t="s">
        <v>4691</v>
      </c>
      <c r="Q444" t="s">
        <v>4692</v>
      </c>
      <c r="R444" t="s">
        <v>4690</v>
      </c>
      <c r="S444" s="2">
        <v>44090</v>
      </c>
      <c r="T444" t="s">
        <v>4693</v>
      </c>
      <c r="U444" t="s">
        <v>4694</v>
      </c>
      <c r="V444">
        <v>0</v>
      </c>
      <c r="W444">
        <v>8</v>
      </c>
      <c r="X444">
        <v>164000</v>
      </c>
      <c r="Y444" t="s">
        <v>4281</v>
      </c>
      <c r="Z444" t="s">
        <v>4692</v>
      </c>
      <c r="AA444" t="s">
        <v>1853</v>
      </c>
      <c r="AB444" t="s">
        <v>45</v>
      </c>
      <c r="AC444" t="s">
        <v>4213</v>
      </c>
    </row>
    <row r="445" spans="1:29">
      <c r="A445" t="s">
        <v>1267</v>
      </c>
      <c r="B445" t="s">
        <v>4695</v>
      </c>
      <c r="C445" t="s">
        <v>322</v>
      </c>
      <c r="D445" t="s">
        <v>4201</v>
      </c>
      <c r="E445" s="1">
        <v>-5025</v>
      </c>
      <c r="F445" t="s">
        <v>255</v>
      </c>
      <c r="G445" t="s">
        <v>2803</v>
      </c>
      <c r="H445" t="s">
        <v>4696</v>
      </c>
      <c r="I445">
        <v>4</v>
      </c>
      <c r="J445" t="s">
        <v>4697</v>
      </c>
      <c r="K445">
        <v>73</v>
      </c>
      <c r="L445" t="s">
        <v>4698</v>
      </c>
      <c r="M445" t="s">
        <v>4699</v>
      </c>
      <c r="N445" t="s">
        <v>4700</v>
      </c>
      <c r="O445" t="s">
        <v>4206</v>
      </c>
      <c r="P445" t="s">
        <v>4701</v>
      </c>
      <c r="Q445" t="s">
        <v>4702</v>
      </c>
      <c r="R445" t="s">
        <v>4700</v>
      </c>
      <c r="S445" s="2">
        <v>42789</v>
      </c>
      <c r="T445">
        <v>0</v>
      </c>
      <c r="U445" t="s">
        <v>4703</v>
      </c>
      <c r="V445">
        <v>0</v>
      </c>
      <c r="W445">
        <v>5</v>
      </c>
      <c r="X445">
        <v>210091</v>
      </c>
      <c r="Y445" t="s">
        <v>2220</v>
      </c>
      <c r="Z445" t="s">
        <v>4702</v>
      </c>
      <c r="AA445" t="s">
        <v>1853</v>
      </c>
      <c r="AB445" t="s">
        <v>45</v>
      </c>
      <c r="AC445" t="s">
        <v>4213</v>
      </c>
    </row>
    <row r="446" spans="1:29">
      <c r="A446" t="s">
        <v>4346</v>
      </c>
      <c r="B446" s="1">
        <v>130011</v>
      </c>
      <c r="C446" t="s">
        <v>3312</v>
      </c>
      <c r="D446" t="s">
        <v>4201</v>
      </c>
      <c r="E446" s="1">
        <v>-4168</v>
      </c>
      <c r="F446" t="s">
        <v>972</v>
      </c>
      <c r="G446" t="s">
        <v>93</v>
      </c>
      <c r="H446" t="s">
        <v>4704</v>
      </c>
      <c r="I446">
        <v>4</v>
      </c>
      <c r="J446" t="s">
        <v>1937</v>
      </c>
      <c r="K446">
        <v>72</v>
      </c>
      <c r="L446" t="s">
        <v>4705</v>
      </c>
      <c r="M446" t="s">
        <v>4706</v>
      </c>
      <c r="N446" t="s">
        <v>4707</v>
      </c>
      <c r="O446" t="s">
        <v>4206</v>
      </c>
      <c r="P446" t="s">
        <v>4708</v>
      </c>
      <c r="Q446" t="s">
        <v>4709</v>
      </c>
      <c r="R446" t="s">
        <v>4710</v>
      </c>
      <c r="S446" s="2">
        <v>40544</v>
      </c>
      <c r="T446">
        <v>0</v>
      </c>
      <c r="U446" t="s">
        <v>4711</v>
      </c>
      <c r="V446">
        <v>0</v>
      </c>
      <c r="W446">
        <v>5</v>
      </c>
      <c r="X446">
        <v>262147</v>
      </c>
      <c r="Y446" t="s">
        <v>3041</v>
      </c>
      <c r="Z446" t="s">
        <v>4709</v>
      </c>
      <c r="AA446" t="s">
        <v>1853</v>
      </c>
      <c r="AB446" t="s">
        <v>45</v>
      </c>
      <c r="AC446" t="s">
        <v>4213</v>
      </c>
    </row>
    <row r="447" spans="1:29">
      <c r="A447" t="s">
        <v>1865</v>
      </c>
      <c r="B447" s="1">
        <v>100001</v>
      </c>
      <c r="C447" t="s">
        <v>2683</v>
      </c>
      <c r="D447" t="s">
        <v>4201</v>
      </c>
      <c r="E447" s="1">
        <v>-7055</v>
      </c>
      <c r="F447" t="s">
        <v>4712</v>
      </c>
      <c r="G447" t="s">
        <v>349</v>
      </c>
      <c r="H447" t="s">
        <v>4713</v>
      </c>
      <c r="I447">
        <v>4</v>
      </c>
      <c r="J447" t="s">
        <v>4714</v>
      </c>
      <c r="K447">
        <v>71</v>
      </c>
      <c r="L447" t="s">
        <v>4715</v>
      </c>
      <c r="M447" t="s">
        <v>4716</v>
      </c>
      <c r="N447" t="s">
        <v>4717</v>
      </c>
      <c r="O447" t="s">
        <v>4206</v>
      </c>
      <c r="P447" t="s">
        <v>4718</v>
      </c>
      <c r="Q447" t="s">
        <v>4719</v>
      </c>
      <c r="R447" t="s">
        <v>4717</v>
      </c>
      <c r="S447" s="2">
        <v>42171</v>
      </c>
      <c r="T447" t="s">
        <v>4720</v>
      </c>
      <c r="U447" t="s">
        <v>4721</v>
      </c>
      <c r="V447">
        <v>1</v>
      </c>
      <c r="W447">
        <v>4</v>
      </c>
      <c r="X447">
        <v>226739</v>
      </c>
      <c r="Y447" t="s">
        <v>4722</v>
      </c>
      <c r="Z447" t="s">
        <v>4719</v>
      </c>
      <c r="AA447" t="s">
        <v>1853</v>
      </c>
      <c r="AB447" t="s">
        <v>45</v>
      </c>
      <c r="AC447" t="s">
        <v>4213</v>
      </c>
    </row>
    <row r="448" spans="1:29">
      <c r="A448" t="s">
        <v>4723</v>
      </c>
      <c r="B448" s="1">
        <v>125916</v>
      </c>
      <c r="C448" t="s">
        <v>605</v>
      </c>
      <c r="D448" t="s">
        <v>4201</v>
      </c>
      <c r="E448" s="1">
        <v>-2671</v>
      </c>
      <c r="F448" t="s">
        <v>1599</v>
      </c>
      <c r="G448" t="s">
        <v>727</v>
      </c>
      <c r="H448" t="s">
        <v>4724</v>
      </c>
      <c r="I448">
        <v>4</v>
      </c>
      <c r="J448" t="s">
        <v>267</v>
      </c>
      <c r="K448">
        <v>71</v>
      </c>
      <c r="L448" t="s">
        <v>4725</v>
      </c>
      <c r="M448" t="s">
        <v>4726</v>
      </c>
      <c r="N448" t="s">
        <v>4727</v>
      </c>
      <c r="O448" t="s">
        <v>4206</v>
      </c>
      <c r="P448" t="s">
        <v>4728</v>
      </c>
      <c r="Q448" t="s">
        <v>4729</v>
      </c>
      <c r="R448" t="s">
        <v>4730</v>
      </c>
      <c r="S448" s="2">
        <v>41513</v>
      </c>
      <c r="T448" t="s">
        <v>4731</v>
      </c>
      <c r="U448" t="s">
        <v>4732</v>
      </c>
      <c r="V448">
        <v>1</v>
      </c>
      <c r="W448">
        <v>8</v>
      </c>
      <c r="X448">
        <v>157153</v>
      </c>
      <c r="Y448" t="s">
        <v>4733</v>
      </c>
      <c r="Z448" t="s">
        <v>4729</v>
      </c>
      <c r="AA448" t="s">
        <v>1853</v>
      </c>
      <c r="AB448" t="s">
        <v>45</v>
      </c>
      <c r="AC448" t="s">
        <v>4213</v>
      </c>
    </row>
    <row r="449" spans="1:29">
      <c r="A449" t="s">
        <v>4734</v>
      </c>
      <c r="B449" s="1">
        <v>130072</v>
      </c>
      <c r="C449" t="s">
        <v>447</v>
      </c>
      <c r="D449" t="s">
        <v>4201</v>
      </c>
      <c r="E449" s="1">
        <v>-1702</v>
      </c>
      <c r="F449" t="s">
        <v>1062</v>
      </c>
      <c r="G449" t="s">
        <v>4735</v>
      </c>
      <c r="H449" t="s">
        <v>4736</v>
      </c>
      <c r="I449">
        <v>4</v>
      </c>
      <c r="J449" t="s">
        <v>4737</v>
      </c>
      <c r="K449">
        <v>71</v>
      </c>
      <c r="L449" t="s">
        <v>4738</v>
      </c>
      <c r="M449" t="s">
        <v>4739</v>
      </c>
      <c r="N449" t="s">
        <v>4320</v>
      </c>
      <c r="O449" t="s">
        <v>4206</v>
      </c>
      <c r="P449" t="s">
        <v>4740</v>
      </c>
      <c r="Q449" t="s">
        <v>4741</v>
      </c>
      <c r="R449" t="s">
        <v>4742</v>
      </c>
      <c r="S449" s="2">
        <v>41250</v>
      </c>
      <c r="T449">
        <v>0</v>
      </c>
      <c r="U449" t="s">
        <v>4324</v>
      </c>
      <c r="V449">
        <v>0</v>
      </c>
      <c r="W449">
        <v>8</v>
      </c>
      <c r="X449">
        <v>201000</v>
      </c>
      <c r="Y449" t="s">
        <v>1238</v>
      </c>
      <c r="Z449" t="s">
        <v>4741</v>
      </c>
      <c r="AA449" t="s">
        <v>1853</v>
      </c>
      <c r="AB449" t="s">
        <v>45</v>
      </c>
      <c r="AC449" t="s">
        <v>4213</v>
      </c>
    </row>
    <row r="450" spans="1:29">
      <c r="A450" t="s">
        <v>770</v>
      </c>
      <c r="B450" s="1">
        <v>121294</v>
      </c>
      <c r="C450" t="s">
        <v>4743</v>
      </c>
      <c r="D450" t="s">
        <v>4201</v>
      </c>
      <c r="E450" s="1">
        <v>-5311</v>
      </c>
      <c r="F450" t="s">
        <v>4744</v>
      </c>
      <c r="G450" t="s">
        <v>121</v>
      </c>
      <c r="H450" t="s">
        <v>4513</v>
      </c>
      <c r="I450">
        <v>4</v>
      </c>
      <c r="J450" t="s">
        <v>1442</v>
      </c>
      <c r="K450">
        <v>71</v>
      </c>
      <c r="L450" t="s">
        <v>4745</v>
      </c>
      <c r="M450" t="s">
        <v>4746</v>
      </c>
      <c r="N450" t="s">
        <v>4747</v>
      </c>
      <c r="O450" t="s">
        <v>4206</v>
      </c>
      <c r="P450" t="s">
        <v>4748</v>
      </c>
      <c r="Q450" t="s">
        <v>4749</v>
      </c>
      <c r="R450" t="s">
        <v>4750</v>
      </c>
      <c r="S450" s="2">
        <v>35447</v>
      </c>
      <c r="T450" t="s">
        <v>2801</v>
      </c>
      <c r="U450" t="s">
        <v>4751</v>
      </c>
      <c r="V450">
        <v>1</v>
      </c>
      <c r="W450">
        <v>7</v>
      </c>
      <c r="X450">
        <v>429533</v>
      </c>
      <c r="Y450" t="s">
        <v>4752</v>
      </c>
      <c r="Z450" t="s">
        <v>4749</v>
      </c>
      <c r="AA450" t="s">
        <v>1853</v>
      </c>
      <c r="AB450" t="s">
        <v>45</v>
      </c>
      <c r="AC450" t="s">
        <v>4213</v>
      </c>
    </row>
    <row r="451" spans="1:29">
      <c r="A451" t="s">
        <v>347</v>
      </c>
      <c r="B451" s="1">
        <v>129885</v>
      </c>
      <c r="C451" t="s">
        <v>1049</v>
      </c>
      <c r="D451" t="s">
        <v>4201</v>
      </c>
      <c r="E451" s="1">
        <v>-5217</v>
      </c>
      <c r="F451" t="s">
        <v>4753</v>
      </c>
      <c r="G451" t="s">
        <v>2929</v>
      </c>
      <c r="H451" t="s">
        <v>4754</v>
      </c>
      <c r="I451">
        <v>5</v>
      </c>
      <c r="J451" t="s">
        <v>4104</v>
      </c>
      <c r="K451">
        <v>70</v>
      </c>
      <c r="L451" t="s">
        <v>4755</v>
      </c>
      <c r="M451" t="s">
        <v>4756</v>
      </c>
      <c r="N451" t="s">
        <v>4757</v>
      </c>
      <c r="O451" t="s">
        <v>4206</v>
      </c>
      <c r="P451" t="s">
        <v>4758</v>
      </c>
      <c r="Q451" t="s">
        <v>4759</v>
      </c>
      <c r="R451" t="s">
        <v>4760</v>
      </c>
      <c r="S451" s="2">
        <v>41397</v>
      </c>
      <c r="T451" t="s">
        <v>4761</v>
      </c>
      <c r="U451" t="s">
        <v>4762</v>
      </c>
      <c r="V451">
        <v>1</v>
      </c>
      <c r="W451">
        <v>8</v>
      </c>
      <c r="X451">
        <v>204360</v>
      </c>
      <c r="Y451" t="s">
        <v>3932</v>
      </c>
      <c r="Z451" t="s">
        <v>4759</v>
      </c>
      <c r="AA451" t="s">
        <v>1853</v>
      </c>
      <c r="AB451" t="s">
        <v>45</v>
      </c>
      <c r="AC451" t="s">
        <v>4213</v>
      </c>
    </row>
    <row r="452" spans="1:29">
      <c r="A452" t="s">
        <v>4763</v>
      </c>
      <c r="B452" s="1">
        <v>128078</v>
      </c>
      <c r="C452" t="s">
        <v>1384</v>
      </c>
      <c r="D452" t="s">
        <v>4201</v>
      </c>
      <c r="E452" s="1">
        <v>-5414</v>
      </c>
      <c r="F452" t="s">
        <v>437</v>
      </c>
      <c r="G452" t="s">
        <v>1574</v>
      </c>
      <c r="H452" t="s">
        <v>4764</v>
      </c>
      <c r="I452">
        <v>4</v>
      </c>
      <c r="J452" t="s">
        <v>2949</v>
      </c>
      <c r="K452">
        <v>70</v>
      </c>
      <c r="L452" t="s">
        <v>4765</v>
      </c>
      <c r="M452" t="s">
        <v>4766</v>
      </c>
      <c r="N452" t="s">
        <v>4767</v>
      </c>
      <c r="O452" t="s">
        <v>4206</v>
      </c>
      <c r="P452" t="s">
        <v>4768</v>
      </c>
      <c r="Q452" t="s">
        <v>4769</v>
      </c>
      <c r="R452" t="s">
        <v>4767</v>
      </c>
      <c r="S452" s="2">
        <v>41859</v>
      </c>
      <c r="T452" t="s">
        <v>1904</v>
      </c>
      <c r="U452" t="s">
        <v>4770</v>
      </c>
      <c r="V452">
        <v>1</v>
      </c>
      <c r="W452">
        <v>0</v>
      </c>
      <c r="X452">
        <v>166849</v>
      </c>
      <c r="Y452" t="s">
        <v>435</v>
      </c>
      <c r="Z452" t="s">
        <v>4769</v>
      </c>
      <c r="AA452" t="s">
        <v>1853</v>
      </c>
      <c r="AB452" t="s">
        <v>45</v>
      </c>
      <c r="AC452" t="s">
        <v>4213</v>
      </c>
    </row>
    <row r="453" spans="1:29">
      <c r="A453" t="s">
        <v>1501</v>
      </c>
      <c r="B453" s="1">
        <v>125896</v>
      </c>
      <c r="C453" t="s">
        <v>2886</v>
      </c>
      <c r="D453" t="s">
        <v>4201</v>
      </c>
      <c r="E453" s="1">
        <v>-4124</v>
      </c>
      <c r="F453" t="s">
        <v>349</v>
      </c>
      <c r="G453" t="s">
        <v>997</v>
      </c>
      <c r="H453" t="s">
        <v>4771</v>
      </c>
      <c r="I453">
        <v>4</v>
      </c>
      <c r="J453" t="s">
        <v>4772</v>
      </c>
      <c r="K453">
        <v>70</v>
      </c>
      <c r="L453" t="s">
        <v>4773</v>
      </c>
      <c r="M453" t="s">
        <v>4774</v>
      </c>
      <c r="N453" t="s">
        <v>4775</v>
      </c>
      <c r="O453" t="s">
        <v>4206</v>
      </c>
      <c r="P453" t="s">
        <v>4776</v>
      </c>
      <c r="Q453" t="s">
        <v>4777</v>
      </c>
      <c r="R453" t="s">
        <v>4778</v>
      </c>
      <c r="S453" s="2">
        <v>42146</v>
      </c>
      <c r="T453">
        <v>0</v>
      </c>
      <c r="U453" t="s">
        <v>4779</v>
      </c>
      <c r="V453">
        <v>1</v>
      </c>
      <c r="W453">
        <v>5</v>
      </c>
      <c r="X453">
        <v>210013</v>
      </c>
      <c r="Y453" t="s">
        <v>4780</v>
      </c>
      <c r="Z453" t="s">
        <v>4777</v>
      </c>
      <c r="AA453" t="s">
        <v>1853</v>
      </c>
      <c r="AB453" t="s">
        <v>45</v>
      </c>
      <c r="AC453" t="s">
        <v>4213</v>
      </c>
    </row>
    <row r="454" spans="1:29">
      <c r="A454" t="s">
        <v>2571</v>
      </c>
      <c r="B454" s="1">
        <v>75066</v>
      </c>
      <c r="C454" t="s">
        <v>4781</v>
      </c>
      <c r="D454" t="s">
        <v>4201</v>
      </c>
      <c r="E454" s="1">
        <v>-6869</v>
      </c>
      <c r="F454" t="s">
        <v>956</v>
      </c>
      <c r="G454" t="s">
        <v>96</v>
      </c>
      <c r="H454" t="s">
        <v>4782</v>
      </c>
      <c r="I454">
        <v>4</v>
      </c>
      <c r="J454" t="s">
        <v>4783</v>
      </c>
      <c r="K454">
        <v>70</v>
      </c>
      <c r="L454" t="s">
        <v>4784</v>
      </c>
      <c r="M454" t="s">
        <v>4785</v>
      </c>
      <c r="N454" t="s">
        <v>4786</v>
      </c>
      <c r="O454" t="s">
        <v>4206</v>
      </c>
      <c r="P454" t="s">
        <v>4787</v>
      </c>
      <c r="Q454" t="s">
        <v>4788</v>
      </c>
      <c r="R454" t="s">
        <v>4789</v>
      </c>
      <c r="S454" s="2">
        <v>41428</v>
      </c>
      <c r="T454" t="s">
        <v>4790</v>
      </c>
      <c r="U454" t="s">
        <v>4791</v>
      </c>
      <c r="V454">
        <v>0</v>
      </c>
      <c r="W454">
        <v>10</v>
      </c>
      <c r="X454">
        <v>282813</v>
      </c>
      <c r="Y454" t="s">
        <v>4004</v>
      </c>
      <c r="Z454" t="s">
        <v>4788</v>
      </c>
      <c r="AA454" t="s">
        <v>1853</v>
      </c>
      <c r="AB454" t="s">
        <v>45</v>
      </c>
      <c r="AC454" t="s">
        <v>4213</v>
      </c>
    </row>
    <row r="455" spans="1:29">
      <c r="A455" t="s">
        <v>215</v>
      </c>
      <c r="B455" t="s">
        <v>514</v>
      </c>
      <c r="C455" t="s">
        <v>118</v>
      </c>
      <c r="D455" t="s">
        <v>4792</v>
      </c>
      <c r="E455" s="1">
        <v>-4409</v>
      </c>
      <c r="F455" t="s">
        <v>189</v>
      </c>
      <c r="G455" t="s">
        <v>515</v>
      </c>
      <c r="H455" t="s">
        <v>516</v>
      </c>
      <c r="I455">
        <v>3</v>
      </c>
      <c r="J455" t="s">
        <v>517</v>
      </c>
      <c r="K455">
        <v>81</v>
      </c>
      <c r="L455" t="s">
        <v>4793</v>
      </c>
      <c r="M455" t="s">
        <v>4794</v>
      </c>
      <c r="N455" t="s">
        <v>523</v>
      </c>
      <c r="O455" t="s">
        <v>4795</v>
      </c>
      <c r="P455" t="s">
        <v>4796</v>
      </c>
      <c r="Q455" t="s">
        <v>4797</v>
      </c>
      <c r="R455" t="s">
        <v>523</v>
      </c>
      <c r="S455" s="2">
        <v>45100</v>
      </c>
      <c r="T455" t="s">
        <v>524</v>
      </c>
      <c r="U455" t="s">
        <v>4798</v>
      </c>
      <c r="V455">
        <v>1</v>
      </c>
      <c r="W455">
        <v>9</v>
      </c>
      <c r="X455">
        <v>210689</v>
      </c>
      <c r="Y455" t="s">
        <v>526</v>
      </c>
      <c r="Z455" t="s">
        <v>4797</v>
      </c>
      <c r="AA455" t="s">
        <v>682</v>
      </c>
      <c r="AB455" t="s">
        <v>45</v>
      </c>
      <c r="AC455" t="s">
        <v>4799</v>
      </c>
    </row>
    <row r="456" spans="1:29">
      <c r="A456" t="s">
        <v>4485</v>
      </c>
      <c r="B456" t="s">
        <v>4800</v>
      </c>
      <c r="C456" t="s">
        <v>3670</v>
      </c>
      <c r="D456" t="s">
        <v>4792</v>
      </c>
      <c r="E456" s="1">
        <v>-8122</v>
      </c>
      <c r="F456" t="s">
        <v>1596</v>
      </c>
      <c r="G456" t="s">
        <v>1762</v>
      </c>
      <c r="H456" t="s">
        <v>4801</v>
      </c>
      <c r="I456">
        <v>4</v>
      </c>
      <c r="J456" t="s">
        <v>1061</v>
      </c>
      <c r="K456">
        <v>70</v>
      </c>
      <c r="L456" t="s">
        <v>4802</v>
      </c>
      <c r="M456" t="s">
        <v>4803</v>
      </c>
      <c r="N456" t="s">
        <v>4804</v>
      </c>
      <c r="O456" t="s">
        <v>4795</v>
      </c>
      <c r="P456" t="s">
        <v>4805</v>
      </c>
      <c r="Q456" t="s">
        <v>4806</v>
      </c>
      <c r="R456" t="s">
        <v>4807</v>
      </c>
      <c r="S456" s="2">
        <v>45023</v>
      </c>
      <c r="T456" t="s">
        <v>4808</v>
      </c>
      <c r="U456" t="s">
        <v>4809</v>
      </c>
      <c r="V456">
        <v>0</v>
      </c>
      <c r="W456">
        <v>7</v>
      </c>
      <c r="X456">
        <v>216524</v>
      </c>
      <c r="Y456" t="s">
        <v>422</v>
      </c>
      <c r="Z456" t="s">
        <v>4806</v>
      </c>
      <c r="AA456" t="s">
        <v>682</v>
      </c>
      <c r="AB456" t="s">
        <v>45</v>
      </c>
      <c r="AC456" t="s">
        <v>4799</v>
      </c>
    </row>
    <row r="457" spans="1:29">
      <c r="A457" t="s">
        <v>29</v>
      </c>
      <c r="B457" s="1">
        <v>157969</v>
      </c>
      <c r="C457" t="s">
        <v>30</v>
      </c>
      <c r="D457" t="s">
        <v>4810</v>
      </c>
      <c r="E457" s="1">
        <v>-7777</v>
      </c>
      <c r="F457" t="s">
        <v>32</v>
      </c>
      <c r="G457" t="s">
        <v>33</v>
      </c>
      <c r="H457" t="s">
        <v>34</v>
      </c>
      <c r="I457">
        <v>3</v>
      </c>
      <c r="J457" t="s">
        <v>35</v>
      </c>
      <c r="K457">
        <v>100</v>
      </c>
      <c r="L457" t="s">
        <v>36</v>
      </c>
      <c r="M457" t="s">
        <v>37</v>
      </c>
      <c r="N457" t="s">
        <v>38</v>
      </c>
      <c r="O457" t="s">
        <v>4811</v>
      </c>
      <c r="P457" t="s">
        <v>40</v>
      </c>
      <c r="Q457" t="s">
        <v>41</v>
      </c>
      <c r="R457" t="s">
        <v>38</v>
      </c>
      <c r="S457" s="2">
        <v>45520</v>
      </c>
      <c r="T457">
        <v>0</v>
      </c>
      <c r="U457" t="s">
        <v>42</v>
      </c>
      <c r="V457">
        <v>0</v>
      </c>
      <c r="W457">
        <v>6</v>
      </c>
      <c r="X457">
        <v>251668</v>
      </c>
      <c r="Y457" t="s">
        <v>43</v>
      </c>
      <c r="Z457" t="s">
        <v>41</v>
      </c>
      <c r="AA457" t="s">
        <v>1853</v>
      </c>
      <c r="AB457" t="s">
        <v>45</v>
      </c>
      <c r="AC457" t="s">
        <v>4812</v>
      </c>
    </row>
    <row r="458" spans="1:29">
      <c r="A458" t="s">
        <v>47</v>
      </c>
      <c r="B458" s="1">
        <v>104978</v>
      </c>
      <c r="C458" t="s">
        <v>48</v>
      </c>
      <c r="D458" t="s">
        <v>4810</v>
      </c>
      <c r="E458" s="1">
        <v>-10171</v>
      </c>
      <c r="F458" t="s">
        <v>49</v>
      </c>
      <c r="G458" t="s">
        <v>50</v>
      </c>
      <c r="H458" t="s">
        <v>51</v>
      </c>
      <c r="I458">
        <v>4</v>
      </c>
      <c r="J458" t="s">
        <v>52</v>
      </c>
      <c r="K458">
        <v>97</v>
      </c>
      <c r="L458" t="s">
        <v>53</v>
      </c>
      <c r="M458" t="s">
        <v>54</v>
      </c>
      <c r="N458" t="s">
        <v>55</v>
      </c>
      <c r="O458" t="s">
        <v>4811</v>
      </c>
      <c r="P458" t="s">
        <v>56</v>
      </c>
      <c r="Q458" t="s">
        <v>57</v>
      </c>
      <c r="R458" t="s">
        <v>58</v>
      </c>
      <c r="S458" s="2">
        <v>45429</v>
      </c>
      <c r="T458" t="s">
        <v>59</v>
      </c>
      <c r="U458" t="s">
        <v>60</v>
      </c>
      <c r="V458">
        <v>1</v>
      </c>
      <c r="W458">
        <v>2</v>
      </c>
      <c r="X458">
        <v>210373</v>
      </c>
      <c r="Y458" t="s">
        <v>61</v>
      </c>
      <c r="Z458" t="s">
        <v>57</v>
      </c>
      <c r="AA458" t="s">
        <v>1853</v>
      </c>
      <c r="AB458" t="s">
        <v>45</v>
      </c>
      <c r="AC458" t="s">
        <v>4812</v>
      </c>
    </row>
    <row r="459" spans="1:29">
      <c r="A459" t="s">
        <v>104</v>
      </c>
      <c r="B459" s="1">
        <v>116712</v>
      </c>
      <c r="C459" t="s">
        <v>105</v>
      </c>
      <c r="D459" t="s">
        <v>4810</v>
      </c>
      <c r="E459" t="s">
        <v>106</v>
      </c>
      <c r="F459" t="s">
        <v>107</v>
      </c>
      <c r="G459" t="s">
        <v>108</v>
      </c>
      <c r="H459" t="s">
        <v>109</v>
      </c>
      <c r="I459">
        <v>4</v>
      </c>
      <c r="J459" t="s">
        <v>110</v>
      </c>
      <c r="K459">
        <v>94</v>
      </c>
      <c r="L459" t="s">
        <v>111</v>
      </c>
      <c r="M459" t="s">
        <v>112</v>
      </c>
      <c r="N459" t="s">
        <v>113</v>
      </c>
      <c r="O459" t="s">
        <v>4811</v>
      </c>
      <c r="P459" t="s">
        <v>114</v>
      </c>
      <c r="Q459" t="s">
        <v>115</v>
      </c>
      <c r="R459" t="s">
        <v>113</v>
      </c>
      <c r="S459" s="2">
        <v>45387</v>
      </c>
      <c r="T459">
        <v>0</v>
      </c>
      <c r="U459" t="s">
        <v>116</v>
      </c>
      <c r="V459">
        <v>0</v>
      </c>
      <c r="W459">
        <v>11</v>
      </c>
      <c r="X459">
        <v>218424</v>
      </c>
      <c r="Y459" t="s">
        <v>117</v>
      </c>
      <c r="Z459" t="s">
        <v>115</v>
      </c>
      <c r="AA459" t="s">
        <v>1853</v>
      </c>
      <c r="AB459" t="s">
        <v>45</v>
      </c>
      <c r="AC459" t="s">
        <v>4812</v>
      </c>
    </row>
    <row r="460" spans="1:29">
      <c r="A460" t="s">
        <v>319</v>
      </c>
      <c r="B460" s="1">
        <v>103969</v>
      </c>
      <c r="C460" t="s">
        <v>320</v>
      </c>
      <c r="D460" t="s">
        <v>4810</v>
      </c>
      <c r="E460" s="1">
        <v>-5478</v>
      </c>
      <c r="F460" t="s">
        <v>321</v>
      </c>
      <c r="G460" t="s">
        <v>322</v>
      </c>
      <c r="H460" t="s">
        <v>81</v>
      </c>
      <c r="I460">
        <v>4</v>
      </c>
      <c r="J460" t="s">
        <v>323</v>
      </c>
      <c r="K460">
        <v>90</v>
      </c>
      <c r="L460" t="s">
        <v>324</v>
      </c>
      <c r="M460" t="s">
        <v>325</v>
      </c>
      <c r="N460" t="s">
        <v>326</v>
      </c>
      <c r="O460" t="s">
        <v>4811</v>
      </c>
      <c r="P460" t="s">
        <v>327</v>
      </c>
      <c r="Q460" t="s">
        <v>328</v>
      </c>
      <c r="R460" t="s">
        <v>326</v>
      </c>
      <c r="S460" s="2">
        <v>45394</v>
      </c>
      <c r="T460" t="s">
        <v>329</v>
      </c>
      <c r="U460" t="s">
        <v>330</v>
      </c>
      <c r="V460">
        <v>1</v>
      </c>
      <c r="W460">
        <v>0</v>
      </c>
      <c r="X460">
        <v>175459</v>
      </c>
      <c r="Y460" t="s">
        <v>331</v>
      </c>
      <c r="Z460" t="s">
        <v>328</v>
      </c>
      <c r="AA460" t="s">
        <v>1853</v>
      </c>
      <c r="AB460" t="s">
        <v>45</v>
      </c>
      <c r="AC460" t="s">
        <v>4812</v>
      </c>
    </row>
    <row r="461" spans="1:29">
      <c r="A461" t="s">
        <v>215</v>
      </c>
      <c r="B461" t="s">
        <v>514</v>
      </c>
      <c r="C461" t="s">
        <v>118</v>
      </c>
      <c r="D461" t="s">
        <v>4810</v>
      </c>
      <c r="E461" s="1">
        <v>-4409</v>
      </c>
      <c r="F461" t="s">
        <v>189</v>
      </c>
      <c r="G461" t="s">
        <v>515</v>
      </c>
      <c r="H461" t="s">
        <v>516</v>
      </c>
      <c r="I461">
        <v>3</v>
      </c>
      <c r="J461" t="s">
        <v>517</v>
      </c>
      <c r="K461">
        <v>89</v>
      </c>
      <c r="L461" t="s">
        <v>518</v>
      </c>
      <c r="M461" t="s">
        <v>519</v>
      </c>
      <c r="N461" t="s">
        <v>520</v>
      </c>
      <c r="O461" t="s">
        <v>4811</v>
      </c>
      <c r="P461" t="s">
        <v>521</v>
      </c>
      <c r="Q461" t="s">
        <v>522</v>
      </c>
      <c r="R461" t="s">
        <v>523</v>
      </c>
      <c r="S461" s="2">
        <v>45184</v>
      </c>
      <c r="T461" t="s">
        <v>524</v>
      </c>
      <c r="U461" t="s">
        <v>525</v>
      </c>
      <c r="V461">
        <v>1</v>
      </c>
      <c r="W461">
        <v>9</v>
      </c>
      <c r="X461">
        <v>210689</v>
      </c>
      <c r="Y461" t="s">
        <v>526</v>
      </c>
      <c r="Z461" t="s">
        <v>522</v>
      </c>
      <c r="AA461" t="s">
        <v>1853</v>
      </c>
      <c r="AB461" t="s">
        <v>45</v>
      </c>
      <c r="AC461" t="s">
        <v>4812</v>
      </c>
    </row>
    <row r="462" spans="1:29">
      <c r="A462" t="s">
        <v>630</v>
      </c>
      <c r="B462" s="1">
        <v>148038</v>
      </c>
      <c r="C462" t="s">
        <v>4813</v>
      </c>
      <c r="D462" t="s">
        <v>4810</v>
      </c>
      <c r="E462" s="1">
        <v>-2777</v>
      </c>
      <c r="F462" t="s">
        <v>2117</v>
      </c>
      <c r="G462" t="s">
        <v>4814</v>
      </c>
      <c r="H462" t="s">
        <v>4815</v>
      </c>
      <c r="I462">
        <v>4</v>
      </c>
      <c r="J462" t="s">
        <v>4816</v>
      </c>
      <c r="K462">
        <v>88</v>
      </c>
      <c r="L462" t="s">
        <v>4817</v>
      </c>
      <c r="M462" t="s">
        <v>4818</v>
      </c>
      <c r="N462" t="s">
        <v>4819</v>
      </c>
      <c r="O462" t="s">
        <v>4811</v>
      </c>
      <c r="P462" t="s">
        <v>4820</v>
      </c>
      <c r="Q462" t="s">
        <v>4821</v>
      </c>
      <c r="R462" t="s">
        <v>4822</v>
      </c>
      <c r="S462" s="2">
        <v>45135</v>
      </c>
      <c r="T462">
        <v>0</v>
      </c>
      <c r="U462" t="s">
        <v>4823</v>
      </c>
      <c r="V462">
        <v>0</v>
      </c>
      <c r="W462">
        <v>3</v>
      </c>
      <c r="X462">
        <v>191701</v>
      </c>
      <c r="Y462" t="s">
        <v>1040</v>
      </c>
      <c r="Z462" t="s">
        <v>4821</v>
      </c>
      <c r="AA462" t="s">
        <v>1853</v>
      </c>
      <c r="AB462" t="s">
        <v>45</v>
      </c>
      <c r="AC462" t="s">
        <v>4812</v>
      </c>
    </row>
    <row r="463" spans="1:29">
      <c r="A463" t="s">
        <v>435</v>
      </c>
      <c r="B463" s="1">
        <v>123994</v>
      </c>
      <c r="C463" t="s">
        <v>436</v>
      </c>
      <c r="D463" t="s">
        <v>4810</v>
      </c>
      <c r="E463" s="1">
        <v>-6129</v>
      </c>
      <c r="F463" t="s">
        <v>437</v>
      </c>
      <c r="G463" t="s">
        <v>438</v>
      </c>
      <c r="H463" t="s">
        <v>439</v>
      </c>
      <c r="I463">
        <v>4</v>
      </c>
      <c r="J463" t="s">
        <v>405</v>
      </c>
      <c r="K463">
        <v>88</v>
      </c>
      <c r="L463" t="s">
        <v>440</v>
      </c>
      <c r="M463" t="s">
        <v>441</v>
      </c>
      <c r="N463" t="s">
        <v>442</v>
      </c>
      <c r="O463" t="s">
        <v>4811</v>
      </c>
      <c r="P463" t="s">
        <v>443</v>
      </c>
      <c r="Q463" t="s">
        <v>444</v>
      </c>
      <c r="R463" t="s">
        <v>442</v>
      </c>
      <c r="S463" s="2">
        <v>45422</v>
      </c>
      <c r="T463">
        <v>0</v>
      </c>
      <c r="U463" t="s">
        <v>445</v>
      </c>
      <c r="V463">
        <v>0</v>
      </c>
      <c r="W463">
        <v>1</v>
      </c>
      <c r="X463">
        <v>172533</v>
      </c>
      <c r="Y463" t="s">
        <v>446</v>
      </c>
      <c r="Z463" t="s">
        <v>444</v>
      </c>
      <c r="AA463" t="s">
        <v>1853</v>
      </c>
      <c r="AB463" t="s">
        <v>45</v>
      </c>
      <c r="AC463" t="s">
        <v>4812</v>
      </c>
    </row>
    <row r="464" spans="1:29">
      <c r="A464" t="s">
        <v>225</v>
      </c>
      <c r="B464" s="1">
        <v>139982</v>
      </c>
      <c r="C464" t="s">
        <v>226</v>
      </c>
      <c r="D464" t="s">
        <v>4810</v>
      </c>
      <c r="E464" s="1">
        <v>-4981</v>
      </c>
      <c r="F464" t="s">
        <v>227</v>
      </c>
      <c r="G464" t="s">
        <v>228</v>
      </c>
      <c r="H464" t="s">
        <v>109</v>
      </c>
      <c r="I464">
        <v>4</v>
      </c>
      <c r="J464" t="s">
        <v>229</v>
      </c>
      <c r="K464">
        <v>88</v>
      </c>
      <c r="L464" t="s">
        <v>230</v>
      </c>
      <c r="M464" t="s">
        <v>231</v>
      </c>
      <c r="N464" t="s">
        <v>232</v>
      </c>
      <c r="O464" t="s">
        <v>4811</v>
      </c>
      <c r="P464" t="s">
        <v>233</v>
      </c>
      <c r="Q464" t="s">
        <v>234</v>
      </c>
      <c r="R464" t="s">
        <v>235</v>
      </c>
      <c r="S464" s="2">
        <v>45191</v>
      </c>
      <c r="T464">
        <v>0</v>
      </c>
      <c r="U464" t="s">
        <v>236</v>
      </c>
      <c r="V464">
        <v>1</v>
      </c>
      <c r="W464">
        <v>6</v>
      </c>
      <c r="X464">
        <v>184841</v>
      </c>
      <c r="Y464" t="s">
        <v>237</v>
      </c>
      <c r="Z464" t="s">
        <v>234</v>
      </c>
      <c r="AA464" t="s">
        <v>1853</v>
      </c>
      <c r="AB464" t="s">
        <v>45</v>
      </c>
      <c r="AC464" t="s">
        <v>4812</v>
      </c>
    </row>
    <row r="465" spans="1:29">
      <c r="A465" t="s">
        <v>475</v>
      </c>
      <c r="B465" s="1">
        <v>101061</v>
      </c>
      <c r="C465" t="s">
        <v>594</v>
      </c>
      <c r="D465" t="s">
        <v>4810</v>
      </c>
      <c r="E465" s="1">
        <v>-7001</v>
      </c>
      <c r="F465" t="s">
        <v>595</v>
      </c>
      <c r="G465" t="s">
        <v>75</v>
      </c>
      <c r="H465" t="s">
        <v>596</v>
      </c>
      <c r="I465">
        <v>4</v>
      </c>
      <c r="J465" t="s">
        <v>597</v>
      </c>
      <c r="K465">
        <v>88</v>
      </c>
      <c r="L465" t="s">
        <v>598</v>
      </c>
      <c r="M465" t="s">
        <v>599</v>
      </c>
      <c r="N465" t="s">
        <v>600</v>
      </c>
      <c r="O465" t="s">
        <v>4811</v>
      </c>
      <c r="P465" t="s">
        <v>601</v>
      </c>
      <c r="Q465" t="s">
        <v>602</v>
      </c>
      <c r="R465" t="s">
        <v>600</v>
      </c>
      <c r="S465" s="2">
        <v>45416</v>
      </c>
      <c r="T465">
        <v>0</v>
      </c>
      <c r="U465" t="s">
        <v>603</v>
      </c>
      <c r="V465">
        <v>1</v>
      </c>
      <c r="W465">
        <v>1</v>
      </c>
      <c r="X465">
        <v>274192</v>
      </c>
      <c r="Y465" t="s">
        <v>604</v>
      </c>
      <c r="Z465" t="s">
        <v>602</v>
      </c>
      <c r="AA465" t="s">
        <v>1853</v>
      </c>
      <c r="AB465" t="s">
        <v>45</v>
      </c>
      <c r="AC465" t="s">
        <v>4812</v>
      </c>
    </row>
    <row r="466" spans="1:29">
      <c r="A466" t="s">
        <v>1431</v>
      </c>
      <c r="B466" s="1">
        <v>181489</v>
      </c>
      <c r="C466" t="s">
        <v>1607</v>
      </c>
      <c r="D466" t="s">
        <v>4810</v>
      </c>
      <c r="E466" s="1">
        <v>-4682</v>
      </c>
      <c r="F466" t="s">
        <v>3033</v>
      </c>
      <c r="G466" t="s">
        <v>2803</v>
      </c>
      <c r="H466" t="s">
        <v>478</v>
      </c>
      <c r="I466">
        <v>4</v>
      </c>
      <c r="J466" t="s">
        <v>4824</v>
      </c>
      <c r="K466">
        <v>87</v>
      </c>
      <c r="L466" t="s">
        <v>4825</v>
      </c>
      <c r="M466" t="s">
        <v>4826</v>
      </c>
      <c r="N466" t="s">
        <v>4827</v>
      </c>
      <c r="O466" t="s">
        <v>4811</v>
      </c>
      <c r="P466" t="s">
        <v>4828</v>
      </c>
      <c r="Q466" t="s">
        <v>4829</v>
      </c>
      <c r="R466" t="s">
        <v>4830</v>
      </c>
      <c r="S466" s="2">
        <v>45387</v>
      </c>
      <c r="T466">
        <v>0</v>
      </c>
      <c r="U466" t="s">
        <v>4831</v>
      </c>
      <c r="V466">
        <v>1</v>
      </c>
      <c r="W466">
        <v>8</v>
      </c>
      <c r="X466">
        <v>161831</v>
      </c>
      <c r="Y466" t="s">
        <v>2766</v>
      </c>
      <c r="Z466" t="s">
        <v>4829</v>
      </c>
      <c r="AA466" t="s">
        <v>1853</v>
      </c>
      <c r="AB466" t="s">
        <v>45</v>
      </c>
      <c r="AC466" t="s">
        <v>4812</v>
      </c>
    </row>
    <row r="467" spans="1:29">
      <c r="A467" t="s">
        <v>212</v>
      </c>
      <c r="B467" s="1">
        <v>81012</v>
      </c>
      <c r="C467" t="s">
        <v>158</v>
      </c>
      <c r="D467" t="s">
        <v>4810</v>
      </c>
      <c r="E467" t="s">
        <v>213</v>
      </c>
      <c r="F467" t="s">
        <v>214</v>
      </c>
      <c r="G467" t="s">
        <v>215</v>
      </c>
      <c r="H467" t="s">
        <v>216</v>
      </c>
      <c r="I467">
        <v>4</v>
      </c>
      <c r="J467" t="s">
        <v>217</v>
      </c>
      <c r="K467">
        <v>86</v>
      </c>
      <c r="L467" t="s">
        <v>218</v>
      </c>
      <c r="M467" t="s">
        <v>219</v>
      </c>
      <c r="N467" t="s">
        <v>220</v>
      </c>
      <c r="O467" t="s">
        <v>4811</v>
      </c>
      <c r="P467" t="s">
        <v>221</v>
      </c>
      <c r="Q467" t="s">
        <v>222</v>
      </c>
      <c r="R467" t="s">
        <v>220</v>
      </c>
      <c r="S467" s="2">
        <v>45394</v>
      </c>
      <c r="T467">
        <v>0</v>
      </c>
      <c r="U467" t="s">
        <v>223</v>
      </c>
      <c r="V467">
        <v>1</v>
      </c>
      <c r="W467">
        <v>9</v>
      </c>
      <c r="X467">
        <v>171292</v>
      </c>
      <c r="Y467" t="s">
        <v>224</v>
      </c>
      <c r="Z467" t="s">
        <v>222</v>
      </c>
      <c r="AA467" t="s">
        <v>1853</v>
      </c>
      <c r="AB467" t="s">
        <v>45</v>
      </c>
      <c r="AC467" t="s">
        <v>4812</v>
      </c>
    </row>
    <row r="468" spans="1:29">
      <c r="A468" t="s">
        <v>290</v>
      </c>
      <c r="B468" s="1">
        <v>119992</v>
      </c>
      <c r="C468" t="s">
        <v>291</v>
      </c>
      <c r="D468" t="s">
        <v>4810</v>
      </c>
      <c r="E468" s="1">
        <v>-8529</v>
      </c>
      <c r="F468" t="s">
        <v>292</v>
      </c>
      <c r="G468" t="s">
        <v>293</v>
      </c>
      <c r="H468" t="s">
        <v>294</v>
      </c>
      <c r="I468">
        <v>4</v>
      </c>
      <c r="J468" t="s">
        <v>295</v>
      </c>
      <c r="K468">
        <v>86</v>
      </c>
      <c r="L468" t="s">
        <v>296</v>
      </c>
      <c r="M468" t="s">
        <v>297</v>
      </c>
      <c r="N468" t="s">
        <v>298</v>
      </c>
      <c r="O468" t="s">
        <v>4811</v>
      </c>
      <c r="P468" t="s">
        <v>299</v>
      </c>
      <c r="Q468" t="s">
        <v>300</v>
      </c>
      <c r="R468" t="s">
        <v>298</v>
      </c>
      <c r="S468" s="2">
        <v>45450</v>
      </c>
      <c r="T468" t="s">
        <v>301</v>
      </c>
      <c r="U468" t="s">
        <v>302</v>
      </c>
      <c r="V468">
        <v>0</v>
      </c>
      <c r="W468">
        <v>8</v>
      </c>
      <c r="X468">
        <v>177599</v>
      </c>
      <c r="Y468" t="s">
        <v>303</v>
      </c>
      <c r="Z468" t="s">
        <v>300</v>
      </c>
      <c r="AA468" t="s">
        <v>1853</v>
      </c>
      <c r="AB468" t="s">
        <v>45</v>
      </c>
      <c r="AC468" t="s">
        <v>4812</v>
      </c>
    </row>
    <row r="469" spans="1:29">
      <c r="A469" t="s">
        <v>2375</v>
      </c>
      <c r="B469" s="1">
        <v>180098</v>
      </c>
      <c r="C469" t="s">
        <v>771</v>
      </c>
      <c r="D469" t="s">
        <v>4810</v>
      </c>
      <c r="E469" s="1">
        <v>-3202</v>
      </c>
      <c r="F469" t="s">
        <v>452</v>
      </c>
      <c r="G469" t="s">
        <v>1667</v>
      </c>
      <c r="H469" t="s">
        <v>4832</v>
      </c>
      <c r="I469">
        <v>4</v>
      </c>
      <c r="J469" t="s">
        <v>1202</v>
      </c>
      <c r="K469">
        <v>85</v>
      </c>
      <c r="L469" t="s">
        <v>4833</v>
      </c>
      <c r="M469" t="s">
        <v>4834</v>
      </c>
      <c r="N469" t="s">
        <v>4835</v>
      </c>
      <c r="O469" t="s">
        <v>4811</v>
      </c>
      <c r="P469" t="s">
        <v>4836</v>
      </c>
      <c r="Q469" t="s">
        <v>4837</v>
      </c>
      <c r="R469" t="s">
        <v>4835</v>
      </c>
      <c r="S469" s="2">
        <v>45482</v>
      </c>
      <c r="T469">
        <v>0</v>
      </c>
      <c r="U469" t="s">
        <v>4838</v>
      </c>
      <c r="V469">
        <v>0</v>
      </c>
      <c r="W469">
        <v>4</v>
      </c>
      <c r="X469">
        <v>190667</v>
      </c>
      <c r="Y469" t="s">
        <v>4839</v>
      </c>
      <c r="Z469" t="s">
        <v>4837</v>
      </c>
      <c r="AA469" t="s">
        <v>1853</v>
      </c>
      <c r="AB469" t="s">
        <v>45</v>
      </c>
      <c r="AC469" t="s">
        <v>4812</v>
      </c>
    </row>
    <row r="470" spans="1:29">
      <c r="A470" t="s">
        <v>188</v>
      </c>
      <c r="B470" s="1">
        <v>107071</v>
      </c>
      <c r="C470" t="s">
        <v>119</v>
      </c>
      <c r="D470" t="s">
        <v>4810</v>
      </c>
      <c r="E470" s="1">
        <v>-6073</v>
      </c>
      <c r="F470" t="s">
        <v>189</v>
      </c>
      <c r="G470" t="s">
        <v>190</v>
      </c>
      <c r="H470" t="s">
        <v>81</v>
      </c>
      <c r="I470">
        <v>4</v>
      </c>
      <c r="J470" t="s">
        <v>191</v>
      </c>
      <c r="K470">
        <v>88</v>
      </c>
      <c r="L470" t="s">
        <v>192</v>
      </c>
      <c r="M470" t="s">
        <v>193</v>
      </c>
      <c r="N470" t="s">
        <v>194</v>
      </c>
      <c r="O470" t="s">
        <v>4811</v>
      </c>
      <c r="P470" t="s">
        <v>195</v>
      </c>
      <c r="Q470" t="s">
        <v>196</v>
      </c>
      <c r="R470" t="s">
        <v>194</v>
      </c>
      <c r="S470" s="2">
        <v>45449</v>
      </c>
      <c r="T470">
        <v>0</v>
      </c>
      <c r="U470" t="s">
        <v>197</v>
      </c>
      <c r="V470">
        <v>1</v>
      </c>
      <c r="W470">
        <v>9</v>
      </c>
      <c r="X470">
        <v>186365</v>
      </c>
      <c r="Y470" t="s">
        <v>198</v>
      </c>
      <c r="Z470" t="s">
        <v>196</v>
      </c>
      <c r="AA470" t="s">
        <v>1853</v>
      </c>
      <c r="AB470" t="s">
        <v>45</v>
      </c>
      <c r="AC470" t="s">
        <v>4812</v>
      </c>
    </row>
    <row r="471" spans="1:29">
      <c r="A471" t="s">
        <v>4840</v>
      </c>
      <c r="B471" t="s">
        <v>4841</v>
      </c>
      <c r="C471" t="s">
        <v>118</v>
      </c>
      <c r="D471" t="s">
        <v>4810</v>
      </c>
      <c r="E471" s="1">
        <v>-3673</v>
      </c>
      <c r="F471" t="s">
        <v>3144</v>
      </c>
      <c r="G471" t="s">
        <v>79</v>
      </c>
      <c r="H471" t="s">
        <v>4842</v>
      </c>
      <c r="I471">
        <v>4</v>
      </c>
      <c r="J471" t="s">
        <v>1564</v>
      </c>
      <c r="K471">
        <v>85</v>
      </c>
      <c r="L471" t="s">
        <v>4843</v>
      </c>
      <c r="M471" t="s">
        <v>4844</v>
      </c>
      <c r="N471" t="s">
        <v>4845</v>
      </c>
      <c r="O471" t="s">
        <v>4811</v>
      </c>
      <c r="P471" t="s">
        <v>4846</v>
      </c>
      <c r="Q471" t="s">
        <v>4847</v>
      </c>
      <c r="R471" t="s">
        <v>4845</v>
      </c>
      <c r="S471" s="2">
        <v>44799</v>
      </c>
      <c r="T471" t="s">
        <v>4848</v>
      </c>
      <c r="U471" t="s">
        <v>4849</v>
      </c>
      <c r="V471">
        <v>0</v>
      </c>
      <c r="W471">
        <v>7</v>
      </c>
      <c r="X471">
        <v>175238</v>
      </c>
      <c r="Y471" t="s">
        <v>4850</v>
      </c>
      <c r="Z471" t="s">
        <v>4847</v>
      </c>
      <c r="AA471" t="s">
        <v>1853</v>
      </c>
      <c r="AB471" t="s">
        <v>45</v>
      </c>
      <c r="AC471" t="s">
        <v>4812</v>
      </c>
    </row>
    <row r="472" spans="1:29">
      <c r="A472" t="s">
        <v>2803</v>
      </c>
      <c r="B472" s="1">
        <v>132052</v>
      </c>
      <c r="C472" t="s">
        <v>4404</v>
      </c>
      <c r="D472" t="s">
        <v>4810</v>
      </c>
      <c r="E472" s="1">
        <v>-10613</v>
      </c>
      <c r="F472" t="s">
        <v>825</v>
      </c>
      <c r="G472" t="s">
        <v>3331</v>
      </c>
      <c r="H472" t="s">
        <v>3557</v>
      </c>
      <c r="I472">
        <v>4</v>
      </c>
      <c r="J472" t="s">
        <v>3688</v>
      </c>
      <c r="K472">
        <v>85</v>
      </c>
      <c r="L472" t="s">
        <v>4851</v>
      </c>
      <c r="M472" t="s">
        <v>4852</v>
      </c>
      <c r="N472" t="s">
        <v>4853</v>
      </c>
      <c r="O472" t="s">
        <v>4811</v>
      </c>
      <c r="P472" t="s">
        <v>4854</v>
      </c>
      <c r="Q472" t="s">
        <v>4855</v>
      </c>
      <c r="R472" t="s">
        <v>4853</v>
      </c>
      <c r="S472" s="2">
        <v>44762</v>
      </c>
      <c r="T472" t="s">
        <v>4856</v>
      </c>
      <c r="U472" t="s">
        <v>4857</v>
      </c>
      <c r="V472">
        <v>1</v>
      </c>
      <c r="W472">
        <v>6</v>
      </c>
      <c r="X472">
        <v>132631</v>
      </c>
      <c r="Y472" t="s">
        <v>4858</v>
      </c>
      <c r="Z472" t="s">
        <v>4855</v>
      </c>
      <c r="AA472" t="s">
        <v>1853</v>
      </c>
      <c r="AB472" t="s">
        <v>45</v>
      </c>
      <c r="AC472" t="s">
        <v>4812</v>
      </c>
    </row>
    <row r="473" spans="1:29">
      <c r="A473" t="s">
        <v>4859</v>
      </c>
      <c r="B473" s="1">
        <v>140515</v>
      </c>
      <c r="C473" t="s">
        <v>2538</v>
      </c>
      <c r="D473" t="s">
        <v>4810</v>
      </c>
      <c r="E473" s="1">
        <v>-4715</v>
      </c>
      <c r="F473" t="s">
        <v>3826</v>
      </c>
      <c r="G473" t="s">
        <v>2620</v>
      </c>
      <c r="H473" t="s">
        <v>4860</v>
      </c>
      <c r="I473">
        <v>5</v>
      </c>
      <c r="J473" t="s">
        <v>2083</v>
      </c>
      <c r="K473">
        <v>85</v>
      </c>
      <c r="L473" t="s">
        <v>4861</v>
      </c>
      <c r="M473" t="s">
        <v>4862</v>
      </c>
      <c r="N473" t="s">
        <v>4863</v>
      </c>
      <c r="O473" t="s">
        <v>4811</v>
      </c>
      <c r="P473" t="s">
        <v>4864</v>
      </c>
      <c r="Q473" t="s">
        <v>4865</v>
      </c>
      <c r="R473" t="s">
        <v>4863</v>
      </c>
      <c r="S473" s="2">
        <v>45519</v>
      </c>
      <c r="T473">
        <v>0</v>
      </c>
      <c r="U473" t="s">
        <v>4866</v>
      </c>
      <c r="V473">
        <v>1</v>
      </c>
      <c r="W473">
        <v>7</v>
      </c>
      <c r="X473">
        <v>179790</v>
      </c>
      <c r="Y473" t="s">
        <v>1110</v>
      </c>
      <c r="Z473" t="s">
        <v>4865</v>
      </c>
      <c r="AA473" t="s">
        <v>1853</v>
      </c>
      <c r="AB473" t="s">
        <v>45</v>
      </c>
      <c r="AC473" t="s">
        <v>4812</v>
      </c>
    </row>
    <row r="474" spans="1:29">
      <c r="A474" t="s">
        <v>424</v>
      </c>
      <c r="B474" s="1">
        <v>105029</v>
      </c>
      <c r="C474" t="s">
        <v>475</v>
      </c>
      <c r="D474" t="s">
        <v>4810</v>
      </c>
      <c r="E474" s="1">
        <v>-5692</v>
      </c>
      <c r="F474" t="s">
        <v>476</v>
      </c>
      <c r="G474" t="s">
        <v>477</v>
      </c>
      <c r="H474" t="s">
        <v>478</v>
      </c>
      <c r="I474">
        <v>3</v>
      </c>
      <c r="J474" t="s">
        <v>479</v>
      </c>
      <c r="K474">
        <v>85</v>
      </c>
      <c r="L474" t="s">
        <v>480</v>
      </c>
      <c r="M474" t="s">
        <v>481</v>
      </c>
      <c r="N474" t="s">
        <v>482</v>
      </c>
      <c r="O474" t="s">
        <v>4811</v>
      </c>
      <c r="P474" t="s">
        <v>483</v>
      </c>
      <c r="Q474" t="s">
        <v>484</v>
      </c>
      <c r="R474" t="s">
        <v>482</v>
      </c>
      <c r="S474" s="2">
        <v>45309</v>
      </c>
      <c r="T474">
        <v>0</v>
      </c>
      <c r="U474" t="s">
        <v>485</v>
      </c>
      <c r="V474">
        <v>1</v>
      </c>
      <c r="W474">
        <v>10</v>
      </c>
      <c r="X474">
        <v>180304</v>
      </c>
      <c r="Y474" t="s">
        <v>486</v>
      </c>
      <c r="Z474" t="s">
        <v>484</v>
      </c>
      <c r="AA474" t="s">
        <v>1853</v>
      </c>
      <c r="AB474" t="s">
        <v>45</v>
      </c>
      <c r="AC474" t="s">
        <v>4812</v>
      </c>
    </row>
    <row r="475" spans="1:29">
      <c r="A475" t="s">
        <v>173</v>
      </c>
      <c r="B475" s="1">
        <v>130019</v>
      </c>
      <c r="C475" t="s">
        <v>174</v>
      </c>
      <c r="D475" t="s">
        <v>4810</v>
      </c>
      <c r="E475" s="1">
        <v>-6622</v>
      </c>
      <c r="F475" t="s">
        <v>175</v>
      </c>
      <c r="G475" t="s">
        <v>176</v>
      </c>
      <c r="H475" t="s">
        <v>177</v>
      </c>
      <c r="I475">
        <v>4</v>
      </c>
      <c r="J475" t="s">
        <v>178</v>
      </c>
      <c r="K475">
        <v>85</v>
      </c>
      <c r="L475" t="s">
        <v>179</v>
      </c>
      <c r="M475" t="s">
        <v>180</v>
      </c>
      <c r="N475" t="s">
        <v>181</v>
      </c>
      <c r="O475" t="s">
        <v>4811</v>
      </c>
      <c r="P475" t="s">
        <v>182</v>
      </c>
      <c r="Q475" t="s">
        <v>183</v>
      </c>
      <c r="R475" t="s">
        <v>184</v>
      </c>
      <c r="S475" s="2">
        <v>45505</v>
      </c>
      <c r="T475" t="s">
        <v>185</v>
      </c>
      <c r="U475" t="s">
        <v>186</v>
      </c>
      <c r="V475">
        <v>1</v>
      </c>
      <c r="W475">
        <v>7</v>
      </c>
      <c r="X475">
        <v>145219</v>
      </c>
      <c r="Y475" t="s">
        <v>187</v>
      </c>
      <c r="Z475" t="s">
        <v>183</v>
      </c>
      <c r="AA475" t="s">
        <v>1853</v>
      </c>
      <c r="AB475" t="s">
        <v>45</v>
      </c>
      <c r="AC475" t="s">
        <v>4812</v>
      </c>
    </row>
    <row r="476" spans="1:29">
      <c r="A476" t="s">
        <v>1236</v>
      </c>
      <c r="B476" s="1">
        <v>151647</v>
      </c>
      <c r="C476" t="s">
        <v>4781</v>
      </c>
      <c r="D476" t="s">
        <v>4810</v>
      </c>
      <c r="E476" s="1">
        <v>-4263</v>
      </c>
      <c r="F476" t="s">
        <v>4867</v>
      </c>
      <c r="G476" t="s">
        <v>48</v>
      </c>
      <c r="H476" t="s">
        <v>4868</v>
      </c>
      <c r="I476">
        <v>4</v>
      </c>
      <c r="J476" t="s">
        <v>4869</v>
      </c>
      <c r="K476">
        <v>84</v>
      </c>
      <c r="L476" t="s">
        <v>4870</v>
      </c>
      <c r="M476" t="s">
        <v>4871</v>
      </c>
      <c r="N476" t="s">
        <v>4872</v>
      </c>
      <c r="O476" t="s">
        <v>4811</v>
      </c>
      <c r="P476" t="s">
        <v>4873</v>
      </c>
      <c r="Q476" t="s">
        <v>4874</v>
      </c>
      <c r="R476" t="s">
        <v>4872</v>
      </c>
      <c r="S476" s="2">
        <v>45370</v>
      </c>
      <c r="T476" t="s">
        <v>4875</v>
      </c>
      <c r="U476" t="s">
        <v>4876</v>
      </c>
      <c r="V476">
        <v>1</v>
      </c>
      <c r="W476">
        <v>11</v>
      </c>
      <c r="X476">
        <v>142515</v>
      </c>
      <c r="Y476" t="s">
        <v>4877</v>
      </c>
      <c r="Z476" t="s">
        <v>4874</v>
      </c>
      <c r="AA476" t="s">
        <v>1853</v>
      </c>
      <c r="AB476" t="s">
        <v>45</v>
      </c>
      <c r="AC476" t="s">
        <v>4812</v>
      </c>
    </row>
    <row r="477" spans="1:29">
      <c r="A477" t="s">
        <v>376</v>
      </c>
      <c r="B477" s="1">
        <v>127986</v>
      </c>
      <c r="C477" t="s">
        <v>377</v>
      </c>
      <c r="D477" t="s">
        <v>4810</v>
      </c>
      <c r="E477" t="s">
        <v>378</v>
      </c>
      <c r="F477" t="s">
        <v>379</v>
      </c>
      <c r="G477" t="s">
        <v>380</v>
      </c>
      <c r="H477" t="s">
        <v>381</v>
      </c>
      <c r="I477">
        <v>4</v>
      </c>
      <c r="J477" t="s">
        <v>382</v>
      </c>
      <c r="K477">
        <v>84</v>
      </c>
      <c r="L477" t="s">
        <v>383</v>
      </c>
      <c r="M477" t="s">
        <v>384</v>
      </c>
      <c r="N477" t="s">
        <v>385</v>
      </c>
      <c r="O477" t="s">
        <v>4811</v>
      </c>
      <c r="P477" t="s">
        <v>386</v>
      </c>
      <c r="Q477" t="s">
        <v>387</v>
      </c>
      <c r="R477" t="s">
        <v>388</v>
      </c>
      <c r="S477" s="2">
        <v>45422</v>
      </c>
      <c r="T477">
        <v>0</v>
      </c>
      <c r="U477" t="s">
        <v>389</v>
      </c>
      <c r="V477">
        <v>1</v>
      </c>
      <c r="W477">
        <v>7</v>
      </c>
      <c r="X477">
        <v>178206</v>
      </c>
      <c r="Y477" t="s">
        <v>390</v>
      </c>
      <c r="Z477" t="s">
        <v>387</v>
      </c>
      <c r="AA477" t="s">
        <v>1853</v>
      </c>
      <c r="AB477" t="s">
        <v>45</v>
      </c>
      <c r="AC477" t="s">
        <v>4812</v>
      </c>
    </row>
    <row r="478" spans="1:29">
      <c r="A478" t="s">
        <v>1905</v>
      </c>
      <c r="B478" s="1">
        <v>179974</v>
      </c>
      <c r="C478" t="s">
        <v>2375</v>
      </c>
      <c r="D478" t="s">
        <v>4810</v>
      </c>
      <c r="E478" s="1">
        <v>-6257</v>
      </c>
      <c r="F478" t="s">
        <v>4878</v>
      </c>
      <c r="G478" t="s">
        <v>2947</v>
      </c>
      <c r="H478" t="s">
        <v>4879</v>
      </c>
      <c r="I478">
        <v>4</v>
      </c>
      <c r="J478" t="s">
        <v>3643</v>
      </c>
      <c r="K478">
        <v>84</v>
      </c>
      <c r="L478" t="s">
        <v>4880</v>
      </c>
      <c r="M478" t="s">
        <v>4881</v>
      </c>
      <c r="N478" t="s">
        <v>4882</v>
      </c>
      <c r="O478" t="s">
        <v>4811</v>
      </c>
      <c r="P478" t="s">
        <v>4883</v>
      </c>
      <c r="Q478" t="s">
        <v>4884</v>
      </c>
      <c r="R478" t="s">
        <v>4885</v>
      </c>
      <c r="S478" s="2">
        <v>43707</v>
      </c>
      <c r="T478">
        <v>0</v>
      </c>
      <c r="U478" t="s">
        <v>4886</v>
      </c>
      <c r="V478">
        <v>0</v>
      </c>
      <c r="W478">
        <v>7</v>
      </c>
      <c r="X478">
        <v>131240</v>
      </c>
      <c r="Y478" t="s">
        <v>1188</v>
      </c>
      <c r="Z478" t="s">
        <v>4884</v>
      </c>
      <c r="AA478" t="s">
        <v>1853</v>
      </c>
      <c r="AB478" t="s">
        <v>45</v>
      </c>
      <c r="AC478" t="s">
        <v>4812</v>
      </c>
    </row>
    <row r="479" spans="1:29">
      <c r="A479" t="s">
        <v>4473</v>
      </c>
      <c r="B479" s="1">
        <v>139198</v>
      </c>
      <c r="C479" t="s">
        <v>1747</v>
      </c>
      <c r="D479" t="s">
        <v>4810</v>
      </c>
      <c r="E479" s="1">
        <v>-3806</v>
      </c>
      <c r="F479" t="s">
        <v>2389</v>
      </c>
      <c r="G479" t="s">
        <v>306</v>
      </c>
      <c r="H479" t="s">
        <v>4887</v>
      </c>
      <c r="I479">
        <v>4</v>
      </c>
      <c r="J479" t="s">
        <v>4878</v>
      </c>
      <c r="K479">
        <v>84</v>
      </c>
      <c r="L479" t="s">
        <v>4888</v>
      </c>
      <c r="M479" t="s">
        <v>4889</v>
      </c>
      <c r="N479" t="s">
        <v>4890</v>
      </c>
      <c r="O479" t="s">
        <v>4811</v>
      </c>
      <c r="P479" t="s">
        <v>4891</v>
      </c>
      <c r="Q479" t="s">
        <v>4892</v>
      </c>
      <c r="R479" t="s">
        <v>4893</v>
      </c>
      <c r="S479" s="2">
        <v>45490</v>
      </c>
      <c r="T479" t="s">
        <v>4894</v>
      </c>
      <c r="U479" t="s">
        <v>4895</v>
      </c>
      <c r="V479">
        <v>0</v>
      </c>
      <c r="W479">
        <v>10</v>
      </c>
      <c r="X479">
        <v>133227</v>
      </c>
      <c r="Y479" t="s">
        <v>4896</v>
      </c>
      <c r="Z479" t="s">
        <v>4892</v>
      </c>
      <c r="AA479" t="s">
        <v>1853</v>
      </c>
      <c r="AB479" t="s">
        <v>45</v>
      </c>
      <c r="AC479" t="s">
        <v>4812</v>
      </c>
    </row>
    <row r="480" spans="1:29">
      <c r="A480" t="s">
        <v>420</v>
      </c>
      <c r="B480" s="1">
        <v>144941</v>
      </c>
      <c r="C480" t="s">
        <v>529</v>
      </c>
      <c r="D480" t="s">
        <v>4810</v>
      </c>
      <c r="E480" s="1">
        <v>-5679</v>
      </c>
      <c r="F480" t="s">
        <v>1483</v>
      </c>
      <c r="G480" t="s">
        <v>757</v>
      </c>
      <c r="H480" t="s">
        <v>2070</v>
      </c>
      <c r="I480">
        <v>4</v>
      </c>
      <c r="J480" t="s">
        <v>715</v>
      </c>
      <c r="K480">
        <v>84</v>
      </c>
      <c r="L480" t="s">
        <v>2071</v>
      </c>
      <c r="M480" t="s">
        <v>2072</v>
      </c>
      <c r="N480" t="s">
        <v>2073</v>
      </c>
      <c r="O480" t="s">
        <v>4811</v>
      </c>
      <c r="P480" t="s">
        <v>2074</v>
      </c>
      <c r="Q480" t="s">
        <v>2075</v>
      </c>
      <c r="R480" t="s">
        <v>2076</v>
      </c>
      <c r="S480" s="2">
        <v>45373</v>
      </c>
      <c r="T480">
        <v>0</v>
      </c>
      <c r="U480" t="s">
        <v>2077</v>
      </c>
      <c r="V480">
        <v>1</v>
      </c>
      <c r="W480">
        <v>2</v>
      </c>
      <c r="X480">
        <v>228267</v>
      </c>
      <c r="Y480" t="s">
        <v>2078</v>
      </c>
      <c r="Z480" t="s">
        <v>2075</v>
      </c>
      <c r="AA480" t="s">
        <v>1853</v>
      </c>
      <c r="AB480" t="s">
        <v>45</v>
      </c>
      <c r="AC480" t="s">
        <v>4812</v>
      </c>
    </row>
    <row r="481" spans="1:29">
      <c r="A481" t="s">
        <v>4858</v>
      </c>
      <c r="B481" s="1">
        <v>139943</v>
      </c>
      <c r="C481" t="s">
        <v>4494</v>
      </c>
      <c r="D481" t="s">
        <v>4810</v>
      </c>
      <c r="E481" s="1">
        <v>-4589</v>
      </c>
      <c r="F481" t="s">
        <v>189</v>
      </c>
      <c r="G481" t="s">
        <v>3643</v>
      </c>
      <c r="H481" t="s">
        <v>1856</v>
      </c>
      <c r="I481">
        <v>4</v>
      </c>
      <c r="J481" t="s">
        <v>1785</v>
      </c>
      <c r="K481">
        <v>84</v>
      </c>
      <c r="L481" t="s">
        <v>4897</v>
      </c>
      <c r="M481" t="s">
        <v>4898</v>
      </c>
      <c r="N481" t="s">
        <v>4899</v>
      </c>
      <c r="O481" t="s">
        <v>4811</v>
      </c>
      <c r="P481" t="s">
        <v>4900</v>
      </c>
      <c r="Q481" t="s">
        <v>4901</v>
      </c>
      <c r="R481" t="s">
        <v>4902</v>
      </c>
      <c r="S481" s="2">
        <v>45422</v>
      </c>
      <c r="T481" t="s">
        <v>4903</v>
      </c>
      <c r="U481" t="s">
        <v>4904</v>
      </c>
      <c r="V481">
        <v>0</v>
      </c>
      <c r="W481">
        <v>10</v>
      </c>
      <c r="X481">
        <v>144000</v>
      </c>
      <c r="Y481" t="s">
        <v>4905</v>
      </c>
      <c r="Z481" t="s">
        <v>4901</v>
      </c>
      <c r="AA481" t="s">
        <v>1853</v>
      </c>
      <c r="AB481" t="s">
        <v>45</v>
      </c>
      <c r="AC481" t="s">
        <v>4812</v>
      </c>
    </row>
    <row r="482" spans="1:29">
      <c r="A482" t="s">
        <v>250</v>
      </c>
      <c r="B482" s="1">
        <v>119996</v>
      </c>
      <c r="C482" t="s">
        <v>3930</v>
      </c>
      <c r="D482" t="s">
        <v>4810</v>
      </c>
      <c r="E482" s="1">
        <v>-6751</v>
      </c>
      <c r="F482" t="s">
        <v>64</v>
      </c>
      <c r="G482" t="s">
        <v>1336</v>
      </c>
      <c r="H482" t="s">
        <v>4906</v>
      </c>
      <c r="I482">
        <v>4</v>
      </c>
      <c r="J482" t="s">
        <v>4907</v>
      </c>
      <c r="K482">
        <v>83</v>
      </c>
      <c r="L482" t="s">
        <v>4908</v>
      </c>
      <c r="M482" t="s">
        <v>4909</v>
      </c>
      <c r="N482" t="s">
        <v>4910</v>
      </c>
      <c r="O482" t="s">
        <v>4811</v>
      </c>
      <c r="P482" t="s">
        <v>4911</v>
      </c>
      <c r="Q482" t="s">
        <v>4912</v>
      </c>
      <c r="R482" t="s">
        <v>4910</v>
      </c>
      <c r="S482" s="2">
        <v>45492</v>
      </c>
      <c r="T482" t="s">
        <v>4374</v>
      </c>
      <c r="U482" t="s">
        <v>4913</v>
      </c>
      <c r="V482">
        <v>0</v>
      </c>
      <c r="W482">
        <v>11</v>
      </c>
      <c r="X482">
        <v>214000</v>
      </c>
      <c r="Y482" t="s">
        <v>4914</v>
      </c>
      <c r="Z482" t="s">
        <v>4912</v>
      </c>
      <c r="AA482" t="s">
        <v>1853</v>
      </c>
      <c r="AB482" t="s">
        <v>45</v>
      </c>
      <c r="AC482" t="s">
        <v>4812</v>
      </c>
    </row>
    <row r="483" spans="1:29">
      <c r="A483" t="s">
        <v>176</v>
      </c>
      <c r="B483" s="1">
        <v>126031</v>
      </c>
      <c r="C483" t="s">
        <v>1938</v>
      </c>
      <c r="D483" t="s">
        <v>4810</v>
      </c>
      <c r="E483" s="1">
        <v>-10833</v>
      </c>
      <c r="F483" t="s">
        <v>4915</v>
      </c>
      <c r="G483" t="s">
        <v>1961</v>
      </c>
      <c r="H483" t="s">
        <v>4916</v>
      </c>
      <c r="I483">
        <v>4</v>
      </c>
      <c r="J483" t="s">
        <v>4917</v>
      </c>
      <c r="K483">
        <v>83</v>
      </c>
      <c r="L483" t="s">
        <v>4918</v>
      </c>
      <c r="M483" t="s">
        <v>4919</v>
      </c>
      <c r="N483" t="s">
        <v>4920</v>
      </c>
      <c r="O483" t="s">
        <v>4811</v>
      </c>
      <c r="P483" t="s">
        <v>4921</v>
      </c>
      <c r="Q483" t="s">
        <v>4922</v>
      </c>
      <c r="R483" t="s">
        <v>4920</v>
      </c>
      <c r="S483" s="2">
        <v>45492</v>
      </c>
      <c r="T483" t="s">
        <v>684</v>
      </c>
      <c r="U483" t="s">
        <v>4923</v>
      </c>
      <c r="V483">
        <v>1</v>
      </c>
      <c r="W483">
        <v>6</v>
      </c>
      <c r="X483">
        <v>145599</v>
      </c>
      <c r="Y483" t="s">
        <v>3544</v>
      </c>
      <c r="Z483" t="s">
        <v>4922</v>
      </c>
      <c r="AA483" t="s">
        <v>1853</v>
      </c>
      <c r="AB483" t="s">
        <v>45</v>
      </c>
      <c r="AC483" t="s">
        <v>4812</v>
      </c>
    </row>
    <row r="484" spans="1:29">
      <c r="A484" t="s">
        <v>1631</v>
      </c>
      <c r="B484" s="1">
        <v>129994</v>
      </c>
      <c r="C484" t="s">
        <v>320</v>
      </c>
      <c r="D484" t="s">
        <v>4810</v>
      </c>
      <c r="E484" t="s">
        <v>3165</v>
      </c>
      <c r="F484" t="s">
        <v>1442</v>
      </c>
      <c r="G484" t="s">
        <v>4007</v>
      </c>
      <c r="H484" t="s">
        <v>4924</v>
      </c>
      <c r="I484">
        <v>4</v>
      </c>
      <c r="J484" t="s">
        <v>117</v>
      </c>
      <c r="K484">
        <v>83</v>
      </c>
      <c r="L484" t="s">
        <v>4925</v>
      </c>
      <c r="M484" t="s">
        <v>4926</v>
      </c>
      <c r="N484" t="s">
        <v>573</v>
      </c>
      <c r="O484" t="s">
        <v>4811</v>
      </c>
      <c r="P484" t="s">
        <v>4927</v>
      </c>
      <c r="Q484" t="s">
        <v>4928</v>
      </c>
      <c r="R484" t="s">
        <v>4929</v>
      </c>
      <c r="S484" s="2">
        <v>45400</v>
      </c>
      <c r="T484">
        <v>0</v>
      </c>
      <c r="U484" t="s">
        <v>578</v>
      </c>
      <c r="V484">
        <v>1</v>
      </c>
      <c r="W484">
        <v>0</v>
      </c>
      <c r="X484">
        <v>218005</v>
      </c>
      <c r="Y484" t="s">
        <v>1723</v>
      </c>
      <c r="Z484" t="s">
        <v>4928</v>
      </c>
      <c r="AA484" t="s">
        <v>1853</v>
      </c>
      <c r="AB484" t="s">
        <v>45</v>
      </c>
      <c r="AC484" t="s">
        <v>4812</v>
      </c>
    </row>
    <row r="485" spans="1:29">
      <c r="A485" t="s">
        <v>228</v>
      </c>
      <c r="B485" s="1">
        <v>126035</v>
      </c>
      <c r="C485" t="s">
        <v>2374</v>
      </c>
      <c r="D485" t="s">
        <v>4810</v>
      </c>
      <c r="E485" s="1">
        <v>-5452</v>
      </c>
      <c r="F485" t="s">
        <v>2917</v>
      </c>
      <c r="G485" t="s">
        <v>4930</v>
      </c>
      <c r="H485" t="s">
        <v>4931</v>
      </c>
      <c r="I485">
        <v>4</v>
      </c>
      <c r="J485" t="s">
        <v>4406</v>
      </c>
      <c r="K485">
        <v>83</v>
      </c>
      <c r="L485" t="s">
        <v>4932</v>
      </c>
      <c r="M485" t="s">
        <v>4933</v>
      </c>
      <c r="N485" t="s">
        <v>4934</v>
      </c>
      <c r="O485" t="s">
        <v>4811</v>
      </c>
      <c r="P485" t="s">
        <v>4935</v>
      </c>
      <c r="Q485" t="s">
        <v>4936</v>
      </c>
      <c r="R485" t="s">
        <v>4937</v>
      </c>
      <c r="S485" s="2">
        <v>45450</v>
      </c>
      <c r="T485" t="s">
        <v>2640</v>
      </c>
      <c r="U485" t="s">
        <v>4938</v>
      </c>
      <c r="V485">
        <v>1</v>
      </c>
      <c r="W485">
        <v>0</v>
      </c>
      <c r="X485">
        <v>151740</v>
      </c>
      <c r="Y485" t="s">
        <v>2342</v>
      </c>
      <c r="Z485" t="s">
        <v>4936</v>
      </c>
      <c r="AA485" t="s">
        <v>1853</v>
      </c>
      <c r="AB485" t="s">
        <v>45</v>
      </c>
      <c r="AC485" t="s">
        <v>4812</v>
      </c>
    </row>
    <row r="486" spans="1:29">
      <c r="A486" t="s">
        <v>409</v>
      </c>
      <c r="B486" t="s">
        <v>4939</v>
      </c>
      <c r="C486" t="s">
        <v>29</v>
      </c>
      <c r="D486" t="s">
        <v>4810</v>
      </c>
      <c r="E486" s="1">
        <v>-6081</v>
      </c>
      <c r="F486" t="s">
        <v>2795</v>
      </c>
      <c r="G486" t="s">
        <v>292</v>
      </c>
      <c r="H486" t="s">
        <v>4940</v>
      </c>
      <c r="I486">
        <v>4</v>
      </c>
      <c r="J486" t="s">
        <v>479</v>
      </c>
      <c r="K486">
        <v>82</v>
      </c>
      <c r="L486" t="s">
        <v>4941</v>
      </c>
      <c r="M486" t="s">
        <v>4942</v>
      </c>
      <c r="N486" t="s">
        <v>4943</v>
      </c>
      <c r="O486" t="s">
        <v>4811</v>
      </c>
      <c r="P486" t="s">
        <v>4944</v>
      </c>
      <c r="Q486" t="s">
        <v>4945</v>
      </c>
      <c r="R486" t="s">
        <v>4946</v>
      </c>
      <c r="S486" s="2">
        <v>43175</v>
      </c>
      <c r="T486" t="s">
        <v>4947</v>
      </c>
      <c r="U486" t="s">
        <v>4948</v>
      </c>
      <c r="V486">
        <v>0</v>
      </c>
      <c r="W486">
        <v>9</v>
      </c>
      <c r="X486">
        <v>110886</v>
      </c>
      <c r="Y486" t="s">
        <v>1131</v>
      </c>
      <c r="Z486" t="s">
        <v>4945</v>
      </c>
      <c r="AA486" t="s">
        <v>1853</v>
      </c>
      <c r="AB486" t="s">
        <v>45</v>
      </c>
      <c r="AC486" t="s">
        <v>4812</v>
      </c>
    </row>
    <row r="487" spans="1:29">
      <c r="A487" t="s">
        <v>2972</v>
      </c>
      <c r="B487" s="1">
        <v>100011</v>
      </c>
      <c r="C487" t="s">
        <v>3095</v>
      </c>
      <c r="D487" t="s">
        <v>4810</v>
      </c>
      <c r="E487" s="1">
        <v>-2749</v>
      </c>
      <c r="F487" t="s">
        <v>2389</v>
      </c>
      <c r="G487" t="s">
        <v>1394</v>
      </c>
      <c r="H487" t="s">
        <v>4949</v>
      </c>
      <c r="I487">
        <v>4</v>
      </c>
      <c r="J487" t="s">
        <v>1702</v>
      </c>
      <c r="K487">
        <v>82</v>
      </c>
      <c r="L487" t="s">
        <v>4950</v>
      </c>
      <c r="M487" t="s">
        <v>4951</v>
      </c>
      <c r="N487" t="s">
        <v>4952</v>
      </c>
      <c r="O487" t="s">
        <v>4811</v>
      </c>
      <c r="P487" t="s">
        <v>4953</v>
      </c>
      <c r="Q487" t="s">
        <v>4954</v>
      </c>
      <c r="R487" t="s">
        <v>4952</v>
      </c>
      <c r="S487" s="2">
        <v>43329</v>
      </c>
      <c r="T487">
        <v>0</v>
      </c>
      <c r="U487" t="s">
        <v>4955</v>
      </c>
      <c r="V487">
        <v>1</v>
      </c>
      <c r="W487">
        <v>5</v>
      </c>
      <c r="X487">
        <v>214290</v>
      </c>
      <c r="Y487" t="s">
        <v>201</v>
      </c>
      <c r="Z487" t="s">
        <v>4954</v>
      </c>
      <c r="AA487" t="s">
        <v>1853</v>
      </c>
      <c r="AB487" t="s">
        <v>45</v>
      </c>
      <c r="AC487" t="s">
        <v>4812</v>
      </c>
    </row>
    <row r="488" spans="1:29">
      <c r="A488" t="s">
        <v>1278</v>
      </c>
      <c r="B488" s="1">
        <v>162012</v>
      </c>
      <c r="C488" t="s">
        <v>891</v>
      </c>
      <c r="D488" t="s">
        <v>4810</v>
      </c>
      <c r="E488" t="s">
        <v>2700</v>
      </c>
      <c r="F488" t="s">
        <v>1483</v>
      </c>
      <c r="G488" t="s">
        <v>252</v>
      </c>
      <c r="H488" t="s">
        <v>2701</v>
      </c>
      <c r="I488">
        <v>4</v>
      </c>
      <c r="J488" t="s">
        <v>2702</v>
      </c>
      <c r="K488">
        <v>83</v>
      </c>
      <c r="L488" t="s">
        <v>2703</v>
      </c>
      <c r="M488" t="s">
        <v>2704</v>
      </c>
      <c r="N488" t="s">
        <v>2073</v>
      </c>
      <c r="O488" t="s">
        <v>4811</v>
      </c>
      <c r="P488" t="s">
        <v>2705</v>
      </c>
      <c r="Q488" t="s">
        <v>2706</v>
      </c>
      <c r="R488" t="s">
        <v>2707</v>
      </c>
      <c r="S488" s="2">
        <v>45373</v>
      </c>
      <c r="T488" t="s">
        <v>2708</v>
      </c>
      <c r="U488" t="s">
        <v>2077</v>
      </c>
      <c r="V488">
        <v>0</v>
      </c>
      <c r="W488">
        <v>11</v>
      </c>
      <c r="X488">
        <v>267707</v>
      </c>
      <c r="Y488" t="s">
        <v>2709</v>
      </c>
      <c r="Z488" t="s">
        <v>2706</v>
      </c>
      <c r="AA488" t="s">
        <v>1853</v>
      </c>
      <c r="AB488" t="s">
        <v>45</v>
      </c>
      <c r="AC488" t="s">
        <v>4812</v>
      </c>
    </row>
    <row r="489" spans="1:29">
      <c r="A489" t="s">
        <v>4956</v>
      </c>
      <c r="B489" t="s">
        <v>4957</v>
      </c>
      <c r="C489" t="s">
        <v>904</v>
      </c>
      <c r="D489" t="s">
        <v>4810</v>
      </c>
      <c r="E489" s="1">
        <v>-4368</v>
      </c>
      <c r="F489" t="s">
        <v>3010</v>
      </c>
      <c r="G489" t="s">
        <v>4958</v>
      </c>
      <c r="H489" t="s">
        <v>4959</v>
      </c>
      <c r="I489">
        <v>4</v>
      </c>
      <c r="J489" t="s">
        <v>668</v>
      </c>
      <c r="K489">
        <v>82</v>
      </c>
      <c r="L489" t="s">
        <v>4960</v>
      </c>
      <c r="M489" t="s">
        <v>4961</v>
      </c>
      <c r="N489" t="s">
        <v>4962</v>
      </c>
      <c r="O489" t="s">
        <v>4811</v>
      </c>
      <c r="P489" t="s">
        <v>4963</v>
      </c>
      <c r="Q489" t="s">
        <v>4964</v>
      </c>
      <c r="R489" t="s">
        <v>4965</v>
      </c>
      <c r="S489" s="2">
        <v>43714</v>
      </c>
      <c r="T489">
        <v>0</v>
      </c>
      <c r="U489" t="s">
        <v>4966</v>
      </c>
      <c r="V489">
        <v>1</v>
      </c>
      <c r="W489">
        <v>2</v>
      </c>
      <c r="X489">
        <v>157560</v>
      </c>
      <c r="Y489" t="s">
        <v>1880</v>
      </c>
      <c r="Z489" t="s">
        <v>4964</v>
      </c>
      <c r="AA489" t="s">
        <v>1853</v>
      </c>
      <c r="AB489" t="s">
        <v>45</v>
      </c>
      <c r="AC489" t="s">
        <v>4812</v>
      </c>
    </row>
    <row r="490" spans="1:29">
      <c r="A490" t="s">
        <v>1267</v>
      </c>
      <c r="B490" s="1">
        <v>130001</v>
      </c>
      <c r="C490" t="s">
        <v>2509</v>
      </c>
      <c r="D490" t="s">
        <v>4810</v>
      </c>
      <c r="E490" s="1">
        <v>-6747</v>
      </c>
      <c r="F490" t="s">
        <v>318</v>
      </c>
      <c r="G490" t="s">
        <v>4007</v>
      </c>
      <c r="H490" t="s">
        <v>1856</v>
      </c>
      <c r="I490">
        <v>4</v>
      </c>
      <c r="J490" t="s">
        <v>3302</v>
      </c>
      <c r="K490">
        <v>82</v>
      </c>
      <c r="L490" t="s">
        <v>4967</v>
      </c>
      <c r="M490" t="s">
        <v>4968</v>
      </c>
      <c r="N490" t="s">
        <v>4969</v>
      </c>
      <c r="O490" t="s">
        <v>4811</v>
      </c>
      <c r="P490" t="s">
        <v>4970</v>
      </c>
      <c r="Q490" t="s">
        <v>4971</v>
      </c>
      <c r="R490" t="s">
        <v>4972</v>
      </c>
      <c r="S490" s="2">
        <v>45093</v>
      </c>
      <c r="T490">
        <v>0</v>
      </c>
      <c r="U490" t="s">
        <v>4973</v>
      </c>
      <c r="V490">
        <v>0</v>
      </c>
      <c r="W490">
        <v>1</v>
      </c>
      <c r="X490">
        <v>125040</v>
      </c>
      <c r="Y490" t="s">
        <v>1483</v>
      </c>
      <c r="Z490" t="s">
        <v>4971</v>
      </c>
      <c r="AA490" t="s">
        <v>1853</v>
      </c>
      <c r="AB490" t="s">
        <v>45</v>
      </c>
      <c r="AC490" t="s">
        <v>4812</v>
      </c>
    </row>
    <row r="491" spans="1:29">
      <c r="A491" t="s">
        <v>527</v>
      </c>
      <c r="B491" s="1">
        <v>90969</v>
      </c>
      <c r="C491" t="s">
        <v>460</v>
      </c>
      <c r="D491" t="s">
        <v>4810</v>
      </c>
      <c r="E491" s="1">
        <v>-5203</v>
      </c>
      <c r="F491" t="s">
        <v>528</v>
      </c>
      <c r="G491" t="s">
        <v>529</v>
      </c>
      <c r="H491" t="s">
        <v>530</v>
      </c>
      <c r="I491">
        <v>4</v>
      </c>
      <c r="J491" t="s">
        <v>531</v>
      </c>
      <c r="K491">
        <v>82</v>
      </c>
      <c r="L491" t="s">
        <v>532</v>
      </c>
      <c r="M491" t="s">
        <v>533</v>
      </c>
      <c r="N491" t="s">
        <v>534</v>
      </c>
      <c r="O491" t="s">
        <v>4811</v>
      </c>
      <c r="P491" t="s">
        <v>535</v>
      </c>
      <c r="Q491" t="s">
        <v>536</v>
      </c>
      <c r="R491" t="s">
        <v>534</v>
      </c>
      <c r="S491" s="2">
        <v>45338</v>
      </c>
      <c r="T491">
        <v>0</v>
      </c>
      <c r="U491" t="s">
        <v>537</v>
      </c>
      <c r="V491">
        <v>1</v>
      </c>
      <c r="W491">
        <v>2</v>
      </c>
      <c r="X491">
        <v>148318</v>
      </c>
      <c r="Y491" t="s">
        <v>538</v>
      </c>
      <c r="Z491" t="s">
        <v>536</v>
      </c>
      <c r="AA491" t="s">
        <v>1853</v>
      </c>
      <c r="AB491" t="s">
        <v>45</v>
      </c>
      <c r="AC491" t="s">
        <v>4812</v>
      </c>
    </row>
    <row r="492" spans="1:29">
      <c r="A492" t="s">
        <v>2262</v>
      </c>
      <c r="B492" t="s">
        <v>4974</v>
      </c>
      <c r="C492" t="s">
        <v>4160</v>
      </c>
      <c r="D492" t="s">
        <v>4810</v>
      </c>
      <c r="E492" s="1">
        <v>-8757</v>
      </c>
      <c r="F492" t="s">
        <v>1727</v>
      </c>
      <c r="G492" t="s">
        <v>585</v>
      </c>
      <c r="H492" t="s">
        <v>4975</v>
      </c>
      <c r="I492">
        <v>4</v>
      </c>
      <c r="J492" t="s">
        <v>1775</v>
      </c>
      <c r="K492">
        <v>81</v>
      </c>
      <c r="L492" t="s">
        <v>4976</v>
      </c>
      <c r="M492" t="s">
        <v>4977</v>
      </c>
      <c r="N492" t="s">
        <v>2308</v>
      </c>
      <c r="O492" t="s">
        <v>4811</v>
      </c>
      <c r="P492" t="s">
        <v>4978</v>
      </c>
      <c r="Q492" t="s">
        <v>4979</v>
      </c>
      <c r="R492" t="s">
        <v>4980</v>
      </c>
      <c r="S492" s="2">
        <v>45303</v>
      </c>
      <c r="T492" t="s">
        <v>4981</v>
      </c>
      <c r="U492" t="s">
        <v>2312</v>
      </c>
      <c r="V492">
        <v>1</v>
      </c>
      <c r="W492">
        <v>2</v>
      </c>
      <c r="X492">
        <v>270698</v>
      </c>
      <c r="Y492" t="s">
        <v>4982</v>
      </c>
      <c r="Z492" t="s">
        <v>4979</v>
      </c>
      <c r="AA492" t="s">
        <v>1853</v>
      </c>
      <c r="AB492" t="s">
        <v>45</v>
      </c>
      <c r="AC492" t="s">
        <v>4812</v>
      </c>
    </row>
    <row r="493" spans="1:29">
      <c r="A493" t="s">
        <v>1905</v>
      </c>
      <c r="B493" s="1">
        <v>83389</v>
      </c>
      <c r="C493" t="s">
        <v>2611</v>
      </c>
      <c r="D493" t="s">
        <v>4810</v>
      </c>
      <c r="E493" s="1">
        <v>-4474</v>
      </c>
      <c r="F493" t="s">
        <v>4647</v>
      </c>
      <c r="G493" t="s">
        <v>406</v>
      </c>
      <c r="H493" t="s">
        <v>4983</v>
      </c>
      <c r="I493">
        <v>4</v>
      </c>
      <c r="J493" t="s">
        <v>2970</v>
      </c>
      <c r="K493">
        <v>82</v>
      </c>
      <c r="L493" t="s">
        <v>4984</v>
      </c>
      <c r="M493" t="s">
        <v>4985</v>
      </c>
      <c r="N493" t="s">
        <v>2789</v>
      </c>
      <c r="O493" t="s">
        <v>4811</v>
      </c>
      <c r="P493" t="s">
        <v>4986</v>
      </c>
      <c r="Q493" t="s">
        <v>4987</v>
      </c>
      <c r="R493" t="s">
        <v>4988</v>
      </c>
      <c r="S493" s="2">
        <v>44680</v>
      </c>
      <c r="T493">
        <v>0</v>
      </c>
      <c r="U493" t="s">
        <v>2793</v>
      </c>
      <c r="V493">
        <v>1</v>
      </c>
      <c r="W493">
        <v>1</v>
      </c>
      <c r="X493">
        <v>189893</v>
      </c>
      <c r="Y493" t="s">
        <v>2620</v>
      </c>
      <c r="Z493" t="s">
        <v>4987</v>
      </c>
      <c r="AA493" t="s">
        <v>1853</v>
      </c>
      <c r="AB493" t="s">
        <v>45</v>
      </c>
      <c r="AC493" t="s">
        <v>4812</v>
      </c>
    </row>
    <row r="494" spans="1:29">
      <c r="A494" t="s">
        <v>1989</v>
      </c>
      <c r="B494" s="1">
        <v>129963</v>
      </c>
      <c r="C494" t="s">
        <v>2814</v>
      </c>
      <c r="D494" t="s">
        <v>4810</v>
      </c>
      <c r="E494" s="1">
        <v>-4752</v>
      </c>
      <c r="F494" t="s">
        <v>513</v>
      </c>
      <c r="G494" t="s">
        <v>108</v>
      </c>
      <c r="H494" t="s">
        <v>4989</v>
      </c>
      <c r="I494">
        <v>4</v>
      </c>
      <c r="J494" t="s">
        <v>1632</v>
      </c>
      <c r="K494">
        <v>81</v>
      </c>
      <c r="L494" t="s">
        <v>4990</v>
      </c>
      <c r="M494" t="s">
        <v>4991</v>
      </c>
      <c r="N494" t="s">
        <v>4992</v>
      </c>
      <c r="O494" t="s">
        <v>4811</v>
      </c>
      <c r="P494" t="s">
        <v>4993</v>
      </c>
      <c r="Q494" t="s">
        <v>4994</v>
      </c>
      <c r="R494" t="s">
        <v>4992</v>
      </c>
      <c r="S494" s="2">
        <v>45415</v>
      </c>
      <c r="T494">
        <v>0</v>
      </c>
      <c r="U494" t="s">
        <v>4995</v>
      </c>
      <c r="V494">
        <v>1</v>
      </c>
      <c r="W494">
        <v>5</v>
      </c>
      <c r="X494">
        <v>168454</v>
      </c>
      <c r="Y494" t="s">
        <v>4996</v>
      </c>
      <c r="Z494" t="s">
        <v>4994</v>
      </c>
      <c r="AA494" t="s">
        <v>1853</v>
      </c>
      <c r="AB494" t="s">
        <v>45</v>
      </c>
      <c r="AC494" t="s">
        <v>4812</v>
      </c>
    </row>
    <row r="495" spans="1:29">
      <c r="A495" t="s">
        <v>1668</v>
      </c>
      <c r="B495" s="1">
        <v>128009</v>
      </c>
      <c r="C495" t="s">
        <v>4734</v>
      </c>
      <c r="D495" t="s">
        <v>4810</v>
      </c>
      <c r="E495" s="1">
        <v>-5723</v>
      </c>
      <c r="F495" t="s">
        <v>1643</v>
      </c>
      <c r="G495" t="s">
        <v>605</v>
      </c>
      <c r="H495" t="s">
        <v>4940</v>
      </c>
      <c r="I495">
        <v>4</v>
      </c>
      <c r="J495" t="s">
        <v>214</v>
      </c>
      <c r="K495">
        <v>81</v>
      </c>
      <c r="L495" t="s">
        <v>4997</v>
      </c>
      <c r="M495" t="s">
        <v>4998</v>
      </c>
      <c r="N495" t="s">
        <v>4943</v>
      </c>
      <c r="O495" t="s">
        <v>4811</v>
      </c>
      <c r="P495" t="s">
        <v>4999</v>
      </c>
      <c r="Q495" t="s">
        <v>5000</v>
      </c>
      <c r="R495" t="s">
        <v>5001</v>
      </c>
      <c r="S495" s="2">
        <v>43175</v>
      </c>
      <c r="T495" t="s">
        <v>5002</v>
      </c>
      <c r="U495" t="s">
        <v>4948</v>
      </c>
      <c r="V495">
        <v>0</v>
      </c>
      <c r="W495">
        <v>9</v>
      </c>
      <c r="X495">
        <v>135090</v>
      </c>
      <c r="Y495" t="s">
        <v>3115</v>
      </c>
      <c r="Z495" t="s">
        <v>5000</v>
      </c>
      <c r="AA495" t="s">
        <v>1853</v>
      </c>
      <c r="AB495" t="s">
        <v>45</v>
      </c>
      <c r="AC495" t="s">
        <v>4812</v>
      </c>
    </row>
    <row r="496" spans="1:29">
      <c r="A496" t="s">
        <v>2375</v>
      </c>
      <c r="B496" s="1">
        <v>165995</v>
      </c>
      <c r="C496" t="s">
        <v>62</v>
      </c>
      <c r="D496" t="s">
        <v>4810</v>
      </c>
      <c r="E496" t="s">
        <v>5003</v>
      </c>
      <c r="F496" t="s">
        <v>5004</v>
      </c>
      <c r="G496" t="s">
        <v>4473</v>
      </c>
      <c r="H496" t="s">
        <v>5005</v>
      </c>
      <c r="I496">
        <v>4</v>
      </c>
      <c r="J496" t="s">
        <v>1359</v>
      </c>
      <c r="K496">
        <v>81</v>
      </c>
      <c r="L496" t="s">
        <v>5006</v>
      </c>
      <c r="M496" t="s">
        <v>5007</v>
      </c>
      <c r="N496" t="s">
        <v>5008</v>
      </c>
      <c r="O496" t="s">
        <v>4811</v>
      </c>
      <c r="P496" t="s">
        <v>5009</v>
      </c>
      <c r="Q496" t="s">
        <v>5010</v>
      </c>
      <c r="R496" t="s">
        <v>5011</v>
      </c>
      <c r="S496" s="2">
        <v>43847</v>
      </c>
      <c r="T496">
        <v>0</v>
      </c>
      <c r="U496" t="s">
        <v>5012</v>
      </c>
      <c r="V496">
        <v>0</v>
      </c>
      <c r="W496">
        <v>10</v>
      </c>
      <c r="X496">
        <v>210800</v>
      </c>
      <c r="Y496" t="s">
        <v>2929</v>
      </c>
      <c r="Z496" t="s">
        <v>5010</v>
      </c>
      <c r="AA496" t="s">
        <v>1853</v>
      </c>
      <c r="AB496" t="s">
        <v>45</v>
      </c>
      <c r="AC496" t="s">
        <v>4812</v>
      </c>
    </row>
    <row r="497" spans="1:29">
      <c r="A497" t="s">
        <v>392</v>
      </c>
      <c r="B497" s="1">
        <v>120064</v>
      </c>
      <c r="C497" t="s">
        <v>5013</v>
      </c>
      <c r="D497" t="s">
        <v>4810</v>
      </c>
      <c r="E497" s="1">
        <v>-7132</v>
      </c>
      <c r="F497" t="s">
        <v>160</v>
      </c>
      <c r="G497" t="s">
        <v>2488</v>
      </c>
      <c r="H497" t="s">
        <v>5014</v>
      </c>
      <c r="I497">
        <v>4</v>
      </c>
      <c r="J497" t="s">
        <v>5015</v>
      </c>
      <c r="K497">
        <v>81</v>
      </c>
      <c r="L497" t="s">
        <v>5016</v>
      </c>
      <c r="M497" t="s">
        <v>5017</v>
      </c>
      <c r="N497" t="s">
        <v>5018</v>
      </c>
      <c r="O497" t="s">
        <v>4811</v>
      </c>
      <c r="P497" t="s">
        <v>5019</v>
      </c>
      <c r="Q497" t="s">
        <v>5020</v>
      </c>
      <c r="R497" t="s">
        <v>5018</v>
      </c>
      <c r="S497" s="2">
        <v>45380</v>
      </c>
      <c r="T497" t="s">
        <v>4903</v>
      </c>
      <c r="U497" t="s">
        <v>5021</v>
      </c>
      <c r="V497">
        <v>0</v>
      </c>
      <c r="W497">
        <v>5</v>
      </c>
      <c r="X497">
        <v>152250</v>
      </c>
      <c r="Y497" t="s">
        <v>5022</v>
      </c>
      <c r="Z497" t="s">
        <v>5020</v>
      </c>
      <c r="AA497" t="s">
        <v>1853</v>
      </c>
      <c r="AB497" t="s">
        <v>45</v>
      </c>
      <c r="AC497" t="s">
        <v>4812</v>
      </c>
    </row>
    <row r="498" spans="1:29">
      <c r="A498" t="s">
        <v>291</v>
      </c>
      <c r="B498" s="1">
        <v>130035</v>
      </c>
      <c r="C498" t="s">
        <v>1836</v>
      </c>
      <c r="D498" t="s">
        <v>4810</v>
      </c>
      <c r="E498" s="1">
        <v>-4318</v>
      </c>
      <c r="F498" t="s">
        <v>4241</v>
      </c>
      <c r="G498" t="s">
        <v>1199</v>
      </c>
      <c r="H498" t="s">
        <v>1856</v>
      </c>
      <c r="I498">
        <v>4</v>
      </c>
      <c r="J498" t="s">
        <v>2022</v>
      </c>
      <c r="K498">
        <v>82</v>
      </c>
      <c r="L498" t="s">
        <v>5023</v>
      </c>
      <c r="M498" t="s">
        <v>5024</v>
      </c>
      <c r="N498" t="s">
        <v>4899</v>
      </c>
      <c r="O498" t="s">
        <v>4811</v>
      </c>
      <c r="P498" t="s">
        <v>5025</v>
      </c>
      <c r="Q498" t="s">
        <v>5026</v>
      </c>
      <c r="R498" t="s">
        <v>5027</v>
      </c>
      <c r="S498" s="2">
        <v>45422</v>
      </c>
      <c r="T498" t="s">
        <v>5028</v>
      </c>
      <c r="U498" t="s">
        <v>4904</v>
      </c>
      <c r="V498">
        <v>0</v>
      </c>
      <c r="W498">
        <v>4</v>
      </c>
      <c r="X498">
        <v>90760</v>
      </c>
      <c r="Y498" t="s">
        <v>2002</v>
      </c>
      <c r="Z498" t="s">
        <v>5026</v>
      </c>
      <c r="AA498" t="s">
        <v>1853</v>
      </c>
      <c r="AB498" t="s">
        <v>45</v>
      </c>
      <c r="AC498" t="s">
        <v>4812</v>
      </c>
    </row>
    <row r="499" spans="1:29">
      <c r="A499" t="s">
        <v>5029</v>
      </c>
      <c r="B499" s="1">
        <v>150019</v>
      </c>
      <c r="C499" t="s">
        <v>892</v>
      </c>
      <c r="D499" t="s">
        <v>4810</v>
      </c>
      <c r="E499" s="1">
        <v>-5149</v>
      </c>
      <c r="F499" t="s">
        <v>983</v>
      </c>
      <c r="G499" t="s">
        <v>346</v>
      </c>
      <c r="H499" t="s">
        <v>5030</v>
      </c>
      <c r="I499">
        <v>4</v>
      </c>
      <c r="J499" t="s">
        <v>1775</v>
      </c>
      <c r="K499">
        <v>81</v>
      </c>
      <c r="L499" t="s">
        <v>5031</v>
      </c>
      <c r="M499" t="s">
        <v>5032</v>
      </c>
      <c r="N499" t="s">
        <v>5033</v>
      </c>
      <c r="O499" t="s">
        <v>4811</v>
      </c>
      <c r="P499" t="s">
        <v>5034</v>
      </c>
      <c r="Q499" t="s">
        <v>5035</v>
      </c>
      <c r="R499" t="s">
        <v>5033</v>
      </c>
      <c r="S499" s="2">
        <v>45261</v>
      </c>
      <c r="T499" t="s">
        <v>5036</v>
      </c>
      <c r="U499" t="s">
        <v>5037</v>
      </c>
      <c r="V499">
        <v>1</v>
      </c>
      <c r="W499">
        <v>11</v>
      </c>
      <c r="X499">
        <v>140000</v>
      </c>
      <c r="Y499" t="s">
        <v>5038</v>
      </c>
      <c r="Z499" t="s">
        <v>5035</v>
      </c>
      <c r="AA499" t="s">
        <v>1853</v>
      </c>
      <c r="AB499" t="s">
        <v>45</v>
      </c>
      <c r="AC499" t="s">
        <v>4812</v>
      </c>
    </row>
    <row r="500" spans="1:29">
      <c r="A500" t="s">
        <v>391</v>
      </c>
      <c r="B500" s="1">
        <v>120042</v>
      </c>
      <c r="C500" t="s">
        <v>4376</v>
      </c>
      <c r="D500" t="s">
        <v>4810</v>
      </c>
      <c r="E500" t="s">
        <v>5039</v>
      </c>
      <c r="F500" t="s">
        <v>1526</v>
      </c>
      <c r="G500" t="s">
        <v>4065</v>
      </c>
      <c r="H500" t="s">
        <v>4931</v>
      </c>
      <c r="I500">
        <v>4</v>
      </c>
      <c r="J500" t="s">
        <v>1632</v>
      </c>
      <c r="K500">
        <v>81</v>
      </c>
      <c r="L500" t="s">
        <v>5040</v>
      </c>
      <c r="M500" t="s">
        <v>5041</v>
      </c>
      <c r="N500" t="s">
        <v>4934</v>
      </c>
      <c r="O500" t="s">
        <v>4811</v>
      </c>
      <c r="P500" t="s">
        <v>5042</v>
      </c>
      <c r="Q500" t="s">
        <v>5043</v>
      </c>
      <c r="R500">
        <v>360</v>
      </c>
      <c r="S500" s="2">
        <v>45450</v>
      </c>
      <c r="T500" t="s">
        <v>585</v>
      </c>
      <c r="U500" t="s">
        <v>4938</v>
      </c>
      <c r="V500">
        <v>1</v>
      </c>
      <c r="W500">
        <v>0</v>
      </c>
      <c r="X500">
        <v>133805</v>
      </c>
      <c r="Y500" t="s">
        <v>460</v>
      </c>
      <c r="Z500" t="s">
        <v>5043</v>
      </c>
      <c r="AA500" t="s">
        <v>1853</v>
      </c>
      <c r="AB500" t="s">
        <v>45</v>
      </c>
      <c r="AC500" t="s">
        <v>4812</v>
      </c>
    </row>
    <row r="501" spans="1:29">
      <c r="A501" t="s">
        <v>1836</v>
      </c>
      <c r="B501" s="1">
        <v>127003</v>
      </c>
      <c r="C501" t="s">
        <v>1597</v>
      </c>
      <c r="D501" t="s">
        <v>4810</v>
      </c>
      <c r="E501" t="s">
        <v>5044</v>
      </c>
      <c r="F501" t="s">
        <v>5045</v>
      </c>
      <c r="G501" t="s">
        <v>2801</v>
      </c>
      <c r="H501" t="s">
        <v>5046</v>
      </c>
      <c r="I501">
        <v>4</v>
      </c>
      <c r="J501" t="s">
        <v>703</v>
      </c>
      <c r="K501">
        <v>81</v>
      </c>
      <c r="L501" t="s">
        <v>5047</v>
      </c>
      <c r="M501" t="s">
        <v>5048</v>
      </c>
      <c r="N501" t="s">
        <v>5049</v>
      </c>
      <c r="O501" t="s">
        <v>4811</v>
      </c>
      <c r="P501" t="s">
        <v>5050</v>
      </c>
      <c r="Q501" t="s">
        <v>5051</v>
      </c>
      <c r="R501" t="s">
        <v>5049</v>
      </c>
      <c r="S501" s="2">
        <v>45443</v>
      </c>
      <c r="T501" t="s">
        <v>5052</v>
      </c>
      <c r="U501" t="s">
        <v>5053</v>
      </c>
      <c r="V501">
        <v>0</v>
      </c>
      <c r="W501">
        <v>9</v>
      </c>
      <c r="X501">
        <v>227239</v>
      </c>
      <c r="Y501" t="s">
        <v>3238</v>
      </c>
      <c r="Z501" t="s">
        <v>5051</v>
      </c>
      <c r="AA501" t="s">
        <v>1853</v>
      </c>
      <c r="AB501" t="s">
        <v>45</v>
      </c>
      <c r="AC501" t="s">
        <v>4812</v>
      </c>
    </row>
    <row r="502" spans="1:29">
      <c r="A502" t="s">
        <v>460</v>
      </c>
      <c r="B502" s="1">
        <v>115842</v>
      </c>
      <c r="C502" t="s">
        <v>461</v>
      </c>
      <c r="D502" t="s">
        <v>4810</v>
      </c>
      <c r="E502" s="1">
        <v>-8334</v>
      </c>
      <c r="F502" t="s">
        <v>462</v>
      </c>
      <c r="G502" t="s">
        <v>463</v>
      </c>
      <c r="H502" t="s">
        <v>464</v>
      </c>
      <c r="I502">
        <v>4</v>
      </c>
      <c r="J502" t="s">
        <v>465</v>
      </c>
      <c r="K502">
        <v>81</v>
      </c>
      <c r="L502" t="s">
        <v>466</v>
      </c>
      <c r="M502" t="s">
        <v>467</v>
      </c>
      <c r="N502" t="s">
        <v>468</v>
      </c>
      <c r="O502" t="s">
        <v>4811</v>
      </c>
      <c r="P502" t="s">
        <v>469</v>
      </c>
      <c r="Q502" t="s">
        <v>470</v>
      </c>
      <c r="R502" t="s">
        <v>471</v>
      </c>
      <c r="S502" s="2">
        <v>45359</v>
      </c>
      <c r="T502" t="s">
        <v>472</v>
      </c>
      <c r="U502" t="s">
        <v>473</v>
      </c>
      <c r="V502">
        <v>1</v>
      </c>
      <c r="W502">
        <v>5</v>
      </c>
      <c r="X502">
        <v>228639</v>
      </c>
      <c r="Y502" t="s">
        <v>474</v>
      </c>
      <c r="Z502" t="s">
        <v>470</v>
      </c>
      <c r="AA502" t="s">
        <v>1853</v>
      </c>
      <c r="AB502" t="s">
        <v>45</v>
      </c>
      <c r="AC502" t="s">
        <v>4812</v>
      </c>
    </row>
    <row r="503" spans="1:29">
      <c r="A503" t="s">
        <v>188</v>
      </c>
      <c r="B503" s="1">
        <v>116971</v>
      </c>
      <c r="C503" t="s">
        <v>3388</v>
      </c>
      <c r="D503" t="s">
        <v>4810</v>
      </c>
      <c r="E503" s="1">
        <v>-6687</v>
      </c>
      <c r="F503" t="s">
        <v>2579</v>
      </c>
      <c r="G503" t="s">
        <v>1905</v>
      </c>
      <c r="H503" t="s">
        <v>5054</v>
      </c>
      <c r="I503">
        <v>4</v>
      </c>
      <c r="J503" t="s">
        <v>3913</v>
      </c>
      <c r="K503">
        <v>81</v>
      </c>
      <c r="L503" t="s">
        <v>5055</v>
      </c>
      <c r="M503" t="s">
        <v>5056</v>
      </c>
      <c r="N503" t="s">
        <v>5057</v>
      </c>
      <c r="O503" t="s">
        <v>4811</v>
      </c>
      <c r="P503" t="s">
        <v>5058</v>
      </c>
      <c r="Q503" t="s">
        <v>5059</v>
      </c>
      <c r="R503" t="s">
        <v>5060</v>
      </c>
      <c r="S503" s="2">
        <v>43805</v>
      </c>
      <c r="T503">
        <v>0</v>
      </c>
      <c r="U503" t="s">
        <v>5061</v>
      </c>
      <c r="V503">
        <v>0</v>
      </c>
      <c r="W503">
        <v>10</v>
      </c>
      <c r="X503">
        <v>196653</v>
      </c>
      <c r="Y503" t="s">
        <v>189</v>
      </c>
      <c r="Z503" t="s">
        <v>5059</v>
      </c>
      <c r="AA503" t="s">
        <v>1853</v>
      </c>
      <c r="AB503" t="s">
        <v>45</v>
      </c>
      <c r="AC503" t="s">
        <v>4812</v>
      </c>
    </row>
    <row r="504" spans="1:29">
      <c r="A504" t="s">
        <v>5062</v>
      </c>
      <c r="B504" s="1">
        <v>104983</v>
      </c>
      <c r="C504" t="s">
        <v>863</v>
      </c>
      <c r="D504" t="s">
        <v>4810</v>
      </c>
      <c r="E504" s="1">
        <v>-4911</v>
      </c>
      <c r="F504" t="s">
        <v>5063</v>
      </c>
      <c r="G504" t="s">
        <v>1786</v>
      </c>
      <c r="H504" t="s">
        <v>5064</v>
      </c>
      <c r="I504">
        <v>4</v>
      </c>
      <c r="J504" t="s">
        <v>3459</v>
      </c>
      <c r="K504">
        <v>81</v>
      </c>
      <c r="L504" t="s">
        <v>5065</v>
      </c>
      <c r="M504" t="s">
        <v>5066</v>
      </c>
      <c r="N504" t="s">
        <v>5067</v>
      </c>
      <c r="O504" t="s">
        <v>4811</v>
      </c>
      <c r="P504" t="s">
        <v>5068</v>
      </c>
      <c r="Q504" t="s">
        <v>5069</v>
      </c>
      <c r="R504" t="s">
        <v>5067</v>
      </c>
      <c r="S504" s="2">
        <v>45240</v>
      </c>
      <c r="T504" t="s">
        <v>5070</v>
      </c>
      <c r="U504" t="s">
        <v>5071</v>
      </c>
      <c r="V504">
        <v>1</v>
      </c>
      <c r="W504">
        <v>2</v>
      </c>
      <c r="X504">
        <v>138411</v>
      </c>
      <c r="Y504" t="s">
        <v>5072</v>
      </c>
      <c r="Z504" t="s">
        <v>5069</v>
      </c>
      <c r="AA504" t="s">
        <v>1853</v>
      </c>
      <c r="AB504" t="s">
        <v>45</v>
      </c>
      <c r="AC504" t="s">
        <v>4812</v>
      </c>
    </row>
    <row r="505" spans="1:29">
      <c r="A505" t="s">
        <v>3312</v>
      </c>
      <c r="B505" s="1">
        <v>155096</v>
      </c>
      <c r="C505" t="s">
        <v>1396</v>
      </c>
      <c r="D505" t="s">
        <v>4810</v>
      </c>
      <c r="E505" s="1">
        <v>-6366</v>
      </c>
      <c r="F505" t="s">
        <v>1528</v>
      </c>
      <c r="G505" t="s">
        <v>5073</v>
      </c>
      <c r="H505" t="s">
        <v>2003</v>
      </c>
      <c r="I505">
        <v>4</v>
      </c>
      <c r="J505" t="s">
        <v>2702</v>
      </c>
      <c r="K505">
        <v>81</v>
      </c>
      <c r="L505" t="s">
        <v>5074</v>
      </c>
      <c r="M505" t="s">
        <v>5075</v>
      </c>
      <c r="N505" t="s">
        <v>5076</v>
      </c>
      <c r="O505" t="s">
        <v>4811</v>
      </c>
      <c r="P505" t="s">
        <v>5077</v>
      </c>
      <c r="Q505" t="s">
        <v>5078</v>
      </c>
      <c r="R505" t="s">
        <v>5079</v>
      </c>
      <c r="S505" s="2">
        <v>42972</v>
      </c>
      <c r="T505">
        <v>0</v>
      </c>
      <c r="U505" t="s">
        <v>5080</v>
      </c>
      <c r="V505">
        <v>0</v>
      </c>
      <c r="W505">
        <v>11</v>
      </c>
      <c r="X505">
        <v>182707</v>
      </c>
      <c r="Y505" t="s">
        <v>5081</v>
      </c>
      <c r="Z505" t="s">
        <v>5078</v>
      </c>
      <c r="AA505" t="s">
        <v>1853</v>
      </c>
      <c r="AB505" t="s">
        <v>45</v>
      </c>
      <c r="AC505" t="s">
        <v>4812</v>
      </c>
    </row>
    <row r="506" spans="1:29">
      <c r="A506" t="s">
        <v>2210</v>
      </c>
      <c r="B506" s="1">
        <v>140113</v>
      </c>
      <c r="C506" t="s">
        <v>630</v>
      </c>
      <c r="D506" t="s">
        <v>4810</v>
      </c>
      <c r="E506" s="1">
        <v>-5241</v>
      </c>
      <c r="F506" t="s">
        <v>1483</v>
      </c>
      <c r="G506" t="s">
        <v>2211</v>
      </c>
      <c r="H506" t="s">
        <v>2212</v>
      </c>
      <c r="I506">
        <v>4</v>
      </c>
      <c r="J506" t="s">
        <v>351</v>
      </c>
      <c r="K506">
        <v>81</v>
      </c>
      <c r="L506" t="s">
        <v>2213</v>
      </c>
      <c r="M506" t="s">
        <v>2214</v>
      </c>
      <c r="N506" t="s">
        <v>2215</v>
      </c>
      <c r="O506" t="s">
        <v>4811</v>
      </c>
      <c r="P506" t="s">
        <v>2216</v>
      </c>
      <c r="Q506" t="s">
        <v>2217</v>
      </c>
      <c r="R506" t="s">
        <v>2215</v>
      </c>
      <c r="S506" s="2">
        <v>45435</v>
      </c>
      <c r="T506">
        <v>0</v>
      </c>
      <c r="U506" t="s">
        <v>2218</v>
      </c>
      <c r="V506">
        <v>1</v>
      </c>
      <c r="W506">
        <v>11</v>
      </c>
      <c r="X506">
        <v>140733</v>
      </c>
      <c r="Y506" t="s">
        <v>1896</v>
      </c>
      <c r="Z506" t="s">
        <v>2217</v>
      </c>
      <c r="AA506" t="s">
        <v>1853</v>
      </c>
      <c r="AB506" t="s">
        <v>45</v>
      </c>
      <c r="AC506" t="s">
        <v>4812</v>
      </c>
    </row>
    <row r="507" spans="1:29">
      <c r="A507" t="s">
        <v>2219</v>
      </c>
      <c r="B507" s="1">
        <v>121031</v>
      </c>
      <c r="C507" t="s">
        <v>3073</v>
      </c>
      <c r="D507" t="s">
        <v>4810</v>
      </c>
      <c r="E507" s="1">
        <v>-8312</v>
      </c>
      <c r="F507" t="s">
        <v>2613</v>
      </c>
      <c r="G507" t="s">
        <v>449</v>
      </c>
      <c r="H507" t="s">
        <v>5082</v>
      </c>
      <c r="I507">
        <v>4</v>
      </c>
      <c r="J507" t="s">
        <v>5083</v>
      </c>
      <c r="K507">
        <v>81</v>
      </c>
      <c r="L507" t="s">
        <v>5084</v>
      </c>
      <c r="M507" t="s">
        <v>5085</v>
      </c>
      <c r="N507" t="s">
        <v>5086</v>
      </c>
      <c r="O507" t="s">
        <v>4811</v>
      </c>
      <c r="P507" t="s">
        <v>5087</v>
      </c>
      <c r="Q507" t="s">
        <v>5088</v>
      </c>
      <c r="R507" t="s">
        <v>5089</v>
      </c>
      <c r="S507" s="2">
        <v>45240</v>
      </c>
      <c r="T507" t="s">
        <v>5090</v>
      </c>
      <c r="U507" t="s">
        <v>5091</v>
      </c>
      <c r="V507">
        <v>0</v>
      </c>
      <c r="W507">
        <v>6</v>
      </c>
      <c r="X507">
        <v>149067</v>
      </c>
      <c r="Y507" t="s">
        <v>4472</v>
      </c>
      <c r="Z507" t="s">
        <v>5088</v>
      </c>
      <c r="AA507" t="s">
        <v>1853</v>
      </c>
      <c r="AB507" t="s">
        <v>45</v>
      </c>
      <c r="AC507" t="s">
        <v>4812</v>
      </c>
    </row>
    <row r="508" spans="1:29">
      <c r="A508" t="s">
        <v>2134</v>
      </c>
      <c r="B508" s="1">
        <v>80511</v>
      </c>
      <c r="C508" t="s">
        <v>4473</v>
      </c>
      <c r="D508" t="s">
        <v>4810</v>
      </c>
      <c r="E508" s="1">
        <v>-5865</v>
      </c>
      <c r="F508" t="s">
        <v>408</v>
      </c>
      <c r="G508" t="s">
        <v>377</v>
      </c>
      <c r="H508" t="s">
        <v>5092</v>
      </c>
      <c r="I508">
        <v>4</v>
      </c>
      <c r="J508" t="s">
        <v>4161</v>
      </c>
      <c r="K508">
        <v>80</v>
      </c>
      <c r="L508" t="s">
        <v>5093</v>
      </c>
      <c r="M508" t="s">
        <v>5094</v>
      </c>
      <c r="N508" t="s">
        <v>5095</v>
      </c>
      <c r="O508" t="s">
        <v>4811</v>
      </c>
      <c r="P508" t="s">
        <v>5096</v>
      </c>
      <c r="Q508" t="s">
        <v>5097</v>
      </c>
      <c r="R508">
        <v>2055</v>
      </c>
      <c r="S508" s="2">
        <v>44349</v>
      </c>
      <c r="T508">
        <v>0</v>
      </c>
      <c r="U508" t="s">
        <v>5098</v>
      </c>
      <c r="V508">
        <v>0</v>
      </c>
      <c r="W508">
        <v>6</v>
      </c>
      <c r="X508">
        <v>123987</v>
      </c>
      <c r="Y508" t="s">
        <v>145</v>
      </c>
      <c r="Z508" t="s">
        <v>5097</v>
      </c>
      <c r="AA508" t="s">
        <v>1853</v>
      </c>
      <c r="AB508" t="s">
        <v>45</v>
      </c>
      <c r="AC508" t="s">
        <v>4812</v>
      </c>
    </row>
    <row r="509" spans="1:29">
      <c r="A509" t="s">
        <v>813</v>
      </c>
      <c r="B509" s="1">
        <v>91007</v>
      </c>
      <c r="C509" t="s">
        <v>320</v>
      </c>
      <c r="D509" t="s">
        <v>4810</v>
      </c>
      <c r="E509" s="1">
        <v>-3671</v>
      </c>
      <c r="F509" t="s">
        <v>1640</v>
      </c>
      <c r="G509" t="s">
        <v>1396</v>
      </c>
      <c r="H509" t="s">
        <v>5099</v>
      </c>
      <c r="I509">
        <v>4</v>
      </c>
      <c r="J509" t="s">
        <v>2324</v>
      </c>
      <c r="K509">
        <v>80</v>
      </c>
      <c r="L509" t="s">
        <v>5100</v>
      </c>
      <c r="M509" t="s">
        <v>5101</v>
      </c>
      <c r="N509" t="s">
        <v>5102</v>
      </c>
      <c r="O509" t="s">
        <v>4811</v>
      </c>
      <c r="P509" t="s">
        <v>5103</v>
      </c>
      <c r="Q509" t="s">
        <v>5104</v>
      </c>
      <c r="R509" t="s">
        <v>5105</v>
      </c>
      <c r="S509" s="2">
        <v>44281</v>
      </c>
      <c r="T509">
        <v>0</v>
      </c>
      <c r="U509" t="s">
        <v>5106</v>
      </c>
      <c r="V509">
        <v>0</v>
      </c>
      <c r="W509">
        <v>7</v>
      </c>
      <c r="X509">
        <v>140533</v>
      </c>
      <c r="Y509" t="s">
        <v>2766</v>
      </c>
      <c r="Z509" t="s">
        <v>5104</v>
      </c>
      <c r="AA509" t="s">
        <v>1853</v>
      </c>
      <c r="AB509" t="s">
        <v>45</v>
      </c>
      <c r="AC509" t="s">
        <v>4812</v>
      </c>
    </row>
    <row r="510" spans="1:29">
      <c r="A510" t="s">
        <v>3206</v>
      </c>
      <c r="B510" s="1">
        <v>129923</v>
      </c>
      <c r="C510" t="s">
        <v>580</v>
      </c>
      <c r="D510" t="s">
        <v>4810</v>
      </c>
      <c r="E510" s="1">
        <v>-4706</v>
      </c>
      <c r="F510" t="s">
        <v>5107</v>
      </c>
      <c r="G510" t="s">
        <v>566</v>
      </c>
      <c r="H510" t="s">
        <v>5108</v>
      </c>
      <c r="I510">
        <v>4</v>
      </c>
      <c r="J510" t="s">
        <v>5109</v>
      </c>
      <c r="K510">
        <v>80</v>
      </c>
      <c r="L510" t="s">
        <v>5110</v>
      </c>
      <c r="M510" t="s">
        <v>5111</v>
      </c>
      <c r="N510" t="s">
        <v>5112</v>
      </c>
      <c r="O510" t="s">
        <v>4811</v>
      </c>
      <c r="P510" t="s">
        <v>5113</v>
      </c>
      <c r="Q510" t="s">
        <v>5114</v>
      </c>
      <c r="R510" t="s">
        <v>5112</v>
      </c>
      <c r="S510" s="2">
        <v>45366</v>
      </c>
      <c r="T510" t="s">
        <v>251</v>
      </c>
      <c r="U510" t="s">
        <v>5115</v>
      </c>
      <c r="V510">
        <v>1</v>
      </c>
      <c r="W510">
        <v>1</v>
      </c>
      <c r="X510">
        <v>107077</v>
      </c>
      <c r="Y510" t="s">
        <v>2856</v>
      </c>
      <c r="Z510" t="s">
        <v>5114</v>
      </c>
      <c r="AA510" t="s">
        <v>1853</v>
      </c>
      <c r="AB510" t="s">
        <v>45</v>
      </c>
      <c r="AC510" t="s">
        <v>4812</v>
      </c>
    </row>
    <row r="511" spans="1:29">
      <c r="A511" t="s">
        <v>892</v>
      </c>
      <c r="B511" s="1">
        <v>165921</v>
      </c>
      <c r="C511" t="s">
        <v>1492</v>
      </c>
      <c r="D511" t="s">
        <v>4810</v>
      </c>
      <c r="E511" s="1">
        <v>-4711</v>
      </c>
      <c r="F511" t="s">
        <v>2455</v>
      </c>
      <c r="G511" t="s">
        <v>1434</v>
      </c>
      <c r="H511" t="s">
        <v>2456</v>
      </c>
      <c r="I511">
        <v>4</v>
      </c>
      <c r="J511" t="s">
        <v>2457</v>
      </c>
      <c r="K511">
        <v>80</v>
      </c>
      <c r="L511" t="s">
        <v>2458</v>
      </c>
      <c r="M511" t="s">
        <v>2459</v>
      </c>
      <c r="N511" t="s">
        <v>2460</v>
      </c>
      <c r="O511" t="s">
        <v>4811</v>
      </c>
      <c r="P511" t="s">
        <v>2461</v>
      </c>
      <c r="Q511" t="s">
        <v>2462</v>
      </c>
      <c r="R511" t="s">
        <v>2463</v>
      </c>
      <c r="S511" s="2">
        <v>44729</v>
      </c>
      <c r="T511" t="s">
        <v>2464</v>
      </c>
      <c r="U511" t="s">
        <v>2465</v>
      </c>
      <c r="V511">
        <v>1</v>
      </c>
      <c r="W511">
        <v>0</v>
      </c>
      <c r="X511">
        <v>218365</v>
      </c>
      <c r="Y511" t="s">
        <v>2466</v>
      </c>
      <c r="Z511" t="s">
        <v>2462</v>
      </c>
      <c r="AA511" t="s">
        <v>1853</v>
      </c>
      <c r="AB511" t="s">
        <v>45</v>
      </c>
      <c r="AC511" t="s">
        <v>4812</v>
      </c>
    </row>
    <row r="512" spans="1:29">
      <c r="A512" t="s">
        <v>1431</v>
      </c>
      <c r="B512" s="1">
        <v>116624</v>
      </c>
      <c r="C512" t="s">
        <v>212</v>
      </c>
      <c r="D512" t="s">
        <v>4810</v>
      </c>
      <c r="E512" s="1">
        <v>-5298</v>
      </c>
      <c r="F512" t="s">
        <v>1864</v>
      </c>
      <c r="G512" t="s">
        <v>1880</v>
      </c>
      <c r="H512" t="s">
        <v>2271</v>
      </c>
      <c r="I512">
        <v>4</v>
      </c>
      <c r="J512" t="s">
        <v>351</v>
      </c>
      <c r="K512">
        <v>79</v>
      </c>
      <c r="L512" t="s">
        <v>2272</v>
      </c>
      <c r="M512" t="s">
        <v>2273</v>
      </c>
      <c r="N512" t="s">
        <v>2274</v>
      </c>
      <c r="O512" t="s">
        <v>4811</v>
      </c>
      <c r="P512" t="s">
        <v>2275</v>
      </c>
      <c r="Q512" t="s">
        <v>2276</v>
      </c>
      <c r="R512" t="s">
        <v>2277</v>
      </c>
      <c r="S512" s="2">
        <v>44897</v>
      </c>
      <c r="T512" t="s">
        <v>2278</v>
      </c>
      <c r="U512" t="s">
        <v>2279</v>
      </c>
      <c r="V512">
        <v>0</v>
      </c>
      <c r="W512">
        <v>5</v>
      </c>
      <c r="X512">
        <v>182667</v>
      </c>
      <c r="Y512" t="s">
        <v>2280</v>
      </c>
      <c r="Z512" t="s">
        <v>2276</v>
      </c>
      <c r="AA512" t="s">
        <v>1853</v>
      </c>
      <c r="AB512" t="s">
        <v>45</v>
      </c>
      <c r="AC512" t="s">
        <v>4812</v>
      </c>
    </row>
    <row r="513" spans="1:29">
      <c r="A513" t="s">
        <v>2631</v>
      </c>
      <c r="B513" s="1">
        <v>122011</v>
      </c>
      <c r="C513" t="s">
        <v>2251</v>
      </c>
      <c r="D513" t="s">
        <v>4810</v>
      </c>
      <c r="E513" s="1">
        <v>-6635</v>
      </c>
      <c r="F513" t="s">
        <v>2776</v>
      </c>
      <c r="G513" t="s">
        <v>110</v>
      </c>
      <c r="H513" t="s">
        <v>5116</v>
      </c>
      <c r="I513">
        <v>4</v>
      </c>
      <c r="J513" t="s">
        <v>3087</v>
      </c>
      <c r="K513">
        <v>79</v>
      </c>
      <c r="L513" t="s">
        <v>5117</v>
      </c>
      <c r="M513" t="s">
        <v>5118</v>
      </c>
      <c r="N513" t="s">
        <v>5119</v>
      </c>
      <c r="O513" t="s">
        <v>4811</v>
      </c>
      <c r="P513" t="s">
        <v>5120</v>
      </c>
      <c r="Q513" t="s">
        <v>5121</v>
      </c>
      <c r="R513" t="s">
        <v>5122</v>
      </c>
      <c r="S513" s="2">
        <v>45282</v>
      </c>
      <c r="T513" t="s">
        <v>131</v>
      </c>
      <c r="U513" t="s">
        <v>5123</v>
      </c>
      <c r="V513">
        <v>0</v>
      </c>
      <c r="W513">
        <v>10</v>
      </c>
      <c r="X513">
        <v>208525</v>
      </c>
      <c r="Y513" t="s">
        <v>1431</v>
      </c>
      <c r="Z513" t="s">
        <v>5121</v>
      </c>
      <c r="AA513" t="s">
        <v>1853</v>
      </c>
      <c r="AB513" t="s">
        <v>45</v>
      </c>
      <c r="AC513" t="s">
        <v>4812</v>
      </c>
    </row>
    <row r="514" spans="1:29">
      <c r="A514" t="s">
        <v>580</v>
      </c>
      <c r="B514" s="1">
        <v>139057</v>
      </c>
      <c r="C514" t="s">
        <v>1165</v>
      </c>
      <c r="D514" t="s">
        <v>4810</v>
      </c>
      <c r="E514" s="1">
        <v>-4705</v>
      </c>
      <c r="F514" t="s">
        <v>474</v>
      </c>
      <c r="G514" t="s">
        <v>1537</v>
      </c>
      <c r="H514" t="s">
        <v>5124</v>
      </c>
      <c r="I514">
        <v>4</v>
      </c>
      <c r="J514" t="s">
        <v>4814</v>
      </c>
      <c r="K514">
        <v>79</v>
      </c>
      <c r="L514" t="s">
        <v>5125</v>
      </c>
      <c r="M514" t="s">
        <v>5126</v>
      </c>
      <c r="N514" t="s">
        <v>5127</v>
      </c>
      <c r="O514" t="s">
        <v>4811</v>
      </c>
      <c r="P514" t="s">
        <v>5128</v>
      </c>
      <c r="Q514" t="s">
        <v>5129</v>
      </c>
      <c r="R514" t="s">
        <v>5127</v>
      </c>
      <c r="S514" s="2">
        <v>45078</v>
      </c>
      <c r="T514">
        <v>0</v>
      </c>
      <c r="U514" t="s">
        <v>5130</v>
      </c>
      <c r="V514">
        <v>1</v>
      </c>
      <c r="W514">
        <v>1</v>
      </c>
      <c r="X514">
        <v>229133</v>
      </c>
      <c r="Y514" t="s">
        <v>3906</v>
      </c>
      <c r="Z514" t="s">
        <v>5129</v>
      </c>
      <c r="AA514" t="s">
        <v>1853</v>
      </c>
      <c r="AB514" t="s">
        <v>45</v>
      </c>
      <c r="AC514" t="s">
        <v>4812</v>
      </c>
    </row>
    <row r="515" spans="1:29">
      <c r="A515" t="s">
        <v>2794</v>
      </c>
      <c r="B515" s="1">
        <v>127926</v>
      </c>
      <c r="C515" t="s">
        <v>1394</v>
      </c>
      <c r="D515" t="s">
        <v>4810</v>
      </c>
      <c r="E515" s="1">
        <v>-6045</v>
      </c>
      <c r="F515" t="s">
        <v>4261</v>
      </c>
      <c r="G515" t="s">
        <v>1641</v>
      </c>
      <c r="H515" t="s">
        <v>5131</v>
      </c>
      <c r="I515">
        <v>4</v>
      </c>
      <c r="J515" t="s">
        <v>5132</v>
      </c>
      <c r="K515">
        <v>79</v>
      </c>
      <c r="L515" t="s">
        <v>5133</v>
      </c>
      <c r="M515" t="s">
        <v>5134</v>
      </c>
      <c r="N515" t="s">
        <v>5135</v>
      </c>
      <c r="O515" t="s">
        <v>4811</v>
      </c>
      <c r="P515" t="s">
        <v>5136</v>
      </c>
      <c r="Q515" t="s">
        <v>5137</v>
      </c>
      <c r="R515" t="s">
        <v>5135</v>
      </c>
      <c r="S515" s="2">
        <v>45499</v>
      </c>
      <c r="T515" t="s">
        <v>5138</v>
      </c>
      <c r="U515" t="s">
        <v>5139</v>
      </c>
      <c r="V515">
        <v>0</v>
      </c>
      <c r="W515">
        <v>4</v>
      </c>
      <c r="X515">
        <v>207168</v>
      </c>
      <c r="Y515" t="s">
        <v>4444</v>
      </c>
      <c r="Z515" t="s">
        <v>5137</v>
      </c>
      <c r="AA515" t="s">
        <v>1853</v>
      </c>
      <c r="AB515" t="s">
        <v>45</v>
      </c>
      <c r="AC515" t="s">
        <v>4812</v>
      </c>
    </row>
    <row r="516" spans="1:29">
      <c r="A516" t="s">
        <v>1989</v>
      </c>
      <c r="B516" s="1">
        <v>146003</v>
      </c>
      <c r="C516" t="s">
        <v>391</v>
      </c>
      <c r="D516" t="s">
        <v>4810</v>
      </c>
      <c r="E516" s="1">
        <v>-7282</v>
      </c>
      <c r="F516" t="s">
        <v>2031</v>
      </c>
      <c r="G516" t="s">
        <v>2164</v>
      </c>
      <c r="H516" t="s">
        <v>5140</v>
      </c>
      <c r="I516">
        <v>4</v>
      </c>
      <c r="J516" t="s">
        <v>2457</v>
      </c>
      <c r="K516">
        <v>79</v>
      </c>
      <c r="L516" t="s">
        <v>5141</v>
      </c>
      <c r="M516" t="s">
        <v>5142</v>
      </c>
      <c r="N516" t="s">
        <v>5143</v>
      </c>
      <c r="O516" t="s">
        <v>4811</v>
      </c>
      <c r="P516" t="s">
        <v>5144</v>
      </c>
      <c r="Q516" t="s">
        <v>5145</v>
      </c>
      <c r="R516" t="s">
        <v>5146</v>
      </c>
      <c r="S516" s="2">
        <v>45149</v>
      </c>
      <c r="T516" t="s">
        <v>698</v>
      </c>
      <c r="U516" t="s">
        <v>5147</v>
      </c>
      <c r="V516">
        <v>0</v>
      </c>
      <c r="W516">
        <v>10</v>
      </c>
      <c r="X516">
        <v>209483</v>
      </c>
      <c r="Y516" t="s">
        <v>1882</v>
      </c>
      <c r="Z516" t="s">
        <v>5145</v>
      </c>
      <c r="AA516" t="s">
        <v>1853</v>
      </c>
      <c r="AB516" t="s">
        <v>45</v>
      </c>
      <c r="AC516" t="s">
        <v>4812</v>
      </c>
    </row>
    <row r="517" spans="1:29">
      <c r="A517" t="s">
        <v>3163</v>
      </c>
      <c r="B517" s="1">
        <v>90026</v>
      </c>
      <c r="C517" t="s">
        <v>500</v>
      </c>
      <c r="D517" t="s">
        <v>4810</v>
      </c>
      <c r="E517" s="1">
        <v>-7272</v>
      </c>
      <c r="F517" t="s">
        <v>1211</v>
      </c>
      <c r="G517" t="s">
        <v>4347</v>
      </c>
      <c r="H517" t="s">
        <v>5148</v>
      </c>
      <c r="I517">
        <v>4</v>
      </c>
      <c r="J517" t="s">
        <v>3808</v>
      </c>
      <c r="K517">
        <v>78</v>
      </c>
      <c r="L517" t="s">
        <v>5149</v>
      </c>
      <c r="M517" t="s">
        <v>5150</v>
      </c>
      <c r="N517" t="s">
        <v>5151</v>
      </c>
      <c r="O517" t="s">
        <v>4811</v>
      </c>
      <c r="P517" t="s">
        <v>5152</v>
      </c>
      <c r="Q517" t="s">
        <v>5153</v>
      </c>
      <c r="R517" t="s">
        <v>5151</v>
      </c>
      <c r="S517" s="2">
        <v>45457</v>
      </c>
      <c r="T517">
        <v>0</v>
      </c>
      <c r="U517" t="s">
        <v>5154</v>
      </c>
      <c r="V517">
        <v>1</v>
      </c>
      <c r="W517">
        <v>9</v>
      </c>
      <c r="X517">
        <v>130944</v>
      </c>
      <c r="Y517" t="s">
        <v>2766</v>
      </c>
      <c r="Z517" t="s">
        <v>5153</v>
      </c>
      <c r="AA517" t="s">
        <v>1853</v>
      </c>
      <c r="AB517" t="s">
        <v>45</v>
      </c>
      <c r="AC517" t="s">
        <v>4812</v>
      </c>
    </row>
    <row r="518" spans="1:29">
      <c r="A518" t="s">
        <v>2134</v>
      </c>
      <c r="B518" t="s">
        <v>5155</v>
      </c>
      <c r="C518" t="s">
        <v>5156</v>
      </c>
      <c r="D518" t="s">
        <v>4810</v>
      </c>
      <c r="E518" s="1">
        <v>-6871</v>
      </c>
      <c r="F518" t="s">
        <v>5157</v>
      </c>
      <c r="G518" t="s">
        <v>1302</v>
      </c>
      <c r="H518" t="s">
        <v>5158</v>
      </c>
      <c r="I518">
        <v>4</v>
      </c>
      <c r="J518" t="s">
        <v>5159</v>
      </c>
      <c r="K518">
        <v>78</v>
      </c>
      <c r="L518" t="s">
        <v>5160</v>
      </c>
      <c r="M518" t="s">
        <v>5161</v>
      </c>
      <c r="N518" t="s">
        <v>5162</v>
      </c>
      <c r="O518" t="s">
        <v>4811</v>
      </c>
      <c r="P518" t="s">
        <v>5163</v>
      </c>
      <c r="Q518" t="s">
        <v>5164</v>
      </c>
      <c r="R518" t="s">
        <v>5162</v>
      </c>
      <c r="S518" s="2">
        <v>45335</v>
      </c>
      <c r="T518">
        <v>0</v>
      </c>
      <c r="U518" t="s">
        <v>5165</v>
      </c>
      <c r="V518">
        <v>0</v>
      </c>
      <c r="W518">
        <v>9</v>
      </c>
      <c r="X518">
        <v>161342</v>
      </c>
      <c r="Y518" t="s">
        <v>785</v>
      </c>
      <c r="Z518" t="s">
        <v>5164</v>
      </c>
      <c r="AA518" t="s">
        <v>1853</v>
      </c>
      <c r="AB518" t="s">
        <v>45</v>
      </c>
      <c r="AC518" t="s">
        <v>4812</v>
      </c>
    </row>
    <row r="519" spans="1:29">
      <c r="A519" t="s">
        <v>3543</v>
      </c>
      <c r="B519" s="1">
        <v>139948</v>
      </c>
      <c r="C519" t="s">
        <v>2030</v>
      </c>
      <c r="D519" t="s">
        <v>4810</v>
      </c>
      <c r="E519" s="1">
        <v>-5002</v>
      </c>
      <c r="F519" t="s">
        <v>5166</v>
      </c>
      <c r="G519" t="s">
        <v>2117</v>
      </c>
      <c r="H519" t="s">
        <v>596</v>
      </c>
      <c r="I519">
        <v>4</v>
      </c>
      <c r="J519" t="s">
        <v>437</v>
      </c>
      <c r="K519">
        <v>78</v>
      </c>
      <c r="L519" t="s">
        <v>5167</v>
      </c>
      <c r="M519" t="s">
        <v>5168</v>
      </c>
      <c r="N519" t="s">
        <v>5169</v>
      </c>
      <c r="O519" t="s">
        <v>4811</v>
      </c>
      <c r="P519" t="s">
        <v>5170</v>
      </c>
      <c r="Q519" t="s">
        <v>5171</v>
      </c>
      <c r="R519" t="s">
        <v>5169</v>
      </c>
      <c r="S519" s="2">
        <v>45412</v>
      </c>
      <c r="T519">
        <v>0</v>
      </c>
      <c r="U519" t="s">
        <v>5172</v>
      </c>
      <c r="V519">
        <v>1</v>
      </c>
      <c r="W519">
        <v>1</v>
      </c>
      <c r="X519">
        <v>383639</v>
      </c>
      <c r="Y519" t="s">
        <v>5173</v>
      </c>
      <c r="Z519" t="s">
        <v>5171</v>
      </c>
      <c r="AA519" t="s">
        <v>1853</v>
      </c>
      <c r="AB519" t="s">
        <v>45</v>
      </c>
      <c r="AC519" t="s">
        <v>4812</v>
      </c>
    </row>
    <row r="520" spans="1:29">
      <c r="A520" t="s">
        <v>2598</v>
      </c>
      <c r="B520" s="1">
        <v>75965</v>
      </c>
      <c r="C520" t="s">
        <v>1552</v>
      </c>
      <c r="D520" t="s">
        <v>4810</v>
      </c>
      <c r="E520" s="1">
        <v>-7126</v>
      </c>
      <c r="F520" t="s">
        <v>1096</v>
      </c>
      <c r="G520" t="s">
        <v>1760</v>
      </c>
      <c r="H520" t="s">
        <v>2599</v>
      </c>
      <c r="I520">
        <v>4</v>
      </c>
      <c r="J520" t="s">
        <v>1666</v>
      </c>
      <c r="K520">
        <v>78</v>
      </c>
      <c r="L520" t="s">
        <v>2600</v>
      </c>
      <c r="M520" t="s">
        <v>2601</v>
      </c>
      <c r="N520" t="s">
        <v>2602</v>
      </c>
      <c r="O520" t="s">
        <v>4811</v>
      </c>
      <c r="P520" t="s">
        <v>2603</v>
      </c>
      <c r="Q520" t="s">
        <v>2604</v>
      </c>
      <c r="R520" t="s">
        <v>2605</v>
      </c>
      <c r="S520" s="2">
        <v>44865</v>
      </c>
      <c r="T520">
        <v>0</v>
      </c>
      <c r="U520" t="s">
        <v>2606</v>
      </c>
      <c r="V520">
        <v>0</v>
      </c>
      <c r="W520">
        <v>7</v>
      </c>
      <c r="X520">
        <v>229938</v>
      </c>
      <c r="Y520" t="s">
        <v>264</v>
      </c>
      <c r="Z520" t="s">
        <v>2604</v>
      </c>
      <c r="AA520" t="s">
        <v>1853</v>
      </c>
      <c r="AB520" t="s">
        <v>45</v>
      </c>
      <c r="AC520" t="s">
        <v>4812</v>
      </c>
    </row>
    <row r="521" spans="1:29">
      <c r="A521" t="s">
        <v>3555</v>
      </c>
      <c r="B521" s="1">
        <v>120509</v>
      </c>
      <c r="C521" t="s">
        <v>3556</v>
      </c>
      <c r="D521" t="s">
        <v>4810</v>
      </c>
      <c r="E521" s="1">
        <v>-5864</v>
      </c>
      <c r="F521" t="s">
        <v>1700</v>
      </c>
      <c r="G521" t="s">
        <v>2938</v>
      </c>
      <c r="H521" t="s">
        <v>3557</v>
      </c>
      <c r="I521">
        <v>4</v>
      </c>
      <c r="J521" t="s">
        <v>3558</v>
      </c>
      <c r="K521">
        <v>78</v>
      </c>
      <c r="L521" t="s">
        <v>3559</v>
      </c>
      <c r="M521" t="s">
        <v>3560</v>
      </c>
      <c r="N521" t="s">
        <v>3561</v>
      </c>
      <c r="O521" t="s">
        <v>4811</v>
      </c>
      <c r="P521" t="s">
        <v>3562</v>
      </c>
      <c r="Q521" t="s">
        <v>3563</v>
      </c>
      <c r="R521" t="s">
        <v>3564</v>
      </c>
      <c r="S521" s="2">
        <v>45379</v>
      </c>
      <c r="T521">
        <v>0</v>
      </c>
      <c r="U521" t="s">
        <v>3565</v>
      </c>
      <c r="V521">
        <v>1</v>
      </c>
      <c r="W521">
        <v>8</v>
      </c>
      <c r="X521">
        <v>157974</v>
      </c>
      <c r="Y521" t="s">
        <v>3566</v>
      </c>
      <c r="Z521" t="s">
        <v>3563</v>
      </c>
      <c r="AA521" t="s">
        <v>1853</v>
      </c>
      <c r="AB521" t="s">
        <v>45</v>
      </c>
      <c r="AC521" t="s">
        <v>4812</v>
      </c>
    </row>
    <row r="522" spans="1:29">
      <c r="A522" t="s">
        <v>5174</v>
      </c>
      <c r="B522" s="1">
        <v>75023</v>
      </c>
      <c r="C522" t="s">
        <v>742</v>
      </c>
      <c r="D522" t="s">
        <v>4810</v>
      </c>
      <c r="E522" t="s">
        <v>5175</v>
      </c>
      <c r="F522" t="s">
        <v>5045</v>
      </c>
      <c r="G522" t="s">
        <v>4161</v>
      </c>
      <c r="H522" t="s">
        <v>5176</v>
      </c>
      <c r="I522">
        <v>4</v>
      </c>
      <c r="J522" t="s">
        <v>5177</v>
      </c>
      <c r="K522">
        <v>77</v>
      </c>
      <c r="L522" t="s">
        <v>5178</v>
      </c>
      <c r="M522" t="s">
        <v>5179</v>
      </c>
      <c r="N522" t="s">
        <v>5180</v>
      </c>
      <c r="O522" t="s">
        <v>4811</v>
      </c>
      <c r="P522" t="s">
        <v>5181</v>
      </c>
      <c r="Q522" t="s">
        <v>5182</v>
      </c>
      <c r="R522" t="s">
        <v>5183</v>
      </c>
      <c r="S522" s="2">
        <v>45016</v>
      </c>
      <c r="T522" t="s">
        <v>448</v>
      </c>
      <c r="U522" t="s">
        <v>5184</v>
      </c>
      <c r="V522">
        <v>1</v>
      </c>
      <c r="W522">
        <v>7</v>
      </c>
      <c r="X522">
        <v>139300</v>
      </c>
      <c r="Y522" t="s">
        <v>1980</v>
      </c>
      <c r="Z522" t="s">
        <v>5182</v>
      </c>
      <c r="AA522" t="s">
        <v>1853</v>
      </c>
      <c r="AB522" t="s">
        <v>45</v>
      </c>
      <c r="AC522" t="s">
        <v>4812</v>
      </c>
    </row>
    <row r="523" spans="1:29">
      <c r="A523" t="s">
        <v>2832</v>
      </c>
      <c r="B523" s="1">
        <v>169982</v>
      </c>
      <c r="C523" t="s">
        <v>361</v>
      </c>
      <c r="D523" t="s">
        <v>4810</v>
      </c>
      <c r="E523" s="1">
        <v>-8307</v>
      </c>
      <c r="F523" t="s">
        <v>477</v>
      </c>
      <c r="G523" t="s">
        <v>144</v>
      </c>
      <c r="H523" t="s">
        <v>5185</v>
      </c>
      <c r="I523">
        <v>4</v>
      </c>
      <c r="J523" t="s">
        <v>5186</v>
      </c>
      <c r="K523">
        <v>77</v>
      </c>
      <c r="L523" t="s">
        <v>5187</v>
      </c>
      <c r="M523" t="s">
        <v>5188</v>
      </c>
      <c r="N523" t="s">
        <v>5189</v>
      </c>
      <c r="O523" t="s">
        <v>4811</v>
      </c>
      <c r="P523" t="s">
        <v>5190</v>
      </c>
      <c r="Q523" t="s">
        <v>5191</v>
      </c>
      <c r="R523" t="s">
        <v>5189</v>
      </c>
      <c r="S523" s="2">
        <v>45170</v>
      </c>
      <c r="T523" t="s">
        <v>5192</v>
      </c>
      <c r="U523" t="s">
        <v>5193</v>
      </c>
      <c r="V523">
        <v>0</v>
      </c>
      <c r="W523">
        <v>11</v>
      </c>
      <c r="X523">
        <v>172965</v>
      </c>
      <c r="Y523" t="s">
        <v>320</v>
      </c>
      <c r="Z523" t="s">
        <v>5191</v>
      </c>
      <c r="AA523" t="s">
        <v>1853</v>
      </c>
      <c r="AB523" t="s">
        <v>45</v>
      </c>
      <c r="AC523" t="s">
        <v>4812</v>
      </c>
    </row>
    <row r="524" spans="1:29">
      <c r="A524" t="s">
        <v>394</v>
      </c>
      <c r="B524" s="1">
        <v>88009</v>
      </c>
      <c r="C524" t="s">
        <v>92</v>
      </c>
      <c r="D524" t="s">
        <v>4810</v>
      </c>
      <c r="E524" t="s">
        <v>5194</v>
      </c>
      <c r="F524" t="s">
        <v>2083</v>
      </c>
      <c r="G524" t="s">
        <v>2125</v>
      </c>
      <c r="H524" t="s">
        <v>5195</v>
      </c>
      <c r="I524">
        <v>4</v>
      </c>
      <c r="J524" t="s">
        <v>1012</v>
      </c>
      <c r="K524">
        <v>77</v>
      </c>
      <c r="L524" t="s">
        <v>5196</v>
      </c>
      <c r="M524" t="s">
        <v>5197</v>
      </c>
      <c r="N524" t="s">
        <v>5198</v>
      </c>
      <c r="O524" t="s">
        <v>4811</v>
      </c>
      <c r="P524" t="s">
        <v>5199</v>
      </c>
      <c r="Q524" t="s">
        <v>5200</v>
      </c>
      <c r="R524" t="s">
        <v>5198</v>
      </c>
      <c r="S524" s="2">
        <v>45512</v>
      </c>
      <c r="T524" t="s">
        <v>5201</v>
      </c>
      <c r="U524" t="s">
        <v>5202</v>
      </c>
      <c r="V524">
        <v>1</v>
      </c>
      <c r="W524">
        <v>2</v>
      </c>
      <c r="X524">
        <v>166449</v>
      </c>
      <c r="Y524" t="s">
        <v>318</v>
      </c>
      <c r="Z524" t="s">
        <v>5200</v>
      </c>
      <c r="AA524" t="s">
        <v>1853</v>
      </c>
      <c r="AB524" t="s">
        <v>45</v>
      </c>
      <c r="AC524" t="s">
        <v>4812</v>
      </c>
    </row>
    <row r="525" spans="1:29">
      <c r="A525" t="s">
        <v>1407</v>
      </c>
      <c r="B525" s="1">
        <v>109952</v>
      </c>
      <c r="C525" t="s">
        <v>904</v>
      </c>
      <c r="D525" t="s">
        <v>4810</v>
      </c>
      <c r="E525" t="s">
        <v>1012</v>
      </c>
      <c r="F525" t="s">
        <v>5203</v>
      </c>
      <c r="G525" t="s">
        <v>2251</v>
      </c>
      <c r="H525" t="s">
        <v>5204</v>
      </c>
      <c r="I525">
        <v>4</v>
      </c>
      <c r="J525" t="s">
        <v>5205</v>
      </c>
      <c r="K525">
        <v>77</v>
      </c>
      <c r="L525" t="s">
        <v>5206</v>
      </c>
      <c r="M525" t="s">
        <v>5207</v>
      </c>
      <c r="N525" t="s">
        <v>5208</v>
      </c>
      <c r="O525" t="s">
        <v>4811</v>
      </c>
      <c r="P525" t="s">
        <v>5209</v>
      </c>
      <c r="Q525" t="s">
        <v>5210</v>
      </c>
      <c r="R525" t="s">
        <v>5211</v>
      </c>
      <c r="S525" s="2">
        <v>45310</v>
      </c>
      <c r="T525" t="s">
        <v>4958</v>
      </c>
      <c r="U525" t="s">
        <v>5212</v>
      </c>
      <c r="V525">
        <v>0</v>
      </c>
      <c r="W525">
        <v>11</v>
      </c>
      <c r="X525">
        <v>115348</v>
      </c>
      <c r="Y525" t="s">
        <v>5213</v>
      </c>
      <c r="Z525" t="s">
        <v>5210</v>
      </c>
      <c r="AA525" t="s">
        <v>1853</v>
      </c>
      <c r="AB525" t="s">
        <v>45</v>
      </c>
      <c r="AC525" t="s">
        <v>4812</v>
      </c>
    </row>
    <row r="526" spans="1:29">
      <c r="A526" t="s">
        <v>391</v>
      </c>
      <c r="B526" s="1">
        <v>117038</v>
      </c>
      <c r="C526" t="s">
        <v>392</v>
      </c>
      <c r="D526" t="s">
        <v>4810</v>
      </c>
      <c r="E526" s="1">
        <v>-5505</v>
      </c>
      <c r="F526" t="s">
        <v>393</v>
      </c>
      <c r="G526" t="s">
        <v>394</v>
      </c>
      <c r="H526" t="s">
        <v>395</v>
      </c>
      <c r="I526">
        <v>4</v>
      </c>
      <c r="J526" t="s">
        <v>396</v>
      </c>
      <c r="K526">
        <v>77</v>
      </c>
      <c r="L526" t="s">
        <v>397</v>
      </c>
      <c r="M526" t="s">
        <v>398</v>
      </c>
      <c r="N526" t="s">
        <v>399</v>
      </c>
      <c r="O526" t="s">
        <v>4811</v>
      </c>
      <c r="P526" t="s">
        <v>400</v>
      </c>
      <c r="Q526" t="s">
        <v>401</v>
      </c>
      <c r="R526" t="s">
        <v>402</v>
      </c>
      <c r="S526" s="2">
        <v>45373</v>
      </c>
      <c r="T526" t="s">
        <v>403</v>
      </c>
      <c r="U526" t="s">
        <v>404</v>
      </c>
      <c r="V526">
        <v>1</v>
      </c>
      <c r="W526">
        <v>10</v>
      </c>
      <c r="X526">
        <v>251424</v>
      </c>
      <c r="Y526" t="s">
        <v>405</v>
      </c>
      <c r="Z526" t="s">
        <v>401</v>
      </c>
      <c r="AA526" t="s">
        <v>1853</v>
      </c>
      <c r="AB526" t="s">
        <v>45</v>
      </c>
      <c r="AC526" t="s">
        <v>4812</v>
      </c>
    </row>
    <row r="527" spans="1:29">
      <c r="A527" t="s">
        <v>529</v>
      </c>
      <c r="B527" s="1">
        <v>130051</v>
      </c>
      <c r="C527" t="s">
        <v>1668</v>
      </c>
      <c r="D527" t="s">
        <v>4810</v>
      </c>
      <c r="E527" s="1">
        <v>-10441</v>
      </c>
      <c r="F527" t="s">
        <v>2436</v>
      </c>
      <c r="G527" t="s">
        <v>2920</v>
      </c>
      <c r="H527" t="s">
        <v>5214</v>
      </c>
      <c r="I527">
        <v>4</v>
      </c>
      <c r="J527" t="s">
        <v>189</v>
      </c>
      <c r="K527">
        <v>77</v>
      </c>
      <c r="L527" t="s">
        <v>5215</v>
      </c>
      <c r="M527" t="s">
        <v>5216</v>
      </c>
      <c r="N527" t="s">
        <v>5217</v>
      </c>
      <c r="O527" t="s">
        <v>4811</v>
      </c>
      <c r="P527" t="s">
        <v>5218</v>
      </c>
      <c r="Q527" t="s">
        <v>5219</v>
      </c>
      <c r="R527" t="s">
        <v>5217</v>
      </c>
      <c r="S527" s="2">
        <v>45261</v>
      </c>
      <c r="T527" t="s">
        <v>2143</v>
      </c>
      <c r="U527" t="s">
        <v>5220</v>
      </c>
      <c r="V527">
        <v>1</v>
      </c>
      <c r="W527">
        <v>1</v>
      </c>
      <c r="X527">
        <v>103495</v>
      </c>
      <c r="Y527" t="s">
        <v>2795</v>
      </c>
      <c r="Z527" t="s">
        <v>5219</v>
      </c>
      <c r="AA527" t="s">
        <v>1853</v>
      </c>
      <c r="AB527" t="s">
        <v>45</v>
      </c>
      <c r="AC527" t="s">
        <v>4812</v>
      </c>
    </row>
    <row r="528" spans="1:29">
      <c r="A528" t="s">
        <v>2621</v>
      </c>
      <c r="B528" s="1">
        <v>130028</v>
      </c>
      <c r="C528" t="s">
        <v>4763</v>
      </c>
      <c r="D528" t="s">
        <v>4810</v>
      </c>
      <c r="E528" s="1">
        <v>-3318</v>
      </c>
      <c r="F528" t="s">
        <v>252</v>
      </c>
      <c r="G528" t="s">
        <v>579</v>
      </c>
      <c r="H528" t="s">
        <v>5221</v>
      </c>
      <c r="I528">
        <v>4</v>
      </c>
      <c r="J528" t="s">
        <v>1064</v>
      </c>
      <c r="K528">
        <v>77</v>
      </c>
      <c r="L528" t="s">
        <v>5222</v>
      </c>
      <c r="M528" t="s">
        <v>5223</v>
      </c>
      <c r="N528" t="s">
        <v>5224</v>
      </c>
      <c r="O528" t="s">
        <v>4811</v>
      </c>
      <c r="P528" t="s">
        <v>5225</v>
      </c>
      <c r="Q528" t="s">
        <v>5226</v>
      </c>
      <c r="R528" t="s">
        <v>5224</v>
      </c>
      <c r="S528" s="2">
        <v>45135</v>
      </c>
      <c r="T528" t="s">
        <v>742</v>
      </c>
      <c r="U528" t="s">
        <v>5227</v>
      </c>
      <c r="V528">
        <v>1</v>
      </c>
      <c r="W528">
        <v>1</v>
      </c>
      <c r="X528">
        <v>75692</v>
      </c>
      <c r="Y528" t="s">
        <v>703</v>
      </c>
      <c r="Z528" t="s">
        <v>5226</v>
      </c>
      <c r="AA528" t="s">
        <v>1853</v>
      </c>
      <c r="AB528" t="s">
        <v>45</v>
      </c>
      <c r="AC528" t="s">
        <v>4812</v>
      </c>
    </row>
    <row r="529" spans="1:29">
      <c r="A529" t="s">
        <v>3115</v>
      </c>
      <c r="B529" s="1">
        <v>99974</v>
      </c>
      <c r="C529" t="s">
        <v>1443</v>
      </c>
      <c r="D529" t="s">
        <v>4810</v>
      </c>
      <c r="E529" s="1">
        <v>-7683</v>
      </c>
      <c r="F529" t="s">
        <v>757</v>
      </c>
      <c r="G529" t="s">
        <v>2151</v>
      </c>
      <c r="H529" t="s">
        <v>5228</v>
      </c>
      <c r="I529">
        <v>4</v>
      </c>
      <c r="J529" t="s">
        <v>2164</v>
      </c>
      <c r="K529">
        <v>77</v>
      </c>
      <c r="L529" t="s">
        <v>5229</v>
      </c>
      <c r="M529" t="s">
        <v>5230</v>
      </c>
      <c r="N529" t="s">
        <v>5231</v>
      </c>
      <c r="O529" t="s">
        <v>4811</v>
      </c>
      <c r="P529" t="s">
        <v>5232</v>
      </c>
      <c r="Q529" t="s">
        <v>5233</v>
      </c>
      <c r="R529" t="s">
        <v>5234</v>
      </c>
      <c r="S529" s="2">
        <v>45189</v>
      </c>
      <c r="T529" t="s">
        <v>5235</v>
      </c>
      <c r="U529" t="s">
        <v>5236</v>
      </c>
      <c r="V529">
        <v>0</v>
      </c>
      <c r="W529">
        <v>2</v>
      </c>
      <c r="X529">
        <v>230480</v>
      </c>
      <c r="Y529" t="s">
        <v>1749</v>
      </c>
      <c r="Z529" t="s">
        <v>5233</v>
      </c>
      <c r="AA529" t="s">
        <v>1853</v>
      </c>
      <c r="AB529" t="s">
        <v>45</v>
      </c>
      <c r="AC529" t="s">
        <v>4812</v>
      </c>
    </row>
    <row r="530" spans="1:29">
      <c r="A530" t="s">
        <v>5156</v>
      </c>
      <c r="B530" s="1">
        <v>130028</v>
      </c>
      <c r="C530" t="s">
        <v>3578</v>
      </c>
      <c r="D530" t="s">
        <v>4810</v>
      </c>
      <c r="E530" s="1">
        <v>-3195</v>
      </c>
      <c r="F530" t="s">
        <v>3228</v>
      </c>
      <c r="G530" t="s">
        <v>770</v>
      </c>
      <c r="H530" t="s">
        <v>5237</v>
      </c>
      <c r="I530">
        <v>4</v>
      </c>
      <c r="J530" t="s">
        <v>163</v>
      </c>
      <c r="K530">
        <v>77</v>
      </c>
      <c r="L530" t="s">
        <v>5238</v>
      </c>
      <c r="M530" t="s">
        <v>5239</v>
      </c>
      <c r="N530" t="s">
        <v>5240</v>
      </c>
      <c r="O530" t="s">
        <v>4811</v>
      </c>
      <c r="P530" t="s">
        <v>5241</v>
      </c>
      <c r="Q530" t="s">
        <v>5242</v>
      </c>
      <c r="R530" t="s">
        <v>5240</v>
      </c>
      <c r="S530" s="2">
        <v>45047</v>
      </c>
      <c r="T530" t="s">
        <v>5243</v>
      </c>
      <c r="U530" t="s">
        <v>5244</v>
      </c>
      <c r="V530">
        <v>1</v>
      </c>
      <c r="W530">
        <v>9</v>
      </c>
      <c r="X530">
        <v>61673</v>
      </c>
      <c r="Y530" t="s">
        <v>251</v>
      </c>
      <c r="Z530" t="s">
        <v>5242</v>
      </c>
      <c r="AA530" t="s">
        <v>1853</v>
      </c>
      <c r="AB530" t="s">
        <v>45</v>
      </c>
      <c r="AC530" t="s">
        <v>4812</v>
      </c>
    </row>
    <row r="531" spans="1:29">
      <c r="A531" t="s">
        <v>1737</v>
      </c>
      <c r="B531" t="s">
        <v>5245</v>
      </c>
      <c r="C531" t="s">
        <v>1825</v>
      </c>
      <c r="D531" t="s">
        <v>4810</v>
      </c>
      <c r="E531" t="s">
        <v>5246</v>
      </c>
      <c r="F531" t="s">
        <v>2844</v>
      </c>
      <c r="G531" t="s">
        <v>5247</v>
      </c>
      <c r="H531" t="s">
        <v>2296</v>
      </c>
      <c r="I531">
        <v>4</v>
      </c>
      <c r="J531" t="s">
        <v>5248</v>
      </c>
      <c r="K531">
        <v>77</v>
      </c>
      <c r="L531" t="s">
        <v>5249</v>
      </c>
      <c r="M531" t="s">
        <v>5250</v>
      </c>
      <c r="N531" t="s">
        <v>5251</v>
      </c>
      <c r="O531" t="s">
        <v>4811</v>
      </c>
      <c r="P531" t="s">
        <v>5252</v>
      </c>
      <c r="Q531" t="s">
        <v>5253</v>
      </c>
      <c r="R531" t="s">
        <v>5251</v>
      </c>
      <c r="S531" s="2">
        <v>44763</v>
      </c>
      <c r="T531">
        <v>0</v>
      </c>
      <c r="U531" t="s">
        <v>5254</v>
      </c>
      <c r="V531">
        <v>1</v>
      </c>
      <c r="W531">
        <v>6</v>
      </c>
      <c r="X531">
        <v>97393</v>
      </c>
      <c r="Y531" t="s">
        <v>3736</v>
      </c>
      <c r="Z531" t="s">
        <v>5253</v>
      </c>
      <c r="AA531" t="s">
        <v>1853</v>
      </c>
      <c r="AB531" t="s">
        <v>45</v>
      </c>
      <c r="AC531" t="s">
        <v>4812</v>
      </c>
    </row>
    <row r="532" spans="1:29">
      <c r="A532" t="s">
        <v>2831</v>
      </c>
      <c r="B532" s="1">
        <v>130017</v>
      </c>
      <c r="C532" t="s">
        <v>621</v>
      </c>
      <c r="D532" t="s">
        <v>4810</v>
      </c>
      <c r="E532" s="1">
        <v>-6198</v>
      </c>
      <c r="F532" t="s">
        <v>5255</v>
      </c>
      <c r="G532" t="s">
        <v>188</v>
      </c>
      <c r="H532" t="s">
        <v>5256</v>
      </c>
      <c r="I532">
        <v>4</v>
      </c>
      <c r="J532" t="s">
        <v>5257</v>
      </c>
      <c r="K532">
        <v>77</v>
      </c>
      <c r="L532" t="s">
        <v>5258</v>
      </c>
      <c r="M532" t="s">
        <v>5259</v>
      </c>
      <c r="N532" t="s">
        <v>5260</v>
      </c>
      <c r="O532" t="s">
        <v>4811</v>
      </c>
      <c r="P532" t="s">
        <v>5261</v>
      </c>
      <c r="Q532" t="s">
        <v>5262</v>
      </c>
      <c r="R532" t="s">
        <v>5260</v>
      </c>
      <c r="S532" s="2">
        <v>45331</v>
      </c>
      <c r="T532" t="s">
        <v>2613</v>
      </c>
      <c r="U532" t="s">
        <v>5263</v>
      </c>
      <c r="V532">
        <v>1</v>
      </c>
      <c r="W532">
        <v>0</v>
      </c>
      <c r="X532">
        <v>153519</v>
      </c>
      <c r="Y532" t="s">
        <v>5264</v>
      </c>
      <c r="Z532" t="s">
        <v>5262</v>
      </c>
      <c r="AA532" t="s">
        <v>1853</v>
      </c>
      <c r="AB532" t="s">
        <v>45</v>
      </c>
      <c r="AC532" t="s">
        <v>4812</v>
      </c>
    </row>
    <row r="533" spans="1:29">
      <c r="A533" t="s">
        <v>92</v>
      </c>
      <c r="B533" s="1">
        <v>108005</v>
      </c>
      <c r="C533" t="s">
        <v>1679</v>
      </c>
      <c r="D533" t="s">
        <v>4810</v>
      </c>
      <c r="E533" t="s">
        <v>5265</v>
      </c>
      <c r="F533" t="s">
        <v>1359</v>
      </c>
      <c r="G533" t="s">
        <v>1009</v>
      </c>
      <c r="H533" t="s">
        <v>5266</v>
      </c>
      <c r="I533">
        <v>4</v>
      </c>
      <c r="J533" t="s">
        <v>5267</v>
      </c>
      <c r="K533">
        <v>76</v>
      </c>
      <c r="L533" t="s">
        <v>5268</v>
      </c>
      <c r="M533" t="s">
        <v>5269</v>
      </c>
      <c r="N533" t="s">
        <v>5270</v>
      </c>
      <c r="O533" t="s">
        <v>4811</v>
      </c>
      <c r="P533" t="s">
        <v>5271</v>
      </c>
      <c r="Q533" t="s">
        <v>5272</v>
      </c>
      <c r="R533" t="s">
        <v>5270</v>
      </c>
      <c r="S533" s="2">
        <v>45310</v>
      </c>
      <c r="T533">
        <v>0</v>
      </c>
      <c r="U533" t="s">
        <v>5273</v>
      </c>
      <c r="V533">
        <v>1</v>
      </c>
      <c r="W533">
        <v>3</v>
      </c>
      <c r="X533">
        <v>178273</v>
      </c>
      <c r="Y533" t="s">
        <v>189</v>
      </c>
      <c r="Z533" t="s">
        <v>5272</v>
      </c>
      <c r="AA533" t="s">
        <v>1853</v>
      </c>
      <c r="AB533" t="s">
        <v>45</v>
      </c>
      <c r="AC533" t="s">
        <v>4812</v>
      </c>
    </row>
    <row r="534" spans="1:29">
      <c r="A534" t="s">
        <v>730</v>
      </c>
      <c r="B534" s="1">
        <v>158105</v>
      </c>
      <c r="C534" t="s">
        <v>1906</v>
      </c>
      <c r="D534" t="s">
        <v>4810</v>
      </c>
      <c r="E534" s="1">
        <v>-7281</v>
      </c>
      <c r="F534" t="s">
        <v>2917</v>
      </c>
      <c r="G534" t="s">
        <v>2220</v>
      </c>
      <c r="H534" t="s">
        <v>5274</v>
      </c>
      <c r="I534">
        <v>4</v>
      </c>
      <c r="J534" t="s">
        <v>4714</v>
      </c>
      <c r="K534">
        <v>76</v>
      </c>
      <c r="L534" t="s">
        <v>5275</v>
      </c>
      <c r="M534" t="s">
        <v>5276</v>
      </c>
      <c r="N534" t="s">
        <v>5277</v>
      </c>
      <c r="O534" t="s">
        <v>4811</v>
      </c>
      <c r="P534" t="s">
        <v>5278</v>
      </c>
      <c r="Q534" t="s">
        <v>5279</v>
      </c>
      <c r="R534" t="s">
        <v>5280</v>
      </c>
      <c r="S534" s="2">
        <v>45247</v>
      </c>
      <c r="T534" t="s">
        <v>4230</v>
      </c>
      <c r="U534" t="s">
        <v>5281</v>
      </c>
      <c r="V534">
        <v>1</v>
      </c>
      <c r="W534">
        <v>1</v>
      </c>
      <c r="X534">
        <v>121399</v>
      </c>
      <c r="Y534" t="s">
        <v>5282</v>
      </c>
      <c r="Z534" t="s">
        <v>5279</v>
      </c>
      <c r="AA534" t="s">
        <v>1853</v>
      </c>
      <c r="AB534" t="s">
        <v>45</v>
      </c>
      <c r="AC534" t="s">
        <v>4812</v>
      </c>
    </row>
    <row r="535" spans="1:29">
      <c r="A535" t="s">
        <v>253</v>
      </c>
      <c r="B535" s="1">
        <v>136902</v>
      </c>
      <c r="C535" t="s">
        <v>892</v>
      </c>
      <c r="D535" t="s">
        <v>4810</v>
      </c>
      <c r="E535" s="1">
        <v>-8577</v>
      </c>
      <c r="F535" t="s">
        <v>655</v>
      </c>
      <c r="G535" t="s">
        <v>476</v>
      </c>
      <c r="H535" t="s">
        <v>5283</v>
      </c>
      <c r="I535">
        <v>4</v>
      </c>
      <c r="J535" t="s">
        <v>4565</v>
      </c>
      <c r="K535">
        <v>76</v>
      </c>
      <c r="L535" t="s">
        <v>5284</v>
      </c>
      <c r="M535" t="s">
        <v>5285</v>
      </c>
      <c r="N535" t="s">
        <v>5286</v>
      </c>
      <c r="O535" t="s">
        <v>4811</v>
      </c>
      <c r="P535" t="s">
        <v>5287</v>
      </c>
      <c r="Q535" t="s">
        <v>5288</v>
      </c>
      <c r="R535" t="s">
        <v>5289</v>
      </c>
      <c r="S535" s="2">
        <v>45205</v>
      </c>
      <c r="T535" t="s">
        <v>5290</v>
      </c>
      <c r="U535" t="s">
        <v>5291</v>
      </c>
      <c r="V535">
        <v>1</v>
      </c>
      <c r="W535">
        <v>8</v>
      </c>
      <c r="X535">
        <v>260111</v>
      </c>
      <c r="Y535" t="s">
        <v>1692</v>
      </c>
      <c r="Z535" t="s">
        <v>5288</v>
      </c>
      <c r="AA535" t="s">
        <v>1853</v>
      </c>
      <c r="AB535" t="s">
        <v>45</v>
      </c>
      <c r="AC535" t="s">
        <v>4812</v>
      </c>
    </row>
    <row r="536" spans="1:29">
      <c r="A536" t="s">
        <v>5292</v>
      </c>
      <c r="B536" s="1">
        <v>125952</v>
      </c>
      <c r="C536" t="s">
        <v>3095</v>
      </c>
      <c r="D536" t="s">
        <v>4810</v>
      </c>
      <c r="E536" s="1">
        <v>-4221</v>
      </c>
      <c r="F536" t="s">
        <v>1323</v>
      </c>
      <c r="G536" t="s">
        <v>2211</v>
      </c>
      <c r="H536" t="s">
        <v>5293</v>
      </c>
      <c r="I536">
        <v>4</v>
      </c>
      <c r="J536" t="s">
        <v>5294</v>
      </c>
      <c r="K536">
        <v>76</v>
      </c>
      <c r="L536" t="s">
        <v>5295</v>
      </c>
      <c r="M536" t="s">
        <v>5296</v>
      </c>
      <c r="N536" t="s">
        <v>5297</v>
      </c>
      <c r="O536" t="s">
        <v>4811</v>
      </c>
      <c r="P536" t="s">
        <v>5298</v>
      </c>
      <c r="Q536" t="s">
        <v>5299</v>
      </c>
      <c r="R536" t="s">
        <v>5297</v>
      </c>
      <c r="S536" s="2">
        <v>44729</v>
      </c>
      <c r="T536">
        <v>0</v>
      </c>
      <c r="U536" t="s">
        <v>5300</v>
      </c>
      <c r="V536">
        <v>1</v>
      </c>
      <c r="W536">
        <v>0</v>
      </c>
      <c r="X536">
        <v>165753</v>
      </c>
      <c r="Y536" t="s">
        <v>5301</v>
      </c>
      <c r="Z536" t="s">
        <v>5299</v>
      </c>
      <c r="AA536" t="s">
        <v>1853</v>
      </c>
      <c r="AB536" t="s">
        <v>45</v>
      </c>
      <c r="AC536" t="s">
        <v>4812</v>
      </c>
    </row>
    <row r="537" spans="1:29">
      <c r="A537" t="s">
        <v>3095</v>
      </c>
      <c r="B537" t="s">
        <v>5302</v>
      </c>
      <c r="C537" t="s">
        <v>904</v>
      </c>
      <c r="D537" t="s">
        <v>4810</v>
      </c>
      <c r="E537" s="1">
        <v>-6247</v>
      </c>
      <c r="F537" t="s">
        <v>2342</v>
      </c>
      <c r="G537" t="s">
        <v>2002</v>
      </c>
      <c r="H537" t="s">
        <v>5228</v>
      </c>
      <c r="I537">
        <v>4</v>
      </c>
      <c r="J537" t="s">
        <v>366</v>
      </c>
      <c r="K537">
        <v>76</v>
      </c>
      <c r="L537" t="s">
        <v>5303</v>
      </c>
      <c r="M537" t="s">
        <v>5304</v>
      </c>
      <c r="N537" t="s">
        <v>5231</v>
      </c>
      <c r="O537" t="s">
        <v>4811</v>
      </c>
      <c r="P537" t="s">
        <v>5305</v>
      </c>
      <c r="Q537" t="s">
        <v>5306</v>
      </c>
      <c r="R537" t="s">
        <v>5307</v>
      </c>
      <c r="S537" s="2">
        <v>45189</v>
      </c>
      <c r="T537" t="s">
        <v>5308</v>
      </c>
      <c r="U537" t="s">
        <v>5236</v>
      </c>
      <c r="V537">
        <v>0</v>
      </c>
      <c r="W537">
        <v>8</v>
      </c>
      <c r="X537">
        <v>265360</v>
      </c>
      <c r="Y537" t="s">
        <v>1617</v>
      </c>
      <c r="Z537" t="s">
        <v>5306</v>
      </c>
      <c r="AA537" t="s">
        <v>1853</v>
      </c>
      <c r="AB537" t="s">
        <v>45</v>
      </c>
      <c r="AC537" t="s">
        <v>4812</v>
      </c>
    </row>
    <row r="538" spans="1:29">
      <c r="A538" t="s">
        <v>1665</v>
      </c>
      <c r="B538" s="1">
        <v>151221</v>
      </c>
      <c r="C538" t="s">
        <v>5174</v>
      </c>
      <c r="D538" t="s">
        <v>4810</v>
      </c>
      <c r="E538" t="s">
        <v>5309</v>
      </c>
      <c r="F538" t="s">
        <v>2364</v>
      </c>
      <c r="G538" t="s">
        <v>621</v>
      </c>
      <c r="H538" t="s">
        <v>5310</v>
      </c>
      <c r="I538">
        <v>4</v>
      </c>
      <c r="J538" t="s">
        <v>2929</v>
      </c>
      <c r="K538">
        <v>76</v>
      </c>
      <c r="L538" t="s">
        <v>5311</v>
      </c>
      <c r="M538" t="s">
        <v>5312</v>
      </c>
      <c r="N538" t="s">
        <v>5313</v>
      </c>
      <c r="O538" t="s">
        <v>4811</v>
      </c>
      <c r="P538" t="s">
        <v>5314</v>
      </c>
      <c r="Q538" t="s">
        <v>5315</v>
      </c>
      <c r="R538" t="s">
        <v>5313</v>
      </c>
      <c r="S538" s="2">
        <v>45324</v>
      </c>
      <c r="T538" t="s">
        <v>1501</v>
      </c>
      <c r="U538" t="s">
        <v>5316</v>
      </c>
      <c r="V538">
        <v>0</v>
      </c>
      <c r="W538">
        <v>10</v>
      </c>
      <c r="X538">
        <v>96947</v>
      </c>
      <c r="Y538" t="s">
        <v>2886</v>
      </c>
      <c r="Z538" t="s">
        <v>5315</v>
      </c>
      <c r="AA538" t="s">
        <v>1853</v>
      </c>
      <c r="AB538" t="s">
        <v>45</v>
      </c>
      <c r="AC538" t="s">
        <v>4812</v>
      </c>
    </row>
    <row r="539" spans="1:29">
      <c r="A539" t="s">
        <v>5317</v>
      </c>
      <c r="B539" t="s">
        <v>5318</v>
      </c>
      <c r="C539" t="s">
        <v>3555</v>
      </c>
      <c r="D539" t="s">
        <v>4810</v>
      </c>
      <c r="E539" s="1">
        <v>-2956</v>
      </c>
      <c r="F539" t="s">
        <v>5004</v>
      </c>
      <c r="G539" t="s">
        <v>3670</v>
      </c>
      <c r="H539" t="s">
        <v>5108</v>
      </c>
      <c r="I539">
        <v>4</v>
      </c>
      <c r="J539" t="s">
        <v>564</v>
      </c>
      <c r="K539">
        <v>75</v>
      </c>
      <c r="L539" t="s">
        <v>5319</v>
      </c>
      <c r="M539" t="s">
        <v>5320</v>
      </c>
      <c r="N539" t="s">
        <v>5321</v>
      </c>
      <c r="O539" t="s">
        <v>4811</v>
      </c>
      <c r="P539" t="s">
        <v>5322</v>
      </c>
      <c r="Q539" t="s">
        <v>5323</v>
      </c>
      <c r="R539" t="s">
        <v>5321</v>
      </c>
      <c r="S539" s="2">
        <v>45247</v>
      </c>
      <c r="T539" t="s">
        <v>5324</v>
      </c>
      <c r="U539" t="s">
        <v>5325</v>
      </c>
      <c r="V539">
        <v>0</v>
      </c>
      <c r="W539">
        <v>11</v>
      </c>
      <c r="X539">
        <v>134785</v>
      </c>
      <c r="Y539" t="s">
        <v>2031</v>
      </c>
      <c r="Z539" t="s">
        <v>5323</v>
      </c>
      <c r="AA539" t="s">
        <v>1853</v>
      </c>
      <c r="AB539" t="s">
        <v>45</v>
      </c>
      <c r="AC539" t="s">
        <v>4812</v>
      </c>
    </row>
    <row r="540" spans="1:29">
      <c r="A540" t="s">
        <v>3867</v>
      </c>
      <c r="B540" s="1">
        <v>150251</v>
      </c>
      <c r="C540" t="s">
        <v>4347</v>
      </c>
      <c r="D540" t="s">
        <v>4810</v>
      </c>
      <c r="E540" t="s">
        <v>5326</v>
      </c>
      <c r="F540" t="s">
        <v>2043</v>
      </c>
      <c r="G540" t="s">
        <v>157</v>
      </c>
      <c r="H540" t="s">
        <v>5327</v>
      </c>
      <c r="I540">
        <v>4</v>
      </c>
      <c r="J540" t="s">
        <v>240</v>
      </c>
      <c r="K540">
        <v>75</v>
      </c>
      <c r="L540" t="s">
        <v>5328</v>
      </c>
      <c r="M540" t="s">
        <v>5329</v>
      </c>
      <c r="N540" t="s">
        <v>5330</v>
      </c>
      <c r="O540" t="s">
        <v>4811</v>
      </c>
      <c r="P540" t="s">
        <v>5331</v>
      </c>
      <c r="Q540" t="s">
        <v>5332</v>
      </c>
      <c r="R540" t="s">
        <v>5330</v>
      </c>
      <c r="S540" s="2">
        <v>45163</v>
      </c>
      <c r="T540" t="s">
        <v>851</v>
      </c>
      <c r="U540" t="s">
        <v>5333</v>
      </c>
      <c r="V540">
        <v>1</v>
      </c>
      <c r="W540">
        <v>1</v>
      </c>
      <c r="X540">
        <v>116104</v>
      </c>
      <c r="Y540" t="s">
        <v>1726</v>
      </c>
      <c r="Z540" t="s">
        <v>5332</v>
      </c>
      <c r="AA540" t="s">
        <v>1853</v>
      </c>
      <c r="AB540" t="s">
        <v>45</v>
      </c>
      <c r="AC540" t="s">
        <v>4812</v>
      </c>
    </row>
    <row r="541" spans="1:29">
      <c r="A541" t="s">
        <v>5334</v>
      </c>
      <c r="B541" s="1">
        <v>149036</v>
      </c>
      <c r="C541" t="s">
        <v>361</v>
      </c>
      <c r="D541" t="s">
        <v>4810</v>
      </c>
      <c r="E541" s="1">
        <v>-4068</v>
      </c>
      <c r="F541" t="s">
        <v>198</v>
      </c>
      <c r="G541" t="s">
        <v>772</v>
      </c>
      <c r="H541" t="s">
        <v>5335</v>
      </c>
      <c r="I541">
        <v>4</v>
      </c>
      <c r="J541" t="s">
        <v>5336</v>
      </c>
      <c r="K541">
        <v>75</v>
      </c>
      <c r="L541" t="s">
        <v>5337</v>
      </c>
      <c r="M541" t="s">
        <v>5338</v>
      </c>
      <c r="N541" t="s">
        <v>5339</v>
      </c>
      <c r="O541" t="s">
        <v>4811</v>
      </c>
      <c r="P541" t="s">
        <v>5340</v>
      </c>
      <c r="Q541" t="s">
        <v>5341</v>
      </c>
      <c r="R541" t="s">
        <v>5339</v>
      </c>
      <c r="S541" s="2">
        <v>45135</v>
      </c>
      <c r="T541" t="s">
        <v>5342</v>
      </c>
      <c r="U541" t="s">
        <v>5343</v>
      </c>
      <c r="V541">
        <v>1</v>
      </c>
      <c r="W541">
        <v>1</v>
      </c>
      <c r="X541">
        <v>151589</v>
      </c>
      <c r="Y541" t="s">
        <v>393</v>
      </c>
      <c r="Z541" t="s">
        <v>5341</v>
      </c>
      <c r="AA541" t="s">
        <v>1853</v>
      </c>
      <c r="AB541" t="s">
        <v>45</v>
      </c>
      <c r="AC541" t="s">
        <v>4812</v>
      </c>
    </row>
    <row r="542" spans="1:29">
      <c r="A542" t="s">
        <v>1513</v>
      </c>
      <c r="B542" s="1">
        <v>129975</v>
      </c>
      <c r="C542" t="s">
        <v>157</v>
      </c>
      <c r="D542" t="s">
        <v>4810</v>
      </c>
      <c r="E542" t="s">
        <v>5344</v>
      </c>
      <c r="F542" t="s">
        <v>1599</v>
      </c>
      <c r="G542" t="s">
        <v>93</v>
      </c>
      <c r="H542" t="s">
        <v>5345</v>
      </c>
      <c r="I542">
        <v>4</v>
      </c>
      <c r="J542" t="s">
        <v>5346</v>
      </c>
      <c r="K542">
        <v>75</v>
      </c>
      <c r="L542" t="s">
        <v>5347</v>
      </c>
      <c r="M542" t="s">
        <v>5348</v>
      </c>
      <c r="N542" t="s">
        <v>5349</v>
      </c>
      <c r="O542" t="s">
        <v>4811</v>
      </c>
      <c r="P542" t="s">
        <v>5350</v>
      </c>
      <c r="Q542" t="s">
        <v>5351</v>
      </c>
      <c r="R542" t="s">
        <v>5352</v>
      </c>
      <c r="S542" s="2">
        <v>44962</v>
      </c>
      <c r="T542" t="s">
        <v>593</v>
      </c>
      <c r="U542" t="s">
        <v>5353</v>
      </c>
      <c r="V542">
        <v>0</v>
      </c>
      <c r="W542">
        <v>11</v>
      </c>
      <c r="X542">
        <v>163139</v>
      </c>
      <c r="Y542" t="s">
        <v>5354</v>
      </c>
      <c r="Z542" t="s">
        <v>5351</v>
      </c>
      <c r="AA542" t="s">
        <v>1853</v>
      </c>
      <c r="AB542" t="s">
        <v>45</v>
      </c>
      <c r="AC542" t="s">
        <v>4812</v>
      </c>
    </row>
    <row r="543" spans="1:29">
      <c r="A543" t="s">
        <v>1153</v>
      </c>
      <c r="B543" s="1">
        <v>120003</v>
      </c>
      <c r="C543" t="s">
        <v>2401</v>
      </c>
      <c r="D543" t="s">
        <v>4810</v>
      </c>
      <c r="E543" s="1">
        <v>-5733</v>
      </c>
      <c r="F543" t="s">
        <v>2613</v>
      </c>
      <c r="G543" t="s">
        <v>3974</v>
      </c>
      <c r="H543" t="s">
        <v>5355</v>
      </c>
      <c r="I543">
        <v>4</v>
      </c>
      <c r="J543" t="s">
        <v>5356</v>
      </c>
      <c r="K543">
        <v>75</v>
      </c>
      <c r="L543" t="s">
        <v>5357</v>
      </c>
      <c r="M543" t="s">
        <v>5358</v>
      </c>
      <c r="N543" t="s">
        <v>5359</v>
      </c>
      <c r="O543" t="s">
        <v>4811</v>
      </c>
      <c r="P543" t="s">
        <v>5360</v>
      </c>
      <c r="Q543" t="s">
        <v>5361</v>
      </c>
      <c r="R543" s="4">
        <v>0.44097222222222221</v>
      </c>
      <c r="S543" s="2">
        <v>45037</v>
      </c>
      <c r="T543" t="s">
        <v>3721</v>
      </c>
      <c r="U543" t="s">
        <v>5362</v>
      </c>
      <c r="V543">
        <v>1</v>
      </c>
      <c r="W543">
        <v>8</v>
      </c>
      <c r="X543">
        <v>172253</v>
      </c>
      <c r="Y543" t="s">
        <v>703</v>
      </c>
      <c r="Z543" t="s">
        <v>5361</v>
      </c>
      <c r="AA543" t="s">
        <v>1853</v>
      </c>
      <c r="AB543" t="s">
        <v>45</v>
      </c>
      <c r="AC543" t="s">
        <v>4812</v>
      </c>
    </row>
    <row r="544" spans="1:29">
      <c r="A544" t="s">
        <v>866</v>
      </c>
      <c r="B544" s="1">
        <v>128001</v>
      </c>
      <c r="C544" t="s">
        <v>1023</v>
      </c>
      <c r="D544" t="s">
        <v>4810</v>
      </c>
      <c r="E544" s="1">
        <v>-7225</v>
      </c>
      <c r="F544" t="s">
        <v>5363</v>
      </c>
      <c r="G544" t="s">
        <v>5292</v>
      </c>
      <c r="H544" t="s">
        <v>5364</v>
      </c>
      <c r="I544">
        <v>4</v>
      </c>
      <c r="J544" t="s">
        <v>4546</v>
      </c>
      <c r="K544">
        <v>74</v>
      </c>
      <c r="L544" t="s">
        <v>5365</v>
      </c>
      <c r="M544" t="s">
        <v>5366</v>
      </c>
      <c r="N544" t="s">
        <v>5367</v>
      </c>
      <c r="O544" t="s">
        <v>4811</v>
      </c>
      <c r="P544" t="s">
        <v>5368</v>
      </c>
      <c r="Q544" t="s">
        <v>5369</v>
      </c>
      <c r="R544" t="s">
        <v>5367</v>
      </c>
      <c r="S544" s="2">
        <v>45478</v>
      </c>
      <c r="T544" t="s">
        <v>5370</v>
      </c>
      <c r="U544" t="s">
        <v>5371</v>
      </c>
      <c r="V544">
        <v>0</v>
      </c>
      <c r="W544">
        <v>1</v>
      </c>
      <c r="X544">
        <v>220000</v>
      </c>
      <c r="Y544" t="s">
        <v>2385</v>
      </c>
      <c r="Z544" t="s">
        <v>5369</v>
      </c>
      <c r="AA544" t="s">
        <v>1853</v>
      </c>
      <c r="AB544" t="s">
        <v>45</v>
      </c>
      <c r="AC544" t="s">
        <v>4812</v>
      </c>
    </row>
    <row r="545" spans="1:29">
      <c r="A545" t="s">
        <v>621</v>
      </c>
      <c r="B545" s="1">
        <v>135048</v>
      </c>
      <c r="C545" t="s">
        <v>839</v>
      </c>
      <c r="D545" t="s">
        <v>4810</v>
      </c>
      <c r="E545" s="1">
        <v>-3371</v>
      </c>
      <c r="F545" t="s">
        <v>5356</v>
      </c>
      <c r="G545" t="s">
        <v>1098</v>
      </c>
      <c r="H545" t="s">
        <v>5372</v>
      </c>
      <c r="I545">
        <v>4</v>
      </c>
      <c r="J545" t="s">
        <v>1140</v>
      </c>
      <c r="K545">
        <v>74</v>
      </c>
      <c r="L545" t="s">
        <v>5373</v>
      </c>
      <c r="M545" t="s">
        <v>5374</v>
      </c>
      <c r="N545" t="s">
        <v>5375</v>
      </c>
      <c r="O545" t="s">
        <v>4811</v>
      </c>
      <c r="P545" t="s">
        <v>5376</v>
      </c>
      <c r="Q545" t="s">
        <v>5377</v>
      </c>
      <c r="R545" t="s">
        <v>5375</v>
      </c>
      <c r="S545" s="2">
        <v>45240</v>
      </c>
      <c r="T545" t="s">
        <v>5378</v>
      </c>
      <c r="U545" t="s">
        <v>5379</v>
      </c>
      <c r="V545">
        <v>1</v>
      </c>
      <c r="W545">
        <v>9</v>
      </c>
      <c r="X545">
        <v>129800</v>
      </c>
      <c r="Y545" t="s">
        <v>96</v>
      </c>
      <c r="Z545" t="s">
        <v>5377</v>
      </c>
      <c r="AA545" t="s">
        <v>1853</v>
      </c>
      <c r="AB545" t="s">
        <v>45</v>
      </c>
      <c r="AC545" t="s">
        <v>4812</v>
      </c>
    </row>
    <row r="546" spans="1:29">
      <c r="A546" t="s">
        <v>226</v>
      </c>
      <c r="B546" s="1">
        <v>114071</v>
      </c>
      <c r="C546" t="s">
        <v>3206</v>
      </c>
      <c r="D546" t="s">
        <v>4810</v>
      </c>
      <c r="E546" s="1">
        <v>-3678</v>
      </c>
      <c r="F546" t="s">
        <v>1562</v>
      </c>
      <c r="G546" t="s">
        <v>4404</v>
      </c>
      <c r="H546" t="s">
        <v>5380</v>
      </c>
      <c r="I546">
        <v>4</v>
      </c>
      <c r="J546" t="s">
        <v>5173</v>
      </c>
      <c r="K546">
        <v>74</v>
      </c>
      <c r="L546" t="s">
        <v>5381</v>
      </c>
      <c r="M546" t="s">
        <v>5382</v>
      </c>
      <c r="N546" t="s">
        <v>5383</v>
      </c>
      <c r="O546" t="s">
        <v>4811</v>
      </c>
      <c r="P546" t="s">
        <v>5384</v>
      </c>
      <c r="Q546" t="s">
        <v>5385</v>
      </c>
      <c r="R546" t="s">
        <v>5383</v>
      </c>
      <c r="S546" s="2">
        <v>44631</v>
      </c>
      <c r="T546">
        <v>0</v>
      </c>
      <c r="U546" t="s">
        <v>5386</v>
      </c>
      <c r="V546">
        <v>0</v>
      </c>
      <c r="W546">
        <v>5</v>
      </c>
      <c r="X546">
        <v>165265</v>
      </c>
      <c r="Y546" t="s">
        <v>5387</v>
      </c>
      <c r="Z546" t="s">
        <v>5385</v>
      </c>
      <c r="AA546" t="s">
        <v>1853</v>
      </c>
      <c r="AB546" t="s">
        <v>45</v>
      </c>
      <c r="AC546" t="s">
        <v>4812</v>
      </c>
    </row>
    <row r="547" spans="1:29">
      <c r="A547" t="s">
        <v>2152</v>
      </c>
      <c r="B547" s="1">
        <v>77499</v>
      </c>
      <c r="C547" t="s">
        <v>727</v>
      </c>
      <c r="D547" t="s">
        <v>4810</v>
      </c>
      <c r="E547" s="1">
        <v>-5506</v>
      </c>
      <c r="F547" t="s">
        <v>2174</v>
      </c>
      <c r="G547" t="s">
        <v>528</v>
      </c>
      <c r="H547" t="s">
        <v>2175</v>
      </c>
      <c r="I547">
        <v>4</v>
      </c>
      <c r="J547" t="s">
        <v>710</v>
      </c>
      <c r="K547">
        <v>74</v>
      </c>
      <c r="L547" t="s">
        <v>2176</v>
      </c>
      <c r="M547" t="s">
        <v>2177</v>
      </c>
      <c r="N547" t="s">
        <v>2178</v>
      </c>
      <c r="O547" t="s">
        <v>4811</v>
      </c>
      <c r="P547" t="s">
        <v>2179</v>
      </c>
      <c r="Q547" t="s">
        <v>2180</v>
      </c>
      <c r="R547" t="s">
        <v>2178</v>
      </c>
      <c r="S547" s="2">
        <v>45534</v>
      </c>
      <c r="T547">
        <v>0</v>
      </c>
      <c r="U547" t="s">
        <v>2181</v>
      </c>
      <c r="V547">
        <v>1</v>
      </c>
      <c r="W547">
        <v>8</v>
      </c>
      <c r="X547">
        <v>155391</v>
      </c>
      <c r="Y547" t="s">
        <v>2013</v>
      </c>
      <c r="Z547" t="s">
        <v>2180</v>
      </c>
      <c r="AA547" t="s">
        <v>1853</v>
      </c>
      <c r="AB547" t="s">
        <v>45</v>
      </c>
      <c r="AC547" t="s">
        <v>4812</v>
      </c>
    </row>
    <row r="548" spans="1:29">
      <c r="A548" t="s">
        <v>293</v>
      </c>
      <c r="B548" s="1">
        <v>163997</v>
      </c>
      <c r="C548" t="s">
        <v>641</v>
      </c>
      <c r="D548" t="s">
        <v>4810</v>
      </c>
      <c r="E548" s="1">
        <v>-7342</v>
      </c>
      <c r="F548" t="s">
        <v>1727</v>
      </c>
      <c r="G548" t="s">
        <v>379</v>
      </c>
      <c r="H548" t="s">
        <v>5388</v>
      </c>
      <c r="I548">
        <v>4</v>
      </c>
      <c r="J548" t="s">
        <v>2500</v>
      </c>
      <c r="K548">
        <v>74</v>
      </c>
      <c r="L548" t="s">
        <v>5389</v>
      </c>
      <c r="M548" t="s">
        <v>5390</v>
      </c>
      <c r="N548" t="s">
        <v>5286</v>
      </c>
      <c r="O548" t="s">
        <v>4811</v>
      </c>
      <c r="P548" t="s">
        <v>5391</v>
      </c>
      <c r="Q548" t="s">
        <v>5392</v>
      </c>
      <c r="R548" t="s">
        <v>5393</v>
      </c>
      <c r="S548" s="2">
        <v>45205</v>
      </c>
      <c r="T548">
        <v>0</v>
      </c>
      <c r="U548" t="s">
        <v>5291</v>
      </c>
      <c r="V548">
        <v>0</v>
      </c>
      <c r="W548">
        <v>11</v>
      </c>
      <c r="X548">
        <v>247444</v>
      </c>
      <c r="Y548" t="s">
        <v>5394</v>
      </c>
      <c r="Z548" t="s">
        <v>5392</v>
      </c>
      <c r="AA548" t="s">
        <v>1853</v>
      </c>
      <c r="AB548" t="s">
        <v>45</v>
      </c>
      <c r="AC548" t="s">
        <v>4812</v>
      </c>
    </row>
    <row r="549" spans="1:29">
      <c r="A549" t="s">
        <v>5395</v>
      </c>
      <c r="B549" s="1">
        <v>125985</v>
      </c>
      <c r="C549" t="s">
        <v>3073</v>
      </c>
      <c r="D549" t="s">
        <v>4810</v>
      </c>
      <c r="E549" s="1">
        <v>-4562</v>
      </c>
      <c r="F549" t="s">
        <v>351</v>
      </c>
      <c r="G549" t="s">
        <v>225</v>
      </c>
      <c r="H549" t="s">
        <v>5396</v>
      </c>
      <c r="I549">
        <v>4</v>
      </c>
      <c r="J549" t="s">
        <v>5397</v>
      </c>
      <c r="K549">
        <v>73</v>
      </c>
      <c r="L549" t="s">
        <v>5398</v>
      </c>
      <c r="M549" t="s">
        <v>5399</v>
      </c>
      <c r="N549" t="s">
        <v>5400</v>
      </c>
      <c r="O549" t="s">
        <v>4811</v>
      </c>
      <c r="P549" t="s">
        <v>5401</v>
      </c>
      <c r="Q549" t="s">
        <v>5402</v>
      </c>
      <c r="R549" t="s">
        <v>5400</v>
      </c>
      <c r="S549" s="2">
        <v>45149</v>
      </c>
      <c r="T549" t="s">
        <v>2117</v>
      </c>
      <c r="U549" t="s">
        <v>5403</v>
      </c>
      <c r="V549">
        <v>1</v>
      </c>
      <c r="W549">
        <v>8</v>
      </c>
      <c r="X549">
        <v>182857</v>
      </c>
      <c r="Y549" t="s">
        <v>5404</v>
      </c>
      <c r="Z549" t="s">
        <v>5402</v>
      </c>
      <c r="AA549" t="s">
        <v>1853</v>
      </c>
      <c r="AB549" t="s">
        <v>45</v>
      </c>
      <c r="AC549" t="s">
        <v>4812</v>
      </c>
    </row>
    <row r="550" spans="1:29">
      <c r="A550" t="s">
        <v>4494</v>
      </c>
      <c r="B550" s="1">
        <v>154964</v>
      </c>
      <c r="C550" t="s">
        <v>1583</v>
      </c>
      <c r="D550" t="s">
        <v>4810</v>
      </c>
      <c r="E550" s="1">
        <v>-2749</v>
      </c>
      <c r="F550" t="s">
        <v>5166</v>
      </c>
      <c r="G550" t="s">
        <v>79</v>
      </c>
      <c r="H550" t="s">
        <v>5405</v>
      </c>
      <c r="I550">
        <v>4</v>
      </c>
      <c r="J550" t="s">
        <v>396</v>
      </c>
      <c r="K550">
        <v>73</v>
      </c>
      <c r="L550" t="s">
        <v>5406</v>
      </c>
      <c r="M550" t="s">
        <v>5407</v>
      </c>
      <c r="N550" t="s">
        <v>5408</v>
      </c>
      <c r="O550" t="s">
        <v>4811</v>
      </c>
      <c r="P550" t="s">
        <v>5409</v>
      </c>
      <c r="Q550" t="s">
        <v>5410</v>
      </c>
      <c r="R550" t="s">
        <v>5411</v>
      </c>
      <c r="S550" s="2">
        <v>44980</v>
      </c>
      <c r="T550" t="s">
        <v>5412</v>
      </c>
      <c r="U550" t="s">
        <v>5413</v>
      </c>
      <c r="V550">
        <v>1</v>
      </c>
      <c r="W550">
        <v>0</v>
      </c>
      <c r="X550">
        <v>86710</v>
      </c>
      <c r="Y550" t="s">
        <v>5414</v>
      </c>
      <c r="Z550" t="s">
        <v>5410</v>
      </c>
      <c r="AA550" t="s">
        <v>1853</v>
      </c>
      <c r="AB550" t="s">
        <v>45</v>
      </c>
      <c r="AC550" t="s">
        <v>4812</v>
      </c>
    </row>
    <row r="551" spans="1:29">
      <c r="A551" t="s">
        <v>2293</v>
      </c>
      <c r="B551" s="1">
        <v>106036</v>
      </c>
      <c r="C551" t="s">
        <v>3577</v>
      </c>
      <c r="D551" t="s">
        <v>4810</v>
      </c>
      <c r="E551" s="1">
        <v>-4704</v>
      </c>
      <c r="F551" t="s">
        <v>5022</v>
      </c>
      <c r="G551" t="s">
        <v>422</v>
      </c>
      <c r="H551" t="s">
        <v>5415</v>
      </c>
      <c r="I551">
        <v>4</v>
      </c>
      <c r="J551" t="s">
        <v>2099</v>
      </c>
      <c r="K551">
        <v>73</v>
      </c>
      <c r="L551" t="s">
        <v>5416</v>
      </c>
      <c r="M551" t="s">
        <v>5417</v>
      </c>
      <c r="N551" t="s">
        <v>5418</v>
      </c>
      <c r="O551" t="s">
        <v>4811</v>
      </c>
      <c r="P551" t="s">
        <v>5419</v>
      </c>
      <c r="Q551" t="s">
        <v>5420</v>
      </c>
      <c r="R551" t="s">
        <v>5421</v>
      </c>
      <c r="S551" s="2">
        <v>44477</v>
      </c>
      <c r="T551" t="s">
        <v>5422</v>
      </c>
      <c r="U551" t="s">
        <v>5423</v>
      </c>
      <c r="V551">
        <v>0</v>
      </c>
      <c r="W551">
        <v>4</v>
      </c>
      <c r="X551">
        <v>133707</v>
      </c>
      <c r="Y551" t="s">
        <v>5424</v>
      </c>
      <c r="Z551" t="s">
        <v>5420</v>
      </c>
      <c r="AA551" t="s">
        <v>1853</v>
      </c>
      <c r="AB551" t="s">
        <v>45</v>
      </c>
      <c r="AC551" t="s">
        <v>4812</v>
      </c>
    </row>
    <row r="552" spans="1:29">
      <c r="A552" t="s">
        <v>4636</v>
      </c>
      <c r="B552" s="1">
        <v>118051</v>
      </c>
      <c r="C552" t="s">
        <v>319</v>
      </c>
      <c r="D552" t="s">
        <v>4810</v>
      </c>
      <c r="E552" s="1">
        <v>-13092</v>
      </c>
      <c r="F552" t="s">
        <v>593</v>
      </c>
      <c r="G552" t="s">
        <v>2099</v>
      </c>
      <c r="H552" t="s">
        <v>2183</v>
      </c>
      <c r="I552">
        <v>4</v>
      </c>
      <c r="J552" t="s">
        <v>5425</v>
      </c>
      <c r="K552">
        <v>73</v>
      </c>
      <c r="L552" t="s">
        <v>5426</v>
      </c>
      <c r="M552" t="s">
        <v>5427</v>
      </c>
      <c r="N552">
        <v>2093</v>
      </c>
      <c r="O552" t="s">
        <v>4811</v>
      </c>
      <c r="P552" t="s">
        <v>5428</v>
      </c>
      <c r="Q552" t="s">
        <v>5429</v>
      </c>
      <c r="R552" t="s">
        <v>5430</v>
      </c>
      <c r="S552" s="2">
        <v>45338</v>
      </c>
      <c r="T552" t="s">
        <v>539</v>
      </c>
      <c r="U552" t="s">
        <v>5431</v>
      </c>
      <c r="V552">
        <v>1</v>
      </c>
      <c r="W552">
        <v>11</v>
      </c>
      <c r="X552">
        <v>170847</v>
      </c>
      <c r="Y552" t="s">
        <v>267</v>
      </c>
      <c r="Z552" t="s">
        <v>5429</v>
      </c>
      <c r="AA552" t="s">
        <v>1853</v>
      </c>
      <c r="AB552" t="s">
        <v>45</v>
      </c>
      <c r="AC552" t="s">
        <v>4812</v>
      </c>
    </row>
    <row r="553" spans="1:29">
      <c r="A553" t="s">
        <v>3257</v>
      </c>
      <c r="B553" s="1">
        <v>146441</v>
      </c>
      <c r="C553" t="s">
        <v>3481</v>
      </c>
      <c r="D553" t="s">
        <v>4810</v>
      </c>
      <c r="E553" s="1">
        <v>-5274</v>
      </c>
      <c r="F553" t="s">
        <v>2613</v>
      </c>
      <c r="G553" t="s">
        <v>2853</v>
      </c>
      <c r="H553" t="s">
        <v>4887</v>
      </c>
      <c r="I553">
        <v>4</v>
      </c>
      <c r="J553" t="s">
        <v>255</v>
      </c>
      <c r="K553">
        <v>73</v>
      </c>
      <c r="L553" t="s">
        <v>5432</v>
      </c>
      <c r="M553" t="s">
        <v>5433</v>
      </c>
      <c r="N553" t="s">
        <v>5434</v>
      </c>
      <c r="O553" t="s">
        <v>4811</v>
      </c>
      <c r="P553" t="s">
        <v>5435</v>
      </c>
      <c r="Q553" t="s">
        <v>5436</v>
      </c>
      <c r="R553" t="s">
        <v>5434</v>
      </c>
      <c r="S553" s="2">
        <v>45000</v>
      </c>
      <c r="T553" t="s">
        <v>5437</v>
      </c>
      <c r="U553" t="s">
        <v>5438</v>
      </c>
      <c r="V553">
        <v>1</v>
      </c>
      <c r="W553">
        <v>6</v>
      </c>
      <c r="X553">
        <v>102557</v>
      </c>
      <c r="Y553" t="s">
        <v>5439</v>
      </c>
      <c r="Z553" t="s">
        <v>5436</v>
      </c>
      <c r="AA553" t="s">
        <v>1853</v>
      </c>
      <c r="AB553" t="s">
        <v>45</v>
      </c>
      <c r="AC553" t="s">
        <v>4812</v>
      </c>
    </row>
    <row r="554" spans="1:29">
      <c r="A554" t="s">
        <v>3634</v>
      </c>
      <c r="B554" s="1">
        <v>75486</v>
      </c>
      <c r="C554" t="s">
        <v>1480</v>
      </c>
      <c r="D554" t="s">
        <v>4810</v>
      </c>
      <c r="E554" s="1">
        <v>-6904</v>
      </c>
      <c r="F554" t="s">
        <v>945</v>
      </c>
      <c r="G554" t="s">
        <v>1653</v>
      </c>
      <c r="H554" t="s">
        <v>2376</v>
      </c>
      <c r="I554">
        <v>4</v>
      </c>
      <c r="J554" t="s">
        <v>3075</v>
      </c>
      <c r="K554">
        <v>73</v>
      </c>
      <c r="L554" t="s">
        <v>5440</v>
      </c>
      <c r="M554" t="s">
        <v>5441</v>
      </c>
      <c r="N554" t="s">
        <v>5442</v>
      </c>
      <c r="O554" t="s">
        <v>4811</v>
      </c>
      <c r="P554" t="s">
        <v>5443</v>
      </c>
      <c r="Q554" t="s">
        <v>5444</v>
      </c>
      <c r="R554" t="s">
        <v>5445</v>
      </c>
      <c r="S554" s="2">
        <v>45100</v>
      </c>
      <c r="T554">
        <v>0</v>
      </c>
      <c r="U554" t="s">
        <v>5446</v>
      </c>
      <c r="V554">
        <v>1</v>
      </c>
      <c r="W554">
        <v>8</v>
      </c>
      <c r="X554">
        <v>140107</v>
      </c>
      <c r="Y554" t="s">
        <v>5447</v>
      </c>
      <c r="Z554" t="s">
        <v>5444</v>
      </c>
      <c r="AA554" t="s">
        <v>1853</v>
      </c>
      <c r="AB554" t="s">
        <v>45</v>
      </c>
      <c r="AC554" t="s">
        <v>4812</v>
      </c>
    </row>
    <row r="555" spans="1:29">
      <c r="A555" t="s">
        <v>5448</v>
      </c>
      <c r="B555" s="1">
        <v>145988</v>
      </c>
      <c r="C555" t="s">
        <v>4079</v>
      </c>
      <c r="D555" t="s">
        <v>4810</v>
      </c>
      <c r="E555" s="1">
        <v>-5914</v>
      </c>
      <c r="F555" t="s">
        <v>61</v>
      </c>
      <c r="G555" t="s">
        <v>145</v>
      </c>
      <c r="H555" t="s">
        <v>5449</v>
      </c>
      <c r="I555">
        <v>4</v>
      </c>
      <c r="J555" t="s">
        <v>5450</v>
      </c>
      <c r="K555">
        <v>73</v>
      </c>
      <c r="L555" t="s">
        <v>5451</v>
      </c>
      <c r="M555" t="s">
        <v>5452</v>
      </c>
      <c r="N555" t="s">
        <v>5453</v>
      </c>
      <c r="O555" t="s">
        <v>4811</v>
      </c>
      <c r="P555" t="s">
        <v>5454</v>
      </c>
      <c r="Q555" t="s">
        <v>5455</v>
      </c>
      <c r="R555" t="s">
        <v>5453</v>
      </c>
      <c r="S555" s="2">
        <v>45203</v>
      </c>
      <c r="T555" t="s">
        <v>5456</v>
      </c>
      <c r="U555" t="s">
        <v>5457</v>
      </c>
      <c r="V555">
        <v>0</v>
      </c>
      <c r="W555">
        <v>3</v>
      </c>
      <c r="X555">
        <v>220878</v>
      </c>
      <c r="Y555" t="s">
        <v>5458</v>
      </c>
      <c r="Z555" t="s">
        <v>5455</v>
      </c>
      <c r="AA555" t="s">
        <v>1853</v>
      </c>
      <c r="AB555" t="s">
        <v>45</v>
      </c>
      <c r="AC555" t="s">
        <v>4812</v>
      </c>
    </row>
    <row r="556" spans="1:29">
      <c r="A556" t="s">
        <v>1300</v>
      </c>
      <c r="B556" s="1">
        <v>165409</v>
      </c>
      <c r="C556" t="s">
        <v>580</v>
      </c>
      <c r="D556" t="s">
        <v>4810</v>
      </c>
      <c r="E556" s="1">
        <v>-6524</v>
      </c>
      <c r="F556" t="s">
        <v>2304</v>
      </c>
      <c r="G556" t="s">
        <v>1062</v>
      </c>
      <c r="H556" t="s">
        <v>2305</v>
      </c>
      <c r="I556">
        <v>4</v>
      </c>
      <c r="J556" t="s">
        <v>1142</v>
      </c>
      <c r="K556">
        <v>73</v>
      </c>
      <c r="L556" t="s">
        <v>2306</v>
      </c>
      <c r="M556" t="s">
        <v>2307</v>
      </c>
      <c r="N556" t="s">
        <v>2308</v>
      </c>
      <c r="O556" t="s">
        <v>4811</v>
      </c>
      <c r="P556" t="s">
        <v>2309</v>
      </c>
      <c r="Q556" t="s">
        <v>2310</v>
      </c>
      <c r="R556" t="s">
        <v>2311</v>
      </c>
      <c r="S556" s="2">
        <v>45303</v>
      </c>
      <c r="T556">
        <v>0</v>
      </c>
      <c r="U556" t="s">
        <v>2312</v>
      </c>
      <c r="V556">
        <v>1</v>
      </c>
      <c r="W556">
        <v>1</v>
      </c>
      <c r="X556">
        <v>220584</v>
      </c>
      <c r="Y556" t="s">
        <v>2313</v>
      </c>
      <c r="Z556" t="s">
        <v>2310</v>
      </c>
      <c r="AA556" t="s">
        <v>1853</v>
      </c>
      <c r="AB556" t="s">
        <v>45</v>
      </c>
      <c r="AC556" t="s">
        <v>4812</v>
      </c>
    </row>
    <row r="557" spans="1:29">
      <c r="A557" t="s">
        <v>1536</v>
      </c>
      <c r="B557" s="1">
        <v>145379</v>
      </c>
      <c r="C557" t="s">
        <v>241</v>
      </c>
      <c r="D557" t="s">
        <v>2948</v>
      </c>
      <c r="E557" s="1">
        <v>-7881</v>
      </c>
      <c r="F557" t="s">
        <v>3010</v>
      </c>
      <c r="G557" t="s">
        <v>1736</v>
      </c>
      <c r="H557" t="s">
        <v>3011</v>
      </c>
      <c r="I557">
        <v>5</v>
      </c>
      <c r="J557" t="s">
        <v>2314</v>
      </c>
      <c r="K557">
        <v>71</v>
      </c>
      <c r="L557" t="s">
        <v>3012</v>
      </c>
      <c r="M557" t="s">
        <v>3013</v>
      </c>
      <c r="N557" t="s">
        <v>3014</v>
      </c>
      <c r="O557" t="s">
        <v>5459</v>
      </c>
      <c r="P557" t="s">
        <v>3015</v>
      </c>
      <c r="Q557" t="s">
        <v>3016</v>
      </c>
      <c r="R557" t="s">
        <v>3014</v>
      </c>
      <c r="S557" s="2">
        <v>45580</v>
      </c>
      <c r="T557" t="s">
        <v>3017</v>
      </c>
      <c r="U557" t="s">
        <v>3018</v>
      </c>
      <c r="V557">
        <v>0</v>
      </c>
      <c r="W557">
        <v>6</v>
      </c>
      <c r="X557">
        <v>161379</v>
      </c>
      <c r="Y557" t="s">
        <v>1528</v>
      </c>
      <c r="Z557" t="s">
        <v>3016</v>
      </c>
      <c r="AA557" t="s">
        <v>5460</v>
      </c>
      <c r="AB557" t="s">
        <v>45</v>
      </c>
      <c r="AC557" t="s">
        <v>5461</v>
      </c>
    </row>
    <row r="558" spans="1:29">
      <c r="A558" t="s">
        <v>2388</v>
      </c>
      <c r="B558" t="s">
        <v>5462</v>
      </c>
      <c r="C558" t="s">
        <v>2151</v>
      </c>
      <c r="D558" t="s">
        <v>2948</v>
      </c>
      <c r="E558" s="1">
        <v>-7094</v>
      </c>
      <c r="F558" t="s">
        <v>1785</v>
      </c>
      <c r="G558" t="s">
        <v>3634</v>
      </c>
      <c r="H558" t="s">
        <v>5463</v>
      </c>
      <c r="I558">
        <v>4</v>
      </c>
      <c r="J558" t="s">
        <v>582</v>
      </c>
      <c r="K558">
        <v>70</v>
      </c>
      <c r="L558" t="s">
        <v>5464</v>
      </c>
      <c r="M558" t="s">
        <v>5465</v>
      </c>
      <c r="N558" t="s">
        <v>5466</v>
      </c>
      <c r="O558" t="s">
        <v>5459</v>
      </c>
      <c r="P558" t="s">
        <v>5467</v>
      </c>
      <c r="Q558" t="s">
        <v>5468</v>
      </c>
      <c r="R558" t="s">
        <v>5469</v>
      </c>
      <c r="S558" s="2">
        <v>45394</v>
      </c>
      <c r="T558" t="s">
        <v>5470</v>
      </c>
      <c r="U558" t="s">
        <v>5471</v>
      </c>
      <c r="V558">
        <v>1</v>
      </c>
      <c r="W558">
        <v>8</v>
      </c>
      <c r="X558">
        <v>141818</v>
      </c>
      <c r="Y558" t="s">
        <v>2538</v>
      </c>
      <c r="Z558" t="s">
        <v>5468</v>
      </c>
      <c r="AA558" t="s">
        <v>5460</v>
      </c>
      <c r="AB558" t="s">
        <v>45</v>
      </c>
      <c r="AC558" t="s">
        <v>5461</v>
      </c>
    </row>
    <row r="559" spans="1:29">
      <c r="A559" t="s">
        <v>1492</v>
      </c>
      <c r="B559" s="1">
        <v>112014</v>
      </c>
      <c r="C559" t="s">
        <v>290</v>
      </c>
      <c r="D559" t="s">
        <v>2948</v>
      </c>
      <c r="E559" s="1">
        <v>-8626</v>
      </c>
      <c r="F559" t="s">
        <v>799</v>
      </c>
      <c r="G559" t="s">
        <v>5472</v>
      </c>
      <c r="H559" t="s">
        <v>5473</v>
      </c>
      <c r="I559">
        <v>4</v>
      </c>
      <c r="J559" t="s">
        <v>5474</v>
      </c>
      <c r="K559">
        <v>69</v>
      </c>
      <c r="L559" t="s">
        <v>5475</v>
      </c>
      <c r="M559" t="s">
        <v>5476</v>
      </c>
      <c r="N559" t="s">
        <v>5477</v>
      </c>
      <c r="O559" t="s">
        <v>5459</v>
      </c>
      <c r="P559" t="s">
        <v>5478</v>
      </c>
      <c r="Q559" t="s">
        <v>5479</v>
      </c>
      <c r="R559" t="s">
        <v>5480</v>
      </c>
      <c r="S559" s="2">
        <v>45519</v>
      </c>
      <c r="T559" t="s">
        <v>5481</v>
      </c>
      <c r="U559" t="s">
        <v>5482</v>
      </c>
      <c r="V559">
        <v>1</v>
      </c>
      <c r="W559">
        <v>0</v>
      </c>
      <c r="X559">
        <v>156429</v>
      </c>
      <c r="Y559" t="s">
        <v>1456</v>
      </c>
      <c r="Z559" t="s">
        <v>5479</v>
      </c>
      <c r="AA559" t="s">
        <v>5460</v>
      </c>
      <c r="AB559" t="s">
        <v>45</v>
      </c>
      <c r="AC559" t="s">
        <v>5461</v>
      </c>
    </row>
    <row r="560" spans="1:29">
      <c r="A560" t="s">
        <v>2814</v>
      </c>
      <c r="B560" s="1">
        <v>101837</v>
      </c>
      <c r="C560" t="s">
        <v>579</v>
      </c>
      <c r="D560" t="s">
        <v>2948</v>
      </c>
      <c r="E560" s="1">
        <v>-3367</v>
      </c>
      <c r="F560" t="s">
        <v>1142</v>
      </c>
      <c r="G560" t="s">
        <v>461</v>
      </c>
      <c r="H560" t="s">
        <v>3019</v>
      </c>
      <c r="I560">
        <v>3</v>
      </c>
      <c r="J560" t="s">
        <v>1347</v>
      </c>
      <c r="K560">
        <v>72</v>
      </c>
      <c r="L560" t="s">
        <v>3020</v>
      </c>
      <c r="M560" t="s">
        <v>3021</v>
      </c>
      <c r="N560" t="s">
        <v>3022</v>
      </c>
      <c r="O560" t="s">
        <v>5459</v>
      </c>
      <c r="P560" t="s">
        <v>3023</v>
      </c>
      <c r="Q560" t="s">
        <v>3024</v>
      </c>
      <c r="R560" t="s">
        <v>3025</v>
      </c>
      <c r="S560" s="2">
        <v>45512</v>
      </c>
      <c r="T560" t="s">
        <v>3026</v>
      </c>
      <c r="U560" t="s">
        <v>3027</v>
      </c>
      <c r="V560">
        <v>0</v>
      </c>
      <c r="W560">
        <v>8</v>
      </c>
      <c r="X560">
        <v>219628</v>
      </c>
      <c r="Y560" t="s">
        <v>3028</v>
      </c>
      <c r="Z560" t="s">
        <v>3024</v>
      </c>
      <c r="AA560" t="s">
        <v>5460</v>
      </c>
      <c r="AB560" t="s">
        <v>45</v>
      </c>
      <c r="AC560" t="s">
        <v>5461</v>
      </c>
    </row>
    <row r="561" spans="1:29">
      <c r="A561" t="s">
        <v>121</v>
      </c>
      <c r="B561" s="1">
        <v>147989</v>
      </c>
      <c r="C561" t="s">
        <v>1949</v>
      </c>
      <c r="D561" t="s">
        <v>2948</v>
      </c>
      <c r="E561" s="1">
        <v>-4563</v>
      </c>
      <c r="F561" t="s">
        <v>3302</v>
      </c>
      <c r="G561" t="s">
        <v>335</v>
      </c>
      <c r="H561" t="s">
        <v>5483</v>
      </c>
      <c r="I561">
        <v>4</v>
      </c>
      <c r="J561" t="s">
        <v>5484</v>
      </c>
      <c r="K561">
        <v>68</v>
      </c>
      <c r="L561" t="s">
        <v>5485</v>
      </c>
      <c r="M561" t="s">
        <v>5486</v>
      </c>
      <c r="N561" t="s">
        <v>5487</v>
      </c>
      <c r="O561" t="s">
        <v>5459</v>
      </c>
      <c r="P561" t="s">
        <v>5488</v>
      </c>
      <c r="Q561" t="s">
        <v>5489</v>
      </c>
      <c r="R561" t="s">
        <v>5490</v>
      </c>
      <c r="S561" s="2">
        <v>45483</v>
      </c>
      <c r="T561">
        <v>0</v>
      </c>
      <c r="U561" t="s">
        <v>5491</v>
      </c>
      <c r="V561">
        <v>1</v>
      </c>
      <c r="W561">
        <v>2</v>
      </c>
      <c r="X561">
        <v>137684</v>
      </c>
      <c r="Y561" t="s">
        <v>1812</v>
      </c>
      <c r="Z561" t="s">
        <v>5489</v>
      </c>
      <c r="AA561" t="s">
        <v>5460</v>
      </c>
      <c r="AB561" t="s">
        <v>45</v>
      </c>
      <c r="AC561" t="s">
        <v>5461</v>
      </c>
    </row>
    <row r="562" spans="1:29">
      <c r="A562" t="s">
        <v>891</v>
      </c>
      <c r="B562" s="1">
        <v>93482</v>
      </c>
      <c r="C562" t="s">
        <v>1536</v>
      </c>
      <c r="D562" t="s">
        <v>2948</v>
      </c>
      <c r="E562" s="1">
        <v>-3505</v>
      </c>
      <c r="F562" t="s">
        <v>1110</v>
      </c>
      <c r="G562" t="s">
        <v>1300</v>
      </c>
      <c r="H562" t="s">
        <v>3001</v>
      </c>
      <c r="I562">
        <v>4</v>
      </c>
      <c r="J562" t="s">
        <v>1692</v>
      </c>
      <c r="K562">
        <v>78</v>
      </c>
      <c r="L562" t="s">
        <v>3002</v>
      </c>
      <c r="M562" t="s">
        <v>3003</v>
      </c>
      <c r="N562" t="s">
        <v>3004</v>
      </c>
      <c r="O562" t="s">
        <v>5459</v>
      </c>
      <c r="P562" t="s">
        <v>3005</v>
      </c>
      <c r="Q562" t="s">
        <v>3006</v>
      </c>
      <c r="R562" t="s">
        <v>3007</v>
      </c>
      <c r="S562" s="2">
        <v>45576</v>
      </c>
      <c r="T562" t="s">
        <v>3008</v>
      </c>
      <c r="U562" t="s">
        <v>3009</v>
      </c>
      <c r="V562">
        <v>1</v>
      </c>
      <c r="W562">
        <v>2</v>
      </c>
      <c r="X562">
        <v>156826</v>
      </c>
      <c r="Y562" t="s">
        <v>2012</v>
      </c>
      <c r="Z562" t="s">
        <v>3006</v>
      </c>
      <c r="AA562" t="s">
        <v>5460</v>
      </c>
      <c r="AB562" t="s">
        <v>45</v>
      </c>
      <c r="AC562" t="s">
        <v>5461</v>
      </c>
    </row>
    <row r="563" spans="1:29">
      <c r="A563" t="s">
        <v>2972</v>
      </c>
      <c r="B563" s="1">
        <v>113981</v>
      </c>
      <c r="C563" t="s">
        <v>1445</v>
      </c>
      <c r="D563" t="s">
        <v>2948</v>
      </c>
      <c r="E563" s="1">
        <v>-4621</v>
      </c>
      <c r="F563" t="s">
        <v>2973</v>
      </c>
      <c r="G563" t="s">
        <v>2974</v>
      </c>
      <c r="H563" t="s">
        <v>2975</v>
      </c>
      <c r="I563">
        <v>4</v>
      </c>
      <c r="J563" t="s">
        <v>2976</v>
      </c>
      <c r="K563">
        <v>76</v>
      </c>
      <c r="L563" t="s">
        <v>2977</v>
      </c>
      <c r="M563" t="s">
        <v>2978</v>
      </c>
      <c r="N563" t="s">
        <v>2979</v>
      </c>
      <c r="O563" t="s">
        <v>5459</v>
      </c>
      <c r="P563" t="s">
        <v>2980</v>
      </c>
      <c r="Q563" t="s">
        <v>2981</v>
      </c>
      <c r="R563" t="s">
        <v>2979</v>
      </c>
      <c r="S563" s="2">
        <v>45596</v>
      </c>
      <c r="T563" t="s">
        <v>2982</v>
      </c>
      <c r="U563" t="s">
        <v>2983</v>
      </c>
      <c r="V563">
        <v>1</v>
      </c>
      <c r="W563">
        <v>5</v>
      </c>
      <c r="X563">
        <v>172632</v>
      </c>
      <c r="Y563" t="s">
        <v>43</v>
      </c>
      <c r="Z563" t="s">
        <v>2981</v>
      </c>
      <c r="AA563" t="s">
        <v>5460</v>
      </c>
      <c r="AB563" t="s">
        <v>45</v>
      </c>
      <c r="AC563" t="s">
        <v>5461</v>
      </c>
    </row>
    <row r="564" spans="1:29">
      <c r="A564" t="s">
        <v>407</v>
      </c>
      <c r="B564" t="s">
        <v>5492</v>
      </c>
      <c r="C564" t="s">
        <v>1868</v>
      </c>
      <c r="D564" t="s">
        <v>2948</v>
      </c>
      <c r="E564" t="s">
        <v>5493</v>
      </c>
      <c r="F564" t="s">
        <v>476</v>
      </c>
      <c r="G564" t="s">
        <v>2740</v>
      </c>
      <c r="H564" t="s">
        <v>5494</v>
      </c>
      <c r="I564">
        <v>5</v>
      </c>
      <c r="J564" t="s">
        <v>2929</v>
      </c>
      <c r="K564">
        <v>68</v>
      </c>
      <c r="L564" t="s">
        <v>5495</v>
      </c>
      <c r="M564" t="s">
        <v>5496</v>
      </c>
      <c r="N564" t="s">
        <v>5497</v>
      </c>
      <c r="O564" t="s">
        <v>5459</v>
      </c>
      <c r="P564" t="s">
        <v>5498</v>
      </c>
      <c r="Q564" t="s">
        <v>5499</v>
      </c>
      <c r="R564" t="s">
        <v>5497</v>
      </c>
      <c r="S564" s="2">
        <v>45532</v>
      </c>
      <c r="T564">
        <v>0</v>
      </c>
      <c r="U564" t="s">
        <v>5500</v>
      </c>
      <c r="V564">
        <v>1</v>
      </c>
      <c r="W564">
        <v>11</v>
      </c>
      <c r="X564">
        <v>193567</v>
      </c>
      <c r="Y564" t="s">
        <v>2063</v>
      </c>
      <c r="Z564" t="s">
        <v>5499</v>
      </c>
      <c r="AA564" t="s">
        <v>5460</v>
      </c>
      <c r="AB564" t="s">
        <v>45</v>
      </c>
      <c r="AC564" t="s">
        <v>5461</v>
      </c>
    </row>
    <row r="565" spans="1:29">
      <c r="A565" t="s">
        <v>1608</v>
      </c>
      <c r="B565" t="s">
        <v>2992</v>
      </c>
      <c r="C565" t="s">
        <v>1583</v>
      </c>
      <c r="D565" t="s">
        <v>2948</v>
      </c>
      <c r="E565" s="1">
        <v>-5493</v>
      </c>
      <c r="F565" t="s">
        <v>2580</v>
      </c>
      <c r="G565" t="s">
        <v>265</v>
      </c>
      <c r="H565" t="s">
        <v>2993</v>
      </c>
      <c r="I565">
        <v>4</v>
      </c>
      <c r="J565" t="s">
        <v>2280</v>
      </c>
      <c r="K565">
        <v>77</v>
      </c>
      <c r="L565" t="s">
        <v>2994</v>
      </c>
      <c r="M565" t="s">
        <v>2995</v>
      </c>
      <c r="N565" t="s">
        <v>2996</v>
      </c>
      <c r="O565" t="s">
        <v>5459</v>
      </c>
      <c r="P565" t="s">
        <v>2997</v>
      </c>
      <c r="Q565" t="s">
        <v>2998</v>
      </c>
      <c r="R565" t="s">
        <v>2996</v>
      </c>
      <c r="S565" s="2">
        <v>45583</v>
      </c>
      <c r="T565" t="s">
        <v>2999</v>
      </c>
      <c r="U565" t="s">
        <v>3000</v>
      </c>
      <c r="V565">
        <v>1</v>
      </c>
      <c r="W565">
        <v>1</v>
      </c>
      <c r="X565">
        <v>259354</v>
      </c>
      <c r="Y565" t="s">
        <v>2802</v>
      </c>
      <c r="Z565" t="s">
        <v>2998</v>
      </c>
      <c r="AA565" t="s">
        <v>5460</v>
      </c>
      <c r="AB565" t="s">
        <v>45</v>
      </c>
      <c r="AC565" t="s">
        <v>5461</v>
      </c>
    </row>
    <row r="566" spans="1:29">
      <c r="A566" t="s">
        <v>3142</v>
      </c>
      <c r="B566" s="1">
        <v>113012</v>
      </c>
      <c r="C566" t="s">
        <v>1513</v>
      </c>
      <c r="D566" t="s">
        <v>2948</v>
      </c>
      <c r="E566" s="1">
        <v>-7164</v>
      </c>
      <c r="F566" t="s">
        <v>5501</v>
      </c>
      <c r="G566" t="s">
        <v>4636</v>
      </c>
      <c r="H566" t="s">
        <v>5502</v>
      </c>
      <c r="I566">
        <v>4</v>
      </c>
      <c r="J566" t="s">
        <v>2436</v>
      </c>
      <c r="K566">
        <v>71</v>
      </c>
      <c r="L566" t="s">
        <v>5503</v>
      </c>
      <c r="M566" t="s">
        <v>5504</v>
      </c>
      <c r="N566" t="s">
        <v>5505</v>
      </c>
      <c r="O566" t="s">
        <v>5459</v>
      </c>
      <c r="P566" t="s">
        <v>5506</v>
      </c>
      <c r="Q566" t="s">
        <v>5507</v>
      </c>
      <c r="R566" t="s">
        <v>5505</v>
      </c>
      <c r="S566" s="2">
        <v>45526</v>
      </c>
      <c r="T566" t="s">
        <v>5508</v>
      </c>
      <c r="U566" t="s">
        <v>5509</v>
      </c>
      <c r="V566">
        <v>0</v>
      </c>
      <c r="W566">
        <v>6</v>
      </c>
      <c r="X566">
        <v>157756</v>
      </c>
      <c r="Y566" t="s">
        <v>255</v>
      </c>
      <c r="Z566" t="s">
        <v>5507</v>
      </c>
      <c r="AA566" t="s">
        <v>5460</v>
      </c>
      <c r="AB566" t="s">
        <v>45</v>
      </c>
      <c r="AC566" t="s">
        <v>5461</v>
      </c>
    </row>
    <row r="567" spans="1:29">
      <c r="A567" t="s">
        <v>4078</v>
      </c>
      <c r="B567" s="1">
        <v>95865</v>
      </c>
      <c r="C567" t="s">
        <v>2098</v>
      </c>
      <c r="D567" t="s">
        <v>2948</v>
      </c>
      <c r="E567" s="1">
        <v>-8399</v>
      </c>
      <c r="F567" t="s">
        <v>2101</v>
      </c>
      <c r="G567" t="s">
        <v>4367</v>
      </c>
      <c r="H567" t="s">
        <v>5510</v>
      </c>
      <c r="I567">
        <v>4</v>
      </c>
      <c r="J567" t="s">
        <v>486</v>
      </c>
      <c r="K567">
        <v>68</v>
      </c>
      <c r="L567" t="s">
        <v>5511</v>
      </c>
      <c r="M567" t="s">
        <v>5512</v>
      </c>
      <c r="N567" t="s">
        <v>5513</v>
      </c>
      <c r="O567" t="s">
        <v>5459</v>
      </c>
      <c r="P567" t="s">
        <v>5514</v>
      </c>
      <c r="Q567" t="s">
        <v>5515</v>
      </c>
      <c r="R567" t="s">
        <v>5516</v>
      </c>
      <c r="S567" s="2">
        <v>45569</v>
      </c>
      <c r="T567" t="s">
        <v>5517</v>
      </c>
      <c r="U567" t="s">
        <v>5518</v>
      </c>
      <c r="V567">
        <v>0</v>
      </c>
      <c r="W567">
        <v>11</v>
      </c>
      <c r="X567">
        <v>154579</v>
      </c>
      <c r="Y567" t="s">
        <v>63</v>
      </c>
      <c r="Z567" t="s">
        <v>5515</v>
      </c>
      <c r="AA567" t="s">
        <v>5460</v>
      </c>
      <c r="AB567" t="s">
        <v>45</v>
      </c>
      <c r="AC567" t="s">
        <v>5461</v>
      </c>
    </row>
    <row r="568" spans="1:29">
      <c r="A568" t="s">
        <v>421</v>
      </c>
      <c r="B568" s="1">
        <v>67813</v>
      </c>
      <c r="C568" t="s">
        <v>1310</v>
      </c>
      <c r="D568" t="s">
        <v>2948</v>
      </c>
      <c r="E568" s="1">
        <v>-6259</v>
      </c>
      <c r="F568" t="s">
        <v>1596</v>
      </c>
      <c r="G568" t="s">
        <v>2598</v>
      </c>
      <c r="H568" t="s">
        <v>5519</v>
      </c>
      <c r="I568">
        <v>5</v>
      </c>
      <c r="J568" t="s">
        <v>2280</v>
      </c>
      <c r="K568">
        <v>68</v>
      </c>
      <c r="L568" t="s">
        <v>5520</v>
      </c>
      <c r="M568" t="s">
        <v>5521</v>
      </c>
      <c r="N568" t="s">
        <v>5522</v>
      </c>
      <c r="O568" t="s">
        <v>5459</v>
      </c>
      <c r="P568" t="s">
        <v>5523</v>
      </c>
      <c r="Q568" t="s">
        <v>5524</v>
      </c>
      <c r="R568" t="s">
        <v>5522</v>
      </c>
      <c r="S568" s="2">
        <v>45398</v>
      </c>
      <c r="T568" t="s">
        <v>5525</v>
      </c>
      <c r="U568" t="s">
        <v>5526</v>
      </c>
      <c r="V568">
        <v>1</v>
      </c>
      <c r="W568">
        <v>11</v>
      </c>
      <c r="X568">
        <v>180594</v>
      </c>
      <c r="Y568" t="s">
        <v>4326</v>
      </c>
      <c r="Z568" t="s">
        <v>5524</v>
      </c>
      <c r="AA568" t="s">
        <v>5460</v>
      </c>
      <c r="AB568" t="s">
        <v>45</v>
      </c>
      <c r="AC568" t="s">
        <v>5461</v>
      </c>
    </row>
    <row r="569" spans="1:29">
      <c r="A569" t="s">
        <v>5527</v>
      </c>
      <c r="B569" s="1">
        <v>166008</v>
      </c>
      <c r="C569" t="s">
        <v>1552</v>
      </c>
      <c r="D569" t="s">
        <v>5528</v>
      </c>
      <c r="E569" s="1">
        <v>-2783</v>
      </c>
      <c r="F569" t="s">
        <v>836</v>
      </c>
      <c r="G569" t="s">
        <v>448</v>
      </c>
      <c r="H569" t="s">
        <v>5529</v>
      </c>
      <c r="I569">
        <v>4</v>
      </c>
      <c r="J569" t="s">
        <v>774</v>
      </c>
      <c r="K569">
        <v>72</v>
      </c>
      <c r="L569" t="s">
        <v>5530</v>
      </c>
      <c r="M569" t="s">
        <v>5531</v>
      </c>
      <c r="N569" t="s">
        <v>5532</v>
      </c>
      <c r="O569" t="s">
        <v>5533</v>
      </c>
      <c r="P569" t="s">
        <v>5534</v>
      </c>
      <c r="Q569" t="s">
        <v>5535</v>
      </c>
      <c r="R569" t="s">
        <v>5532</v>
      </c>
      <c r="S569" s="2">
        <v>45028</v>
      </c>
      <c r="T569" t="s">
        <v>4401</v>
      </c>
      <c r="U569" t="s">
        <v>5536</v>
      </c>
      <c r="V569">
        <v>1</v>
      </c>
      <c r="W569">
        <v>1</v>
      </c>
      <c r="X569">
        <v>213234</v>
      </c>
      <c r="Y569" t="s">
        <v>757</v>
      </c>
      <c r="Z569" t="s">
        <v>5535</v>
      </c>
      <c r="AA569" t="s">
        <v>5537</v>
      </c>
      <c r="AB569" t="s">
        <v>45</v>
      </c>
      <c r="AC569" t="s">
        <v>5538</v>
      </c>
    </row>
    <row r="570" spans="1:29">
      <c r="A570" t="s">
        <v>5539</v>
      </c>
      <c r="B570" s="1">
        <v>101921</v>
      </c>
      <c r="C570" t="s">
        <v>1287</v>
      </c>
      <c r="D570" t="s">
        <v>5528</v>
      </c>
      <c r="E570" t="s">
        <v>5540</v>
      </c>
      <c r="F570" t="s">
        <v>2316</v>
      </c>
      <c r="G570" t="s">
        <v>5004</v>
      </c>
      <c r="H570" t="s">
        <v>5541</v>
      </c>
      <c r="I570">
        <v>4</v>
      </c>
      <c r="J570" t="s">
        <v>2580</v>
      </c>
      <c r="K570">
        <v>72</v>
      </c>
      <c r="L570" t="s">
        <v>5542</v>
      </c>
      <c r="M570" t="s">
        <v>5543</v>
      </c>
      <c r="N570" t="s">
        <v>5544</v>
      </c>
      <c r="O570" t="s">
        <v>5533</v>
      </c>
      <c r="P570" t="s">
        <v>5545</v>
      </c>
      <c r="Q570" t="s">
        <v>5546</v>
      </c>
      <c r="R570" t="s">
        <v>5544</v>
      </c>
      <c r="S570" s="2">
        <v>44846</v>
      </c>
      <c r="T570" t="s">
        <v>5547</v>
      </c>
      <c r="U570" t="s">
        <v>5548</v>
      </c>
      <c r="V570">
        <v>1</v>
      </c>
      <c r="W570">
        <v>1</v>
      </c>
      <c r="X570">
        <v>193495</v>
      </c>
      <c r="Y570" t="s">
        <v>5549</v>
      </c>
      <c r="Z570" t="s">
        <v>5546</v>
      </c>
      <c r="AA570" t="s">
        <v>5537</v>
      </c>
      <c r="AB570" t="s">
        <v>45</v>
      </c>
      <c r="AC570" t="s">
        <v>5538</v>
      </c>
    </row>
    <row r="571" spans="1:29">
      <c r="A571" t="s">
        <v>1881</v>
      </c>
      <c r="B571" s="1">
        <v>149923</v>
      </c>
      <c r="C571" t="s">
        <v>2774</v>
      </c>
      <c r="D571" t="s">
        <v>5528</v>
      </c>
      <c r="E571" s="1">
        <v>-4363</v>
      </c>
      <c r="F571" t="s">
        <v>2109</v>
      </c>
      <c r="G571" t="s">
        <v>3482</v>
      </c>
      <c r="H571" t="s">
        <v>5550</v>
      </c>
      <c r="I571">
        <v>4</v>
      </c>
      <c r="J571" t="s">
        <v>2295</v>
      </c>
      <c r="K571">
        <v>77</v>
      </c>
      <c r="L571" t="s">
        <v>5551</v>
      </c>
      <c r="M571" t="s">
        <v>5552</v>
      </c>
      <c r="N571" t="s">
        <v>5553</v>
      </c>
      <c r="O571" t="s">
        <v>5533</v>
      </c>
      <c r="P571" t="s">
        <v>5554</v>
      </c>
      <c r="Q571" t="s">
        <v>5555</v>
      </c>
      <c r="R571" t="s">
        <v>5553</v>
      </c>
      <c r="S571" s="2">
        <v>45393</v>
      </c>
      <c r="T571">
        <v>0</v>
      </c>
      <c r="U571" t="s">
        <v>5556</v>
      </c>
      <c r="V571">
        <v>1</v>
      </c>
      <c r="W571">
        <v>10</v>
      </c>
      <c r="X571">
        <v>288200</v>
      </c>
      <c r="Y571" t="s">
        <v>5557</v>
      </c>
      <c r="Z571" t="s">
        <v>5555</v>
      </c>
      <c r="AA571" t="s">
        <v>5537</v>
      </c>
      <c r="AB571" t="s">
        <v>45</v>
      </c>
      <c r="AC571" t="s">
        <v>5538</v>
      </c>
    </row>
    <row r="572" spans="1:29">
      <c r="A572" t="s">
        <v>594</v>
      </c>
      <c r="B572" t="s">
        <v>5558</v>
      </c>
      <c r="C572" t="s">
        <v>5559</v>
      </c>
      <c r="D572" t="s">
        <v>5528</v>
      </c>
      <c r="E572" s="1">
        <v>-4809</v>
      </c>
      <c r="F572" t="s">
        <v>147</v>
      </c>
      <c r="G572" t="s">
        <v>5560</v>
      </c>
      <c r="H572" t="s">
        <v>5561</v>
      </c>
      <c r="I572">
        <v>4</v>
      </c>
      <c r="J572" t="s">
        <v>1320</v>
      </c>
      <c r="K572">
        <v>71</v>
      </c>
      <c r="L572" t="s">
        <v>5562</v>
      </c>
      <c r="M572" t="s">
        <v>5563</v>
      </c>
      <c r="N572" t="s">
        <v>5564</v>
      </c>
      <c r="O572" t="s">
        <v>5533</v>
      </c>
      <c r="P572" t="s">
        <v>5565</v>
      </c>
      <c r="Q572" t="s">
        <v>5566</v>
      </c>
      <c r="R572" t="s">
        <v>5564</v>
      </c>
      <c r="S572" s="2">
        <v>45114</v>
      </c>
      <c r="T572">
        <v>0</v>
      </c>
      <c r="U572" t="s">
        <v>5567</v>
      </c>
      <c r="V572">
        <v>1</v>
      </c>
      <c r="W572">
        <v>1</v>
      </c>
      <c r="X572">
        <v>196467</v>
      </c>
      <c r="Y572" t="s">
        <v>901</v>
      </c>
      <c r="Z572" t="s">
        <v>5566</v>
      </c>
      <c r="AA572" t="s">
        <v>5537</v>
      </c>
      <c r="AB572" t="s">
        <v>45</v>
      </c>
      <c r="AC572" t="s">
        <v>5538</v>
      </c>
    </row>
    <row r="573" spans="1:29">
      <c r="A573" t="s">
        <v>1227</v>
      </c>
      <c r="B573" s="1">
        <v>157013</v>
      </c>
      <c r="C573" t="s">
        <v>1938</v>
      </c>
      <c r="D573" t="s">
        <v>5528</v>
      </c>
      <c r="E573" s="1">
        <v>-6836</v>
      </c>
      <c r="F573" t="s">
        <v>942</v>
      </c>
      <c r="G573" t="s">
        <v>265</v>
      </c>
      <c r="H573" t="s">
        <v>5568</v>
      </c>
      <c r="I573">
        <v>4</v>
      </c>
      <c r="J573" t="s">
        <v>446</v>
      </c>
      <c r="K573">
        <v>80</v>
      </c>
      <c r="L573" t="s">
        <v>5569</v>
      </c>
      <c r="M573" t="s">
        <v>5570</v>
      </c>
      <c r="N573" t="s">
        <v>5571</v>
      </c>
      <c r="O573" t="s">
        <v>5533</v>
      </c>
      <c r="P573" t="s">
        <v>5572</v>
      </c>
      <c r="Q573" t="s">
        <v>5573</v>
      </c>
      <c r="R573" t="s">
        <v>5571</v>
      </c>
      <c r="S573" s="2">
        <v>45298</v>
      </c>
      <c r="T573" t="s">
        <v>5574</v>
      </c>
      <c r="U573" t="s">
        <v>5575</v>
      </c>
      <c r="V573">
        <v>0</v>
      </c>
      <c r="W573">
        <v>6</v>
      </c>
      <c r="X573">
        <v>168136</v>
      </c>
      <c r="Y573" t="s">
        <v>4496</v>
      </c>
      <c r="Z573" t="s">
        <v>5573</v>
      </c>
      <c r="AA573" t="s">
        <v>5537</v>
      </c>
      <c r="AB573" t="s">
        <v>45</v>
      </c>
      <c r="AC573" t="s">
        <v>5538</v>
      </c>
    </row>
    <row r="574" spans="1:29">
      <c r="A574" t="s">
        <v>1212</v>
      </c>
      <c r="B574" s="1">
        <v>141131</v>
      </c>
      <c r="C574" t="s">
        <v>3767</v>
      </c>
      <c r="D574" t="s">
        <v>5528</v>
      </c>
      <c r="E574" s="1">
        <v>-3823</v>
      </c>
      <c r="F574" t="s">
        <v>1797</v>
      </c>
      <c r="G574" t="s">
        <v>1279</v>
      </c>
      <c r="H574" t="s">
        <v>5576</v>
      </c>
      <c r="I574">
        <v>4</v>
      </c>
      <c r="J574" t="s">
        <v>5577</v>
      </c>
      <c r="K574">
        <v>73</v>
      </c>
      <c r="L574" t="s">
        <v>5578</v>
      </c>
      <c r="M574" t="s">
        <v>5579</v>
      </c>
      <c r="N574" t="s">
        <v>5580</v>
      </c>
      <c r="O574" t="s">
        <v>5533</v>
      </c>
      <c r="P574" t="s">
        <v>5581</v>
      </c>
      <c r="Q574" t="s">
        <v>5582</v>
      </c>
      <c r="R574" t="s">
        <v>5580</v>
      </c>
      <c r="S574" s="2">
        <v>45492</v>
      </c>
      <c r="T574">
        <v>0</v>
      </c>
      <c r="U574" t="s">
        <v>5583</v>
      </c>
      <c r="V574">
        <v>1</v>
      </c>
      <c r="W574">
        <v>5</v>
      </c>
      <c r="X574">
        <v>243027</v>
      </c>
      <c r="Y574" t="s">
        <v>593</v>
      </c>
      <c r="Z574" t="s">
        <v>5582</v>
      </c>
      <c r="AA574" t="s">
        <v>5537</v>
      </c>
      <c r="AB574" t="s">
        <v>45</v>
      </c>
      <c r="AC574" t="s">
        <v>5538</v>
      </c>
    </row>
    <row r="575" spans="1:29">
      <c r="A575" t="s">
        <v>4404</v>
      </c>
      <c r="B575" s="1">
        <v>101955</v>
      </c>
      <c r="C575" t="s">
        <v>3888</v>
      </c>
      <c r="D575" t="s">
        <v>5528</v>
      </c>
      <c r="E575" s="1">
        <v>-6249</v>
      </c>
      <c r="F575" t="s">
        <v>710</v>
      </c>
      <c r="G575" t="s">
        <v>2151</v>
      </c>
      <c r="H575" t="s">
        <v>5584</v>
      </c>
      <c r="I575">
        <v>4</v>
      </c>
      <c r="J575" t="s">
        <v>160</v>
      </c>
      <c r="K575">
        <v>70</v>
      </c>
      <c r="L575" t="s">
        <v>5585</v>
      </c>
      <c r="M575" t="s">
        <v>5586</v>
      </c>
      <c r="N575" t="s">
        <v>5587</v>
      </c>
      <c r="O575" t="s">
        <v>5533</v>
      </c>
      <c r="P575" t="s">
        <v>5588</v>
      </c>
      <c r="Q575" t="s">
        <v>5589</v>
      </c>
      <c r="R575" t="s">
        <v>5587</v>
      </c>
      <c r="S575" s="2">
        <v>45296</v>
      </c>
      <c r="T575" t="s">
        <v>5590</v>
      </c>
      <c r="U575" t="s">
        <v>5591</v>
      </c>
      <c r="V575">
        <v>0</v>
      </c>
      <c r="W575">
        <v>11</v>
      </c>
      <c r="X575">
        <v>270705</v>
      </c>
      <c r="Y575" t="s">
        <v>657</v>
      </c>
      <c r="Z575" t="s">
        <v>5589</v>
      </c>
      <c r="AA575" t="s">
        <v>5537</v>
      </c>
      <c r="AB575" t="s">
        <v>45</v>
      </c>
      <c r="AC575" t="s">
        <v>5538</v>
      </c>
    </row>
    <row r="576" spans="1:29">
      <c r="A576" t="s">
        <v>4393</v>
      </c>
      <c r="B576" s="1">
        <v>139959</v>
      </c>
      <c r="C576" t="s">
        <v>838</v>
      </c>
      <c r="D576" t="s">
        <v>5528</v>
      </c>
      <c r="E576" s="1">
        <v>-5765</v>
      </c>
      <c r="F576" t="s">
        <v>582</v>
      </c>
      <c r="G576" t="s">
        <v>970</v>
      </c>
      <c r="H576" t="s">
        <v>5592</v>
      </c>
      <c r="I576">
        <v>4</v>
      </c>
      <c r="J576" t="s">
        <v>5593</v>
      </c>
      <c r="K576">
        <v>69</v>
      </c>
      <c r="L576" t="s">
        <v>5594</v>
      </c>
      <c r="M576" t="s">
        <v>5595</v>
      </c>
      <c r="N576" t="s">
        <v>5596</v>
      </c>
      <c r="O576" t="s">
        <v>5533</v>
      </c>
      <c r="P576" t="s">
        <v>5597</v>
      </c>
      <c r="Q576" t="s">
        <v>5598</v>
      </c>
      <c r="R576" t="s">
        <v>5599</v>
      </c>
      <c r="S576" s="2">
        <v>45394</v>
      </c>
      <c r="T576">
        <v>0</v>
      </c>
      <c r="U576" t="s">
        <v>5600</v>
      </c>
      <c r="V576">
        <v>1</v>
      </c>
      <c r="W576">
        <v>5</v>
      </c>
      <c r="X576">
        <v>153626</v>
      </c>
      <c r="Y576" t="s">
        <v>2426</v>
      </c>
      <c r="Z576" t="s">
        <v>5598</v>
      </c>
      <c r="AA576" t="s">
        <v>5537</v>
      </c>
      <c r="AB576" t="s">
        <v>45</v>
      </c>
      <c r="AC576" t="s">
        <v>5538</v>
      </c>
    </row>
    <row r="577" spans="1:29">
      <c r="A577" t="s">
        <v>62</v>
      </c>
      <c r="B577" s="1">
        <v>115063</v>
      </c>
      <c r="C577" t="s">
        <v>2487</v>
      </c>
      <c r="D577" t="s">
        <v>5528</v>
      </c>
      <c r="E577" s="1">
        <v>-4241</v>
      </c>
      <c r="F577" t="s">
        <v>743</v>
      </c>
      <c r="G577" t="s">
        <v>2063</v>
      </c>
      <c r="H577" t="s">
        <v>5601</v>
      </c>
      <c r="I577">
        <v>4</v>
      </c>
      <c r="J577" t="s">
        <v>5602</v>
      </c>
      <c r="K577">
        <v>68</v>
      </c>
      <c r="L577" t="s">
        <v>5603</v>
      </c>
      <c r="M577" t="s">
        <v>5604</v>
      </c>
      <c r="N577" t="s">
        <v>5605</v>
      </c>
      <c r="O577" t="s">
        <v>5533</v>
      </c>
      <c r="P577" t="s">
        <v>5606</v>
      </c>
      <c r="Q577" t="s">
        <v>5607</v>
      </c>
      <c r="R577" t="s">
        <v>5608</v>
      </c>
      <c r="S577" s="2">
        <v>45310</v>
      </c>
      <c r="T577">
        <v>0</v>
      </c>
      <c r="U577" t="s">
        <v>5609</v>
      </c>
      <c r="V577">
        <v>1</v>
      </c>
      <c r="W577">
        <v>1</v>
      </c>
      <c r="X577">
        <v>123293</v>
      </c>
      <c r="Y577" t="s">
        <v>5610</v>
      </c>
      <c r="Z577" t="s">
        <v>5607</v>
      </c>
      <c r="AA577" t="s">
        <v>5537</v>
      </c>
      <c r="AB577" t="s">
        <v>45</v>
      </c>
      <c r="AC577" t="s">
        <v>5538</v>
      </c>
    </row>
    <row r="578" spans="1:29">
      <c r="A578" t="s">
        <v>5611</v>
      </c>
      <c r="B578" s="1">
        <v>169955</v>
      </c>
      <c r="C578" t="s">
        <v>3780</v>
      </c>
      <c r="D578" t="s">
        <v>5528</v>
      </c>
      <c r="E578" s="1">
        <v>-4748</v>
      </c>
      <c r="F578" t="s">
        <v>2013</v>
      </c>
      <c r="G578" t="s">
        <v>4017</v>
      </c>
      <c r="H578" t="s">
        <v>5612</v>
      </c>
      <c r="I578">
        <v>4</v>
      </c>
      <c r="J578" t="s">
        <v>2392</v>
      </c>
      <c r="K578">
        <v>68</v>
      </c>
      <c r="L578" t="s">
        <v>5613</v>
      </c>
      <c r="M578" t="s">
        <v>5614</v>
      </c>
      <c r="N578" t="s">
        <v>5615</v>
      </c>
      <c r="O578" t="s">
        <v>5533</v>
      </c>
      <c r="P578" t="s">
        <v>5616</v>
      </c>
      <c r="Q578" t="s">
        <v>5617</v>
      </c>
      <c r="R578" t="s">
        <v>5615</v>
      </c>
      <c r="S578" s="2">
        <v>45026</v>
      </c>
      <c r="T578">
        <v>0</v>
      </c>
      <c r="U578" t="s">
        <v>5618</v>
      </c>
      <c r="V578">
        <v>0</v>
      </c>
      <c r="W578">
        <v>7</v>
      </c>
      <c r="X578">
        <v>223320</v>
      </c>
      <c r="Y578" t="s">
        <v>5619</v>
      </c>
      <c r="Z578" t="s">
        <v>5617</v>
      </c>
      <c r="AA578" t="s">
        <v>5537</v>
      </c>
      <c r="AB578" t="s">
        <v>45</v>
      </c>
      <c r="AC578" t="s">
        <v>5538</v>
      </c>
    </row>
    <row r="579" spans="1:29">
      <c r="A579" t="s">
        <v>2144</v>
      </c>
      <c r="B579" t="s">
        <v>5620</v>
      </c>
      <c r="C579" t="s">
        <v>4473</v>
      </c>
      <c r="D579" t="s">
        <v>5528</v>
      </c>
      <c r="E579" s="1">
        <v>-5333</v>
      </c>
      <c r="F579" t="s">
        <v>2702</v>
      </c>
      <c r="G579" t="s">
        <v>225</v>
      </c>
      <c r="H579" t="s">
        <v>5621</v>
      </c>
      <c r="I579">
        <v>4</v>
      </c>
      <c r="J579" t="s">
        <v>5622</v>
      </c>
      <c r="K579">
        <v>68</v>
      </c>
      <c r="L579" t="s">
        <v>5623</v>
      </c>
      <c r="M579" t="s">
        <v>5624</v>
      </c>
      <c r="N579" t="s">
        <v>5625</v>
      </c>
      <c r="O579" t="s">
        <v>5533</v>
      </c>
      <c r="P579" t="s">
        <v>5626</v>
      </c>
      <c r="Q579" t="s">
        <v>5627</v>
      </c>
      <c r="R579" t="s">
        <v>5625</v>
      </c>
      <c r="S579" s="2">
        <v>45298</v>
      </c>
      <c r="T579" t="s">
        <v>2423</v>
      </c>
      <c r="U579" t="s">
        <v>5628</v>
      </c>
      <c r="V579">
        <v>1</v>
      </c>
      <c r="W579">
        <v>2</v>
      </c>
      <c r="X579">
        <v>226558</v>
      </c>
      <c r="Y579" t="s">
        <v>5629</v>
      </c>
      <c r="Z579" t="s">
        <v>5627</v>
      </c>
      <c r="AA579" t="s">
        <v>5537</v>
      </c>
      <c r="AB579" t="s">
        <v>45</v>
      </c>
      <c r="AC579" t="s">
        <v>5538</v>
      </c>
    </row>
    <row r="580" spans="1:29">
      <c r="A580" t="s">
        <v>448</v>
      </c>
      <c r="B580" s="1">
        <v>105173</v>
      </c>
      <c r="C580" t="s">
        <v>1641</v>
      </c>
      <c r="D580" t="s">
        <v>5630</v>
      </c>
      <c r="E580" t="s">
        <v>5631</v>
      </c>
      <c r="F580" t="s">
        <v>1599</v>
      </c>
      <c r="G580" t="s">
        <v>581</v>
      </c>
      <c r="H580" t="s">
        <v>1074</v>
      </c>
      <c r="I580">
        <v>4</v>
      </c>
      <c r="J580" t="s">
        <v>1064</v>
      </c>
      <c r="K580">
        <v>75</v>
      </c>
      <c r="L580" t="s">
        <v>5632</v>
      </c>
      <c r="M580" t="s">
        <v>5633</v>
      </c>
      <c r="N580" t="s">
        <v>5634</v>
      </c>
      <c r="O580" t="s">
        <v>5635</v>
      </c>
      <c r="P580" t="s">
        <v>5636</v>
      </c>
      <c r="Q580" t="s">
        <v>5637</v>
      </c>
      <c r="R580" t="s">
        <v>5638</v>
      </c>
      <c r="S580" s="2">
        <v>31474</v>
      </c>
      <c r="T580" t="s">
        <v>2559</v>
      </c>
      <c r="U580" t="s">
        <v>5639</v>
      </c>
      <c r="V580">
        <v>0</v>
      </c>
      <c r="W580">
        <v>4</v>
      </c>
      <c r="X580">
        <v>515387</v>
      </c>
      <c r="Y580" t="s">
        <v>5640</v>
      </c>
      <c r="Z580" t="s">
        <v>5637</v>
      </c>
      <c r="AA580" t="s">
        <v>682</v>
      </c>
      <c r="AB580" t="s">
        <v>45</v>
      </c>
      <c r="AC580" t="s">
        <v>5641</v>
      </c>
    </row>
    <row r="581" spans="1:29">
      <c r="A581" t="s">
        <v>5642</v>
      </c>
      <c r="B581" s="1">
        <v>159756</v>
      </c>
      <c r="C581" t="s">
        <v>318</v>
      </c>
      <c r="D581" t="s">
        <v>5630</v>
      </c>
      <c r="E581" s="1">
        <v>-4601</v>
      </c>
      <c r="F581" t="s">
        <v>3922</v>
      </c>
      <c r="G581" t="s">
        <v>119</v>
      </c>
      <c r="H581" t="s">
        <v>5643</v>
      </c>
      <c r="I581">
        <v>4</v>
      </c>
      <c r="J581" t="s">
        <v>5644</v>
      </c>
      <c r="K581">
        <v>71</v>
      </c>
      <c r="L581" t="s">
        <v>5645</v>
      </c>
      <c r="M581" t="s">
        <v>5646</v>
      </c>
      <c r="N581" t="s">
        <v>5647</v>
      </c>
      <c r="O581" t="s">
        <v>5635</v>
      </c>
      <c r="P581" t="s">
        <v>5648</v>
      </c>
      <c r="Q581" t="s">
        <v>5649</v>
      </c>
      <c r="R581" t="s">
        <v>5650</v>
      </c>
      <c r="S581">
        <v>1983</v>
      </c>
      <c r="T581" t="s">
        <v>5651</v>
      </c>
      <c r="U581" t="s">
        <v>5652</v>
      </c>
      <c r="V581">
        <v>0</v>
      </c>
      <c r="W581">
        <v>4</v>
      </c>
      <c r="X581">
        <v>252733</v>
      </c>
      <c r="Y581" t="s">
        <v>1512</v>
      </c>
      <c r="Z581" t="s">
        <v>5649</v>
      </c>
      <c r="AA581" t="s">
        <v>682</v>
      </c>
      <c r="AB581" t="s">
        <v>45</v>
      </c>
      <c r="AC581" t="s">
        <v>5641</v>
      </c>
    </row>
    <row r="582" spans="1:29">
      <c r="A582" t="s">
        <v>3930</v>
      </c>
      <c r="B582" s="1">
        <v>118242</v>
      </c>
      <c r="C582" t="s">
        <v>713</v>
      </c>
      <c r="D582" t="s">
        <v>5630</v>
      </c>
      <c r="E582" s="1">
        <v>-8008</v>
      </c>
      <c r="F582" t="s">
        <v>3033</v>
      </c>
      <c r="G582" t="s">
        <v>450</v>
      </c>
      <c r="H582" t="s">
        <v>5653</v>
      </c>
      <c r="I582">
        <v>4</v>
      </c>
      <c r="J582" t="s">
        <v>214</v>
      </c>
      <c r="K582">
        <v>73</v>
      </c>
      <c r="L582" t="s">
        <v>5654</v>
      </c>
      <c r="M582" t="s">
        <v>5655</v>
      </c>
      <c r="N582" t="s">
        <v>5656</v>
      </c>
      <c r="O582" t="s">
        <v>5635</v>
      </c>
      <c r="P582" t="s">
        <v>5657</v>
      </c>
      <c r="Q582" t="s">
        <v>5658</v>
      </c>
      <c r="R582" t="s">
        <v>5659</v>
      </c>
      <c r="S582" s="2">
        <v>33655</v>
      </c>
      <c r="T582" t="s">
        <v>5660</v>
      </c>
      <c r="U582" t="s">
        <v>5661</v>
      </c>
      <c r="V582">
        <v>0</v>
      </c>
      <c r="W582">
        <v>1</v>
      </c>
      <c r="X582">
        <v>315120</v>
      </c>
      <c r="Y582" t="s">
        <v>5662</v>
      </c>
      <c r="Z582" t="s">
        <v>5658</v>
      </c>
      <c r="AA582" t="s">
        <v>682</v>
      </c>
      <c r="AB582" t="s">
        <v>45</v>
      </c>
      <c r="AC582" t="s">
        <v>5641</v>
      </c>
    </row>
    <row r="583" spans="1:29">
      <c r="A583" t="s">
        <v>394</v>
      </c>
      <c r="B583" s="1">
        <v>127066</v>
      </c>
      <c r="C583" t="s">
        <v>2196</v>
      </c>
      <c r="D583" t="s">
        <v>5630</v>
      </c>
      <c r="E583" s="1">
        <v>-3908</v>
      </c>
      <c r="F583" t="s">
        <v>3808</v>
      </c>
      <c r="G583" t="s">
        <v>3643</v>
      </c>
      <c r="H583" t="s">
        <v>5663</v>
      </c>
      <c r="I583">
        <v>4</v>
      </c>
      <c r="J583" t="s">
        <v>1483</v>
      </c>
      <c r="K583">
        <v>83</v>
      </c>
      <c r="L583" t="s">
        <v>5664</v>
      </c>
      <c r="M583" t="s">
        <v>5665</v>
      </c>
      <c r="N583" t="s">
        <v>5666</v>
      </c>
      <c r="O583" t="s">
        <v>5635</v>
      </c>
      <c r="P583" t="s">
        <v>5667</v>
      </c>
      <c r="Q583" t="s">
        <v>5668</v>
      </c>
      <c r="R583" t="s">
        <v>5669</v>
      </c>
      <c r="S583" s="2">
        <v>37138</v>
      </c>
      <c r="T583" t="s">
        <v>5670</v>
      </c>
      <c r="U583" t="s">
        <v>5671</v>
      </c>
      <c r="V583">
        <v>0</v>
      </c>
      <c r="W583">
        <v>7</v>
      </c>
      <c r="X583">
        <v>210240</v>
      </c>
      <c r="Y583" t="s">
        <v>5672</v>
      </c>
      <c r="Z583" t="s">
        <v>5668</v>
      </c>
      <c r="AA583" t="s">
        <v>682</v>
      </c>
      <c r="AB583" t="s">
        <v>45</v>
      </c>
      <c r="AC583" t="s">
        <v>5641</v>
      </c>
    </row>
    <row r="584" spans="1:29">
      <c r="A584" t="s">
        <v>5673</v>
      </c>
      <c r="B584" s="1">
        <v>92049</v>
      </c>
      <c r="C584" t="s">
        <v>1654</v>
      </c>
      <c r="D584" t="s">
        <v>5630</v>
      </c>
      <c r="E584" s="1">
        <v>-8165</v>
      </c>
      <c r="F584" t="s">
        <v>64</v>
      </c>
      <c r="G584" t="s">
        <v>2947</v>
      </c>
      <c r="H584" t="s">
        <v>5674</v>
      </c>
      <c r="I584">
        <v>4</v>
      </c>
      <c r="J584" t="s">
        <v>1800</v>
      </c>
      <c r="K584">
        <v>68</v>
      </c>
      <c r="L584" t="s">
        <v>5675</v>
      </c>
      <c r="M584" t="s">
        <v>5676</v>
      </c>
      <c r="N584" t="s">
        <v>5674</v>
      </c>
      <c r="O584" t="s">
        <v>5635</v>
      </c>
      <c r="P584" t="s">
        <v>5677</v>
      </c>
      <c r="Q584" t="s">
        <v>5678</v>
      </c>
      <c r="R584" t="s">
        <v>5679</v>
      </c>
      <c r="S584" s="2">
        <v>34618</v>
      </c>
      <c r="T584" t="s">
        <v>5680</v>
      </c>
      <c r="U584" t="s">
        <v>5681</v>
      </c>
      <c r="V584">
        <v>1</v>
      </c>
      <c r="W584">
        <v>2</v>
      </c>
      <c r="X584">
        <v>258267</v>
      </c>
      <c r="Y584" t="s">
        <v>5682</v>
      </c>
      <c r="Z584" t="s">
        <v>5678</v>
      </c>
      <c r="AA584" t="s">
        <v>682</v>
      </c>
      <c r="AB584" t="s">
        <v>45</v>
      </c>
      <c r="AC584" t="s">
        <v>5641</v>
      </c>
    </row>
    <row r="585" spans="1:29">
      <c r="A585" t="s">
        <v>3888</v>
      </c>
      <c r="B585" s="1">
        <v>102178</v>
      </c>
      <c r="C585" t="s">
        <v>1444</v>
      </c>
      <c r="D585" t="s">
        <v>5630</v>
      </c>
      <c r="E585" s="1">
        <v>-9447</v>
      </c>
      <c r="F585" t="s">
        <v>2101</v>
      </c>
      <c r="G585" t="s">
        <v>799</v>
      </c>
      <c r="H585" t="s">
        <v>1074</v>
      </c>
      <c r="I585">
        <v>3</v>
      </c>
      <c r="J585" t="s">
        <v>5683</v>
      </c>
      <c r="K585">
        <v>72</v>
      </c>
      <c r="L585" t="s">
        <v>5684</v>
      </c>
      <c r="M585" t="s">
        <v>5685</v>
      </c>
      <c r="N585" t="s">
        <v>5686</v>
      </c>
      <c r="O585" t="s">
        <v>5635</v>
      </c>
      <c r="P585" t="s">
        <v>5687</v>
      </c>
      <c r="Q585" t="s">
        <v>5688</v>
      </c>
      <c r="R585" t="s">
        <v>5689</v>
      </c>
      <c r="S585" s="2">
        <v>32380</v>
      </c>
      <c r="T585" t="s">
        <v>3205</v>
      </c>
      <c r="U585" t="s">
        <v>5690</v>
      </c>
      <c r="V585">
        <v>1</v>
      </c>
      <c r="W585">
        <v>7</v>
      </c>
      <c r="X585">
        <v>447440</v>
      </c>
      <c r="Y585" t="s">
        <v>5691</v>
      </c>
      <c r="Z585" t="s">
        <v>5688</v>
      </c>
      <c r="AA585" t="s">
        <v>682</v>
      </c>
      <c r="AB585" t="s">
        <v>45</v>
      </c>
      <c r="AC585" t="s">
        <v>5641</v>
      </c>
    </row>
    <row r="586" spans="1:29">
      <c r="A586" t="s">
        <v>1338</v>
      </c>
      <c r="B586" s="1">
        <v>148366</v>
      </c>
      <c r="C586" t="s">
        <v>5692</v>
      </c>
      <c r="D586" t="s">
        <v>5630</v>
      </c>
      <c r="E586" t="s">
        <v>5693</v>
      </c>
      <c r="F586" t="s">
        <v>2090</v>
      </c>
      <c r="G586" t="s">
        <v>1359</v>
      </c>
      <c r="H586" t="s">
        <v>5694</v>
      </c>
      <c r="I586">
        <v>4</v>
      </c>
      <c r="J586" t="s">
        <v>1884</v>
      </c>
      <c r="K586">
        <v>69</v>
      </c>
      <c r="L586" t="s">
        <v>5695</v>
      </c>
      <c r="M586" t="s">
        <v>5696</v>
      </c>
      <c r="N586" t="s">
        <v>5694</v>
      </c>
      <c r="O586" t="s">
        <v>5635</v>
      </c>
      <c r="P586" t="s">
        <v>5697</v>
      </c>
      <c r="Q586" t="s">
        <v>5698</v>
      </c>
      <c r="R586" t="s">
        <v>5699</v>
      </c>
      <c r="S586" s="2">
        <v>32143</v>
      </c>
      <c r="T586" t="s">
        <v>5700</v>
      </c>
      <c r="U586" t="s">
        <v>5701</v>
      </c>
      <c r="V586">
        <v>0</v>
      </c>
      <c r="W586">
        <v>11</v>
      </c>
      <c r="X586">
        <v>204867</v>
      </c>
      <c r="Y586" t="s">
        <v>5702</v>
      </c>
      <c r="Z586" t="s">
        <v>5698</v>
      </c>
      <c r="AA586" t="s">
        <v>682</v>
      </c>
      <c r="AB586" t="s">
        <v>45</v>
      </c>
      <c r="AC586" t="s">
        <v>5641</v>
      </c>
    </row>
    <row r="587" spans="1:29">
      <c r="A587" t="s">
        <v>5642</v>
      </c>
      <c r="B587" s="1">
        <v>114816</v>
      </c>
      <c r="C587" t="s">
        <v>2390</v>
      </c>
      <c r="D587" t="s">
        <v>5630</v>
      </c>
      <c r="E587" s="1">
        <v>-9701</v>
      </c>
      <c r="F587" t="s">
        <v>2109</v>
      </c>
      <c r="G587" t="s">
        <v>1444</v>
      </c>
      <c r="H587" t="s">
        <v>5653</v>
      </c>
      <c r="I587">
        <v>4</v>
      </c>
      <c r="J587" t="s">
        <v>5703</v>
      </c>
      <c r="K587">
        <v>71</v>
      </c>
      <c r="L587" t="s">
        <v>5704</v>
      </c>
      <c r="M587" t="s">
        <v>5705</v>
      </c>
      <c r="N587" t="s">
        <v>5706</v>
      </c>
      <c r="O587" t="s">
        <v>5635</v>
      </c>
      <c r="P587" t="s">
        <v>5707</v>
      </c>
      <c r="Q587" t="s">
        <v>5708</v>
      </c>
      <c r="R587" t="s">
        <v>5706</v>
      </c>
      <c r="S587" s="2">
        <v>33074</v>
      </c>
      <c r="T587" t="s">
        <v>5109</v>
      </c>
      <c r="U587" t="s">
        <v>5709</v>
      </c>
      <c r="V587">
        <v>1</v>
      </c>
      <c r="W587">
        <v>2</v>
      </c>
      <c r="X587">
        <v>243533</v>
      </c>
      <c r="Y587" t="s">
        <v>5710</v>
      </c>
      <c r="Z587" t="s">
        <v>5708</v>
      </c>
      <c r="AA587" t="s">
        <v>682</v>
      </c>
      <c r="AB587" t="s">
        <v>45</v>
      </c>
      <c r="AC587" t="s">
        <v>5641</v>
      </c>
    </row>
    <row r="588" spans="1:29">
      <c r="A588" t="s">
        <v>5711</v>
      </c>
      <c r="B588" s="1">
        <v>143772</v>
      </c>
      <c r="C588" t="s">
        <v>2198</v>
      </c>
      <c r="D588" t="s">
        <v>5630</v>
      </c>
      <c r="E588" s="1">
        <v>-3026</v>
      </c>
      <c r="F588" t="s">
        <v>351</v>
      </c>
      <c r="G588" t="s">
        <v>2164</v>
      </c>
      <c r="H588" t="s">
        <v>5712</v>
      </c>
      <c r="I588">
        <v>4</v>
      </c>
      <c r="J588" t="s">
        <v>2673</v>
      </c>
      <c r="K588">
        <v>80</v>
      </c>
      <c r="L588" t="s">
        <v>5713</v>
      </c>
      <c r="M588" t="s">
        <v>5714</v>
      </c>
      <c r="N588" t="s">
        <v>5715</v>
      </c>
      <c r="O588" t="s">
        <v>5635</v>
      </c>
      <c r="P588" t="s">
        <v>5716</v>
      </c>
      <c r="Q588" t="s">
        <v>5717</v>
      </c>
      <c r="R588" t="s">
        <v>5718</v>
      </c>
      <c r="S588">
        <v>2004</v>
      </c>
      <c r="T588" t="s">
        <v>5719</v>
      </c>
      <c r="U588" t="s">
        <v>5720</v>
      </c>
      <c r="V588">
        <v>0</v>
      </c>
      <c r="W588">
        <v>4</v>
      </c>
      <c r="X588">
        <v>252613</v>
      </c>
      <c r="Y588" t="s">
        <v>5721</v>
      </c>
      <c r="Z588" t="s">
        <v>5717</v>
      </c>
      <c r="AA588" t="s">
        <v>682</v>
      </c>
      <c r="AB588" t="s">
        <v>45</v>
      </c>
      <c r="AC588" t="s">
        <v>5641</v>
      </c>
    </row>
    <row r="589" spans="1:29">
      <c r="A589" t="s">
        <v>784</v>
      </c>
      <c r="B589" s="1">
        <v>123257</v>
      </c>
      <c r="C589" t="s">
        <v>1287</v>
      </c>
      <c r="D589" t="s">
        <v>5630</v>
      </c>
      <c r="E589" s="1">
        <v>-8691</v>
      </c>
      <c r="F589" t="s">
        <v>4337</v>
      </c>
      <c r="G589" t="s">
        <v>215</v>
      </c>
      <c r="H589" t="s">
        <v>1074</v>
      </c>
      <c r="I589">
        <v>4</v>
      </c>
      <c r="J589" t="s">
        <v>5132</v>
      </c>
      <c r="K589">
        <v>79</v>
      </c>
      <c r="L589" t="s">
        <v>5722</v>
      </c>
      <c r="M589" t="s">
        <v>5723</v>
      </c>
      <c r="N589" t="s">
        <v>1074</v>
      </c>
      <c r="O589" t="s">
        <v>5635</v>
      </c>
      <c r="P589" t="s">
        <v>5724</v>
      </c>
      <c r="Q589" t="s">
        <v>5725</v>
      </c>
      <c r="R589" t="s">
        <v>5726</v>
      </c>
      <c r="S589" s="2">
        <v>33462</v>
      </c>
      <c r="T589" t="s">
        <v>1734</v>
      </c>
      <c r="U589" t="s">
        <v>5727</v>
      </c>
      <c r="V589">
        <v>0</v>
      </c>
      <c r="W589">
        <v>6</v>
      </c>
      <c r="X589">
        <v>331267</v>
      </c>
      <c r="Y589" t="s">
        <v>5728</v>
      </c>
      <c r="Z589" t="s">
        <v>5725</v>
      </c>
      <c r="AA589" t="s">
        <v>682</v>
      </c>
      <c r="AB589" t="s">
        <v>45</v>
      </c>
      <c r="AC589" t="s">
        <v>5641</v>
      </c>
    </row>
    <row r="590" spans="1:29">
      <c r="A590" t="s">
        <v>1823</v>
      </c>
      <c r="B590" s="1">
        <v>118004</v>
      </c>
      <c r="C590" t="s">
        <v>1679</v>
      </c>
      <c r="D590" t="s">
        <v>5630</v>
      </c>
      <c r="E590" s="1">
        <v>-4358</v>
      </c>
      <c r="F590" t="s">
        <v>135</v>
      </c>
      <c r="G590" t="s">
        <v>1536</v>
      </c>
      <c r="H590" t="s">
        <v>5729</v>
      </c>
      <c r="I590">
        <v>4</v>
      </c>
      <c r="J590" t="s">
        <v>3230</v>
      </c>
      <c r="K590">
        <v>75</v>
      </c>
      <c r="L590" t="s">
        <v>5730</v>
      </c>
      <c r="M590" t="s">
        <v>5731</v>
      </c>
      <c r="N590" t="s">
        <v>5732</v>
      </c>
      <c r="O590" t="s">
        <v>5635</v>
      </c>
      <c r="P590" t="s">
        <v>5733</v>
      </c>
      <c r="Q590" t="s">
        <v>5734</v>
      </c>
      <c r="R590" t="s">
        <v>5732</v>
      </c>
      <c r="S590" s="2">
        <v>41509</v>
      </c>
      <c r="T590" t="s">
        <v>5735</v>
      </c>
      <c r="U590" t="s">
        <v>5736</v>
      </c>
      <c r="V590">
        <v>0</v>
      </c>
      <c r="W590">
        <v>3</v>
      </c>
      <c r="X590">
        <v>305907</v>
      </c>
      <c r="Y590" t="s">
        <v>5737</v>
      </c>
      <c r="Z590" t="s">
        <v>5734</v>
      </c>
      <c r="AA590" t="s">
        <v>682</v>
      </c>
      <c r="AB590" t="s">
        <v>45</v>
      </c>
      <c r="AC590" t="s">
        <v>5641</v>
      </c>
    </row>
    <row r="591" spans="1:29">
      <c r="A591" t="s">
        <v>594</v>
      </c>
      <c r="B591" s="1">
        <v>103299</v>
      </c>
      <c r="C591" t="s">
        <v>5738</v>
      </c>
      <c r="D591" t="s">
        <v>5630</v>
      </c>
      <c r="E591" s="1">
        <v>-5877</v>
      </c>
      <c r="F591" t="s">
        <v>903</v>
      </c>
      <c r="G591" t="s">
        <v>2041</v>
      </c>
      <c r="H591" t="s">
        <v>5674</v>
      </c>
      <c r="I591">
        <v>4</v>
      </c>
      <c r="J591" t="s">
        <v>5739</v>
      </c>
      <c r="K591">
        <v>77</v>
      </c>
      <c r="L591" t="s">
        <v>5740</v>
      </c>
      <c r="M591" t="s">
        <v>5741</v>
      </c>
      <c r="N591" t="s">
        <v>5742</v>
      </c>
      <c r="O591" t="s">
        <v>5635</v>
      </c>
      <c r="P591" t="s">
        <v>5743</v>
      </c>
      <c r="Q591" t="s">
        <v>5744</v>
      </c>
      <c r="R591" t="s">
        <v>5745</v>
      </c>
      <c r="S591" s="2">
        <v>36025</v>
      </c>
      <c r="T591" t="s">
        <v>2580</v>
      </c>
      <c r="U591" t="s">
        <v>5746</v>
      </c>
      <c r="V591">
        <v>1</v>
      </c>
      <c r="W591">
        <v>2</v>
      </c>
      <c r="X591">
        <v>255733</v>
      </c>
      <c r="Y591" t="s">
        <v>5747</v>
      </c>
      <c r="Z591" t="s">
        <v>5744</v>
      </c>
      <c r="AA591" t="s">
        <v>682</v>
      </c>
      <c r="AB591" t="s">
        <v>45</v>
      </c>
      <c r="AC591" t="s">
        <v>5641</v>
      </c>
    </row>
    <row r="592" spans="1:29">
      <c r="A592" t="s">
        <v>2621</v>
      </c>
      <c r="B592" s="1">
        <v>125033</v>
      </c>
      <c r="C592" t="s">
        <v>2641</v>
      </c>
      <c r="D592" t="s">
        <v>5630</v>
      </c>
      <c r="E592" s="1">
        <v>-6489</v>
      </c>
      <c r="F592" t="s">
        <v>5748</v>
      </c>
      <c r="G592" t="s">
        <v>188</v>
      </c>
      <c r="H592" t="s">
        <v>5749</v>
      </c>
      <c r="I592">
        <v>4</v>
      </c>
      <c r="J592" t="s">
        <v>1167</v>
      </c>
      <c r="K592">
        <v>77</v>
      </c>
      <c r="L592" t="s">
        <v>5750</v>
      </c>
      <c r="M592" t="s">
        <v>5751</v>
      </c>
      <c r="N592" t="s">
        <v>5752</v>
      </c>
      <c r="O592" t="s">
        <v>5635</v>
      </c>
      <c r="P592" t="s">
        <v>5753</v>
      </c>
      <c r="Q592" t="s">
        <v>5754</v>
      </c>
      <c r="R592" t="s">
        <v>5755</v>
      </c>
      <c r="S592" s="2">
        <v>35796</v>
      </c>
      <c r="T592" t="s">
        <v>888</v>
      </c>
      <c r="U592" t="s">
        <v>5756</v>
      </c>
      <c r="V592">
        <v>0</v>
      </c>
      <c r="W592">
        <v>0</v>
      </c>
      <c r="X592">
        <v>222827</v>
      </c>
      <c r="Y592" t="s">
        <v>5757</v>
      </c>
      <c r="Z592" t="s">
        <v>5754</v>
      </c>
      <c r="AA592" t="s">
        <v>682</v>
      </c>
      <c r="AB592" t="s">
        <v>45</v>
      </c>
      <c r="AC592" t="s">
        <v>5641</v>
      </c>
    </row>
    <row r="593" spans="1:29">
      <c r="A593" t="s">
        <v>3174</v>
      </c>
      <c r="B593" s="1">
        <v>129984</v>
      </c>
      <c r="C593" t="s">
        <v>63</v>
      </c>
      <c r="D593" t="s">
        <v>5630</v>
      </c>
      <c r="E593" s="1">
        <v>-4928</v>
      </c>
      <c r="F593" t="s">
        <v>61</v>
      </c>
      <c r="G593" t="s">
        <v>3896</v>
      </c>
      <c r="H593" t="s">
        <v>5729</v>
      </c>
      <c r="I593">
        <v>4</v>
      </c>
      <c r="J593" t="s">
        <v>423</v>
      </c>
      <c r="K593">
        <v>70</v>
      </c>
      <c r="L593" t="s">
        <v>5758</v>
      </c>
      <c r="M593" t="s">
        <v>5759</v>
      </c>
      <c r="N593" t="s">
        <v>5760</v>
      </c>
      <c r="O593" t="s">
        <v>5635</v>
      </c>
      <c r="P593" t="s">
        <v>5761</v>
      </c>
      <c r="Q593" t="s">
        <v>5762</v>
      </c>
      <c r="R593" t="s">
        <v>5760</v>
      </c>
      <c r="S593" s="2">
        <v>40382</v>
      </c>
      <c r="T593" t="s">
        <v>5763</v>
      </c>
      <c r="U593" t="s">
        <v>5764</v>
      </c>
      <c r="V593">
        <v>1</v>
      </c>
      <c r="W593">
        <v>2</v>
      </c>
      <c r="X593">
        <v>374453</v>
      </c>
      <c r="Y593" t="s">
        <v>5765</v>
      </c>
      <c r="Z593" t="s">
        <v>5762</v>
      </c>
      <c r="AA593" t="s">
        <v>682</v>
      </c>
      <c r="AB593" t="s">
        <v>45</v>
      </c>
      <c r="AC593" t="s">
        <v>5641</v>
      </c>
    </row>
    <row r="594" spans="1:29">
      <c r="A594" t="s">
        <v>866</v>
      </c>
      <c r="B594" s="1">
        <v>71841</v>
      </c>
      <c r="C594" t="s">
        <v>5766</v>
      </c>
      <c r="D594" t="s">
        <v>5630</v>
      </c>
      <c r="E594" s="1">
        <v>-4277</v>
      </c>
      <c r="F594" t="s">
        <v>942</v>
      </c>
      <c r="G594" t="s">
        <v>65</v>
      </c>
      <c r="H594" t="s">
        <v>5767</v>
      </c>
      <c r="I594">
        <v>4</v>
      </c>
      <c r="J594" t="s">
        <v>4670</v>
      </c>
      <c r="K594">
        <v>77</v>
      </c>
      <c r="L594" t="s">
        <v>5768</v>
      </c>
      <c r="M594" t="s">
        <v>5769</v>
      </c>
      <c r="N594" t="s">
        <v>5770</v>
      </c>
      <c r="O594" t="s">
        <v>5635</v>
      </c>
      <c r="P594" t="s">
        <v>5771</v>
      </c>
      <c r="Q594" t="s">
        <v>5772</v>
      </c>
      <c r="R594" t="s">
        <v>5773</v>
      </c>
      <c r="S594" s="2">
        <v>35730</v>
      </c>
      <c r="T594" t="s">
        <v>1538</v>
      </c>
      <c r="U594" t="s">
        <v>5774</v>
      </c>
      <c r="V594">
        <v>1</v>
      </c>
      <c r="W594">
        <v>1</v>
      </c>
      <c r="X594">
        <v>214760</v>
      </c>
      <c r="Y594" t="s">
        <v>1298</v>
      </c>
      <c r="Z594" t="s">
        <v>5772</v>
      </c>
      <c r="AA594" t="s">
        <v>682</v>
      </c>
      <c r="AB594" t="s">
        <v>45</v>
      </c>
      <c r="AC594" t="s">
        <v>5641</v>
      </c>
    </row>
    <row r="595" spans="1:29">
      <c r="A595" t="s">
        <v>4326</v>
      </c>
      <c r="B595" s="1">
        <v>107441</v>
      </c>
      <c r="C595" t="s">
        <v>2598</v>
      </c>
      <c r="D595" t="s">
        <v>5630</v>
      </c>
      <c r="E595" s="1">
        <v>-8512</v>
      </c>
      <c r="F595" t="s">
        <v>1908</v>
      </c>
      <c r="G595" t="s">
        <v>201</v>
      </c>
      <c r="H595" t="s">
        <v>5775</v>
      </c>
      <c r="I595">
        <v>3</v>
      </c>
      <c r="J595" t="s">
        <v>1609</v>
      </c>
      <c r="K595">
        <v>68</v>
      </c>
      <c r="L595" t="s">
        <v>5776</v>
      </c>
      <c r="M595" t="s">
        <v>5777</v>
      </c>
      <c r="N595" t="s">
        <v>5778</v>
      </c>
      <c r="O595" t="s">
        <v>5635</v>
      </c>
      <c r="P595" t="s">
        <v>5779</v>
      </c>
      <c r="Q595" t="s">
        <v>5780</v>
      </c>
      <c r="R595" t="s">
        <v>5781</v>
      </c>
      <c r="S595" s="2">
        <v>37026</v>
      </c>
      <c r="T595" t="s">
        <v>2196</v>
      </c>
      <c r="U595" t="s">
        <v>5782</v>
      </c>
      <c r="V595">
        <v>0</v>
      </c>
      <c r="W595">
        <v>9</v>
      </c>
      <c r="X595">
        <v>403533</v>
      </c>
      <c r="Y595" t="s">
        <v>3377</v>
      </c>
      <c r="Z595" t="s">
        <v>5780</v>
      </c>
      <c r="AA595" t="s">
        <v>682</v>
      </c>
      <c r="AB595" t="s">
        <v>45</v>
      </c>
      <c r="AC595" t="s">
        <v>5641</v>
      </c>
    </row>
    <row r="596" spans="1:29">
      <c r="A596" t="s">
        <v>5783</v>
      </c>
      <c r="B596" s="1">
        <v>94895</v>
      </c>
      <c r="C596" t="s">
        <v>119</v>
      </c>
      <c r="D596" t="s">
        <v>1851</v>
      </c>
      <c r="E596" t="s">
        <v>5784</v>
      </c>
      <c r="F596" t="s">
        <v>1252</v>
      </c>
      <c r="G596" t="s">
        <v>1893</v>
      </c>
      <c r="H596" t="s">
        <v>5785</v>
      </c>
      <c r="I596">
        <v>4</v>
      </c>
      <c r="J596" t="s">
        <v>2283</v>
      </c>
      <c r="K596">
        <v>76</v>
      </c>
      <c r="L596" t="s">
        <v>5786</v>
      </c>
      <c r="M596" t="s">
        <v>5787</v>
      </c>
      <c r="N596" t="s">
        <v>5788</v>
      </c>
      <c r="O596" t="s">
        <v>5789</v>
      </c>
      <c r="P596" t="s">
        <v>5790</v>
      </c>
      <c r="Q596" t="s">
        <v>5791</v>
      </c>
      <c r="R596" t="s">
        <v>5792</v>
      </c>
      <c r="S596" s="2">
        <v>33953</v>
      </c>
      <c r="T596">
        <v>0</v>
      </c>
      <c r="U596" t="s">
        <v>5793</v>
      </c>
      <c r="V596">
        <v>0</v>
      </c>
      <c r="W596">
        <v>11</v>
      </c>
      <c r="X596">
        <v>237573</v>
      </c>
      <c r="Y596" t="s">
        <v>5794</v>
      </c>
      <c r="Z596" t="s">
        <v>5791</v>
      </c>
      <c r="AA596" t="s">
        <v>1853</v>
      </c>
      <c r="AB596" t="s">
        <v>45</v>
      </c>
      <c r="AC596" t="s">
        <v>5795</v>
      </c>
    </row>
    <row r="597" spans="1:29">
      <c r="A597" t="s">
        <v>1121</v>
      </c>
      <c r="B597" s="1">
        <v>103314</v>
      </c>
      <c r="C597" t="s">
        <v>1823</v>
      </c>
      <c r="D597" t="s">
        <v>5796</v>
      </c>
      <c r="E597" s="1">
        <v>-8548</v>
      </c>
      <c r="F597" t="s">
        <v>5797</v>
      </c>
      <c r="G597" t="s">
        <v>1989</v>
      </c>
      <c r="H597" t="s">
        <v>5798</v>
      </c>
      <c r="I597">
        <v>4</v>
      </c>
      <c r="J597" t="s">
        <v>984</v>
      </c>
      <c r="K597">
        <v>79</v>
      </c>
      <c r="L597" t="s">
        <v>5799</v>
      </c>
      <c r="M597" t="s">
        <v>5800</v>
      </c>
      <c r="N597" t="s">
        <v>1222</v>
      </c>
      <c r="O597" t="s">
        <v>5801</v>
      </c>
      <c r="P597" t="s">
        <v>5802</v>
      </c>
      <c r="Q597" t="s">
        <v>5803</v>
      </c>
      <c r="R597" t="s">
        <v>5804</v>
      </c>
      <c r="S597" s="2">
        <v>29382</v>
      </c>
      <c r="T597" t="s">
        <v>741</v>
      </c>
      <c r="U597" t="s">
        <v>5805</v>
      </c>
      <c r="V597">
        <v>1</v>
      </c>
      <c r="W597">
        <v>0</v>
      </c>
      <c r="X597">
        <v>237000</v>
      </c>
      <c r="Y597" t="s">
        <v>5806</v>
      </c>
      <c r="Z597" t="s">
        <v>5803</v>
      </c>
      <c r="AA597" t="s">
        <v>682</v>
      </c>
      <c r="AB597" t="s">
        <v>45</v>
      </c>
      <c r="AC597" t="s">
        <v>5807</v>
      </c>
    </row>
    <row r="598" spans="1:29">
      <c r="A598" t="s">
        <v>1131</v>
      </c>
      <c r="B598" t="s">
        <v>5808</v>
      </c>
      <c r="C598" t="s">
        <v>448</v>
      </c>
      <c r="D598" t="s">
        <v>5796</v>
      </c>
      <c r="E598" s="1">
        <v>-6502</v>
      </c>
      <c r="F598" t="s">
        <v>929</v>
      </c>
      <c r="G598" t="s">
        <v>2794</v>
      </c>
      <c r="H598" t="s">
        <v>5809</v>
      </c>
      <c r="I598">
        <v>4</v>
      </c>
      <c r="J598" t="s">
        <v>280</v>
      </c>
      <c r="K598">
        <v>68</v>
      </c>
      <c r="L598" t="s">
        <v>5810</v>
      </c>
      <c r="M598" t="s">
        <v>5811</v>
      </c>
      <c r="N598" t="s">
        <v>5812</v>
      </c>
      <c r="O598" t="s">
        <v>5801</v>
      </c>
      <c r="P598" t="s">
        <v>5813</v>
      </c>
      <c r="Q598" t="s">
        <v>5814</v>
      </c>
      <c r="R598" t="s">
        <v>5815</v>
      </c>
      <c r="S598" s="2">
        <v>38353</v>
      </c>
      <c r="T598">
        <v>0</v>
      </c>
      <c r="U598" t="s">
        <v>5816</v>
      </c>
      <c r="V598">
        <v>0</v>
      </c>
      <c r="W598">
        <v>7</v>
      </c>
      <c r="X598">
        <v>213200</v>
      </c>
      <c r="Y598" t="s">
        <v>5817</v>
      </c>
      <c r="Z598" t="s">
        <v>5814</v>
      </c>
      <c r="AA598" t="s">
        <v>682</v>
      </c>
      <c r="AB598" t="s">
        <v>45</v>
      </c>
      <c r="AC598" t="s">
        <v>5807</v>
      </c>
    </row>
    <row r="599" spans="1:29">
      <c r="A599" t="s">
        <v>2262</v>
      </c>
      <c r="B599" s="1">
        <v>95107</v>
      </c>
      <c r="C599" t="s">
        <v>1384</v>
      </c>
      <c r="D599" t="s">
        <v>5796</v>
      </c>
      <c r="E599" s="1">
        <v>-9153</v>
      </c>
      <c r="F599" t="s">
        <v>3052</v>
      </c>
      <c r="G599" t="s">
        <v>1236</v>
      </c>
      <c r="H599" t="s">
        <v>5818</v>
      </c>
      <c r="I599">
        <v>4</v>
      </c>
      <c r="J599" t="s">
        <v>785</v>
      </c>
      <c r="K599">
        <v>68</v>
      </c>
      <c r="L599" t="s">
        <v>5819</v>
      </c>
      <c r="M599" t="s">
        <v>5820</v>
      </c>
      <c r="N599" t="s">
        <v>5821</v>
      </c>
      <c r="O599" t="s">
        <v>5801</v>
      </c>
      <c r="P599" t="s">
        <v>5822</v>
      </c>
      <c r="Q599" t="s">
        <v>5823</v>
      </c>
      <c r="R599" t="s">
        <v>5824</v>
      </c>
      <c r="S599" s="2">
        <v>33970</v>
      </c>
      <c r="T599" t="s">
        <v>5825</v>
      </c>
      <c r="U599" t="s">
        <v>5826</v>
      </c>
      <c r="V599">
        <v>0</v>
      </c>
      <c r="W599">
        <v>11</v>
      </c>
      <c r="X599">
        <v>245000</v>
      </c>
      <c r="Y599" t="s">
        <v>1202</v>
      </c>
      <c r="Z599" t="s">
        <v>5823</v>
      </c>
      <c r="AA599" t="s">
        <v>682</v>
      </c>
      <c r="AB599" t="s">
        <v>45</v>
      </c>
      <c r="AC599" t="s">
        <v>5807</v>
      </c>
    </row>
    <row r="600" spans="1:29">
      <c r="A600" t="s">
        <v>2611</v>
      </c>
      <c r="B600" s="1">
        <v>124084</v>
      </c>
      <c r="C600" t="s">
        <v>3301</v>
      </c>
      <c r="D600" t="s">
        <v>5796</v>
      </c>
      <c r="E600" s="1">
        <v>-8651</v>
      </c>
      <c r="F600" t="s">
        <v>82</v>
      </c>
      <c r="G600" t="s">
        <v>904</v>
      </c>
      <c r="H600" t="s">
        <v>5798</v>
      </c>
      <c r="I600">
        <v>4</v>
      </c>
      <c r="J600" t="s">
        <v>43</v>
      </c>
      <c r="K600">
        <v>70</v>
      </c>
      <c r="L600" t="s">
        <v>5827</v>
      </c>
      <c r="M600" t="s">
        <v>5828</v>
      </c>
      <c r="N600" t="s">
        <v>5829</v>
      </c>
      <c r="O600" t="s">
        <v>5801</v>
      </c>
      <c r="P600" t="s">
        <v>5830</v>
      </c>
      <c r="Q600" t="s">
        <v>5831</v>
      </c>
      <c r="R600" t="s">
        <v>5832</v>
      </c>
      <c r="S600" s="2">
        <v>30459</v>
      </c>
      <c r="T600" t="s">
        <v>5833</v>
      </c>
      <c r="U600" t="s">
        <v>5834</v>
      </c>
      <c r="V600">
        <v>1</v>
      </c>
      <c r="W600">
        <v>9</v>
      </c>
      <c r="X600">
        <v>255840</v>
      </c>
      <c r="Y600" t="s">
        <v>1799</v>
      </c>
      <c r="Z600" t="s">
        <v>5831</v>
      </c>
      <c r="AA600" t="s">
        <v>682</v>
      </c>
      <c r="AB600" t="s">
        <v>45</v>
      </c>
      <c r="AC600" t="s">
        <v>5807</v>
      </c>
    </row>
    <row r="601" spans="1:29">
      <c r="A601" t="s">
        <v>3482</v>
      </c>
      <c r="B601" s="1">
        <v>93431</v>
      </c>
      <c r="C601" t="s">
        <v>3074</v>
      </c>
      <c r="D601" t="s">
        <v>1851</v>
      </c>
      <c r="E601" s="1">
        <v>-3323</v>
      </c>
      <c r="F601" t="s">
        <v>4170</v>
      </c>
      <c r="G601" t="s">
        <v>2152</v>
      </c>
      <c r="H601" t="s">
        <v>5785</v>
      </c>
      <c r="I601">
        <v>4</v>
      </c>
      <c r="J601" t="s">
        <v>1550</v>
      </c>
      <c r="K601">
        <v>81</v>
      </c>
      <c r="L601" t="s">
        <v>5835</v>
      </c>
      <c r="M601" t="s">
        <v>5836</v>
      </c>
      <c r="N601">
        <v>2001</v>
      </c>
      <c r="O601" t="s">
        <v>5837</v>
      </c>
      <c r="P601" t="s">
        <v>5838</v>
      </c>
      <c r="Q601" t="s">
        <v>5839</v>
      </c>
      <c r="R601" t="s">
        <v>5840</v>
      </c>
      <c r="S601" s="2">
        <v>36480</v>
      </c>
      <c r="T601" t="s">
        <v>5841</v>
      </c>
      <c r="U601" t="s">
        <v>5842</v>
      </c>
      <c r="V601">
        <v>1</v>
      </c>
      <c r="W601">
        <v>11</v>
      </c>
      <c r="X601">
        <v>270587</v>
      </c>
      <c r="Y601" t="s">
        <v>2510</v>
      </c>
      <c r="Z601" t="s">
        <v>5839</v>
      </c>
      <c r="AA601" t="s">
        <v>5843</v>
      </c>
      <c r="AB601" t="s">
        <v>45</v>
      </c>
      <c r="AC601" t="s">
        <v>5844</v>
      </c>
    </row>
    <row r="602" spans="1:29">
      <c r="A602" t="s">
        <v>1097</v>
      </c>
      <c r="B602" s="1">
        <v>93941</v>
      </c>
      <c r="C602" t="s">
        <v>815</v>
      </c>
      <c r="D602" t="s">
        <v>1851</v>
      </c>
      <c r="E602" s="1">
        <v>-3439</v>
      </c>
      <c r="F602" t="s">
        <v>3643</v>
      </c>
      <c r="G602" t="s">
        <v>77</v>
      </c>
      <c r="H602" t="s">
        <v>5845</v>
      </c>
      <c r="I602">
        <v>4</v>
      </c>
      <c r="J602" t="s">
        <v>5846</v>
      </c>
      <c r="K602">
        <v>78</v>
      </c>
      <c r="L602" t="s">
        <v>5847</v>
      </c>
      <c r="M602" t="s">
        <v>5848</v>
      </c>
      <c r="N602" t="s">
        <v>5849</v>
      </c>
      <c r="O602" t="s">
        <v>5837</v>
      </c>
      <c r="P602" t="s">
        <v>5850</v>
      </c>
      <c r="Q602" t="s">
        <v>5851</v>
      </c>
      <c r="R602" t="s">
        <v>5852</v>
      </c>
      <c r="S602" s="2">
        <v>35493</v>
      </c>
      <c r="T602">
        <v>0</v>
      </c>
      <c r="U602" t="s">
        <v>5853</v>
      </c>
      <c r="V602">
        <v>1</v>
      </c>
      <c r="W602">
        <v>9</v>
      </c>
      <c r="X602">
        <v>229827</v>
      </c>
      <c r="Y602" t="s">
        <v>2929</v>
      </c>
      <c r="Z602" t="s">
        <v>5851</v>
      </c>
      <c r="AA602" t="s">
        <v>5843</v>
      </c>
      <c r="AB602" t="s">
        <v>45</v>
      </c>
      <c r="AC602" t="s">
        <v>5844</v>
      </c>
    </row>
    <row r="603" spans="1:29">
      <c r="A603" t="s">
        <v>306</v>
      </c>
      <c r="B603" s="1">
        <v>99935</v>
      </c>
      <c r="C603" t="s">
        <v>33</v>
      </c>
      <c r="D603" t="s">
        <v>1851</v>
      </c>
      <c r="E603" s="1">
        <v>-8926</v>
      </c>
      <c r="F603" t="s">
        <v>4917</v>
      </c>
      <c r="G603" t="s">
        <v>131</v>
      </c>
      <c r="H603" t="s">
        <v>5854</v>
      </c>
      <c r="I603">
        <v>4</v>
      </c>
      <c r="J603" t="s">
        <v>379</v>
      </c>
      <c r="K603">
        <v>74</v>
      </c>
      <c r="L603" t="s">
        <v>5855</v>
      </c>
      <c r="M603" t="s">
        <v>5856</v>
      </c>
      <c r="N603" t="s">
        <v>5857</v>
      </c>
      <c r="O603" t="s">
        <v>5837</v>
      </c>
      <c r="P603" t="s">
        <v>5858</v>
      </c>
      <c r="Q603" t="s">
        <v>5859</v>
      </c>
      <c r="R603" t="s">
        <v>5860</v>
      </c>
      <c r="S603" s="2">
        <v>36032</v>
      </c>
      <c r="T603">
        <v>0</v>
      </c>
      <c r="U603" t="s">
        <v>5861</v>
      </c>
      <c r="V603">
        <v>0</v>
      </c>
      <c r="W603">
        <v>2</v>
      </c>
      <c r="X603">
        <v>320267</v>
      </c>
      <c r="Y603" t="s">
        <v>1470</v>
      </c>
      <c r="Z603" t="s">
        <v>5859</v>
      </c>
      <c r="AA603" t="s">
        <v>5843</v>
      </c>
      <c r="AB603" t="s">
        <v>45</v>
      </c>
      <c r="AC603" t="s">
        <v>5844</v>
      </c>
    </row>
    <row r="604" spans="1:29">
      <c r="A604" t="s">
        <v>3409</v>
      </c>
      <c r="B604" t="s">
        <v>5862</v>
      </c>
      <c r="C604" t="s">
        <v>2963</v>
      </c>
      <c r="D604" t="s">
        <v>1851</v>
      </c>
      <c r="E604" s="1">
        <v>-3585</v>
      </c>
      <c r="F604" t="s">
        <v>5045</v>
      </c>
      <c r="G604" t="s">
        <v>4424</v>
      </c>
      <c r="H604" t="s">
        <v>5863</v>
      </c>
      <c r="I604">
        <v>4</v>
      </c>
      <c r="J604" t="s">
        <v>971</v>
      </c>
      <c r="K604">
        <v>74</v>
      </c>
      <c r="L604" t="s">
        <v>5864</v>
      </c>
      <c r="M604" t="s">
        <v>5865</v>
      </c>
      <c r="N604" t="s">
        <v>5866</v>
      </c>
      <c r="O604" t="s">
        <v>5837</v>
      </c>
      <c r="P604" t="s">
        <v>5867</v>
      </c>
      <c r="Q604" t="s">
        <v>5868</v>
      </c>
      <c r="R604" t="s">
        <v>5869</v>
      </c>
      <c r="S604" s="2">
        <v>35431</v>
      </c>
      <c r="T604" t="s">
        <v>5870</v>
      </c>
      <c r="U604" t="s">
        <v>5871</v>
      </c>
      <c r="V604">
        <v>1</v>
      </c>
      <c r="W604">
        <v>1</v>
      </c>
      <c r="X604">
        <v>281600</v>
      </c>
      <c r="Y604" t="s">
        <v>5872</v>
      </c>
      <c r="Z604" t="s">
        <v>5868</v>
      </c>
      <c r="AA604" t="s">
        <v>5843</v>
      </c>
      <c r="AB604" t="s">
        <v>45</v>
      </c>
      <c r="AC604" t="s">
        <v>5844</v>
      </c>
    </row>
    <row r="605" spans="1:29">
      <c r="A605" t="s">
        <v>80</v>
      </c>
      <c r="B605" s="1">
        <v>93857</v>
      </c>
      <c r="C605" t="s">
        <v>1338</v>
      </c>
      <c r="D605" t="s">
        <v>1851</v>
      </c>
      <c r="E605" s="1">
        <v>-6472</v>
      </c>
      <c r="F605" t="s">
        <v>2877</v>
      </c>
      <c r="G605" t="s">
        <v>566</v>
      </c>
      <c r="H605" t="s">
        <v>5873</v>
      </c>
      <c r="I605">
        <v>4</v>
      </c>
      <c r="J605" t="s">
        <v>1894</v>
      </c>
      <c r="K605">
        <v>74</v>
      </c>
      <c r="L605" t="s">
        <v>5874</v>
      </c>
      <c r="M605" t="s">
        <v>5875</v>
      </c>
      <c r="N605" t="s">
        <v>5876</v>
      </c>
      <c r="O605" t="s">
        <v>5837</v>
      </c>
      <c r="P605" t="s">
        <v>5877</v>
      </c>
      <c r="Q605" t="s">
        <v>5878</v>
      </c>
      <c r="R605" t="s">
        <v>5879</v>
      </c>
      <c r="S605" s="2">
        <v>34814</v>
      </c>
      <c r="T605" t="s">
        <v>1734</v>
      </c>
      <c r="U605" t="s">
        <v>5880</v>
      </c>
      <c r="V605">
        <v>0</v>
      </c>
      <c r="W605">
        <v>10</v>
      </c>
      <c r="X605">
        <v>325507</v>
      </c>
      <c r="Y605" t="s">
        <v>187</v>
      </c>
      <c r="Z605" t="s">
        <v>5878</v>
      </c>
      <c r="AA605" t="s">
        <v>5843</v>
      </c>
      <c r="AB605" t="s">
        <v>45</v>
      </c>
      <c r="AC605" t="s">
        <v>5844</v>
      </c>
    </row>
    <row r="606" spans="1:29">
      <c r="A606" t="s">
        <v>1537</v>
      </c>
      <c r="B606" s="1">
        <v>174039</v>
      </c>
      <c r="C606" t="s">
        <v>985</v>
      </c>
      <c r="D606" t="s">
        <v>1851</v>
      </c>
      <c r="E606" s="1">
        <v>-7899</v>
      </c>
      <c r="F606" t="s">
        <v>2342</v>
      </c>
      <c r="G606" t="s">
        <v>190</v>
      </c>
      <c r="H606" t="s">
        <v>5881</v>
      </c>
      <c r="I606">
        <v>4</v>
      </c>
      <c r="J606" t="s">
        <v>1434</v>
      </c>
      <c r="K606">
        <v>73</v>
      </c>
      <c r="L606" t="s">
        <v>5882</v>
      </c>
      <c r="M606" t="s">
        <v>5883</v>
      </c>
      <c r="N606" t="s">
        <v>5884</v>
      </c>
      <c r="O606" t="s">
        <v>5837</v>
      </c>
      <c r="P606" t="s">
        <v>5885</v>
      </c>
      <c r="Q606" t="s">
        <v>5886</v>
      </c>
      <c r="R606" t="s">
        <v>5887</v>
      </c>
      <c r="S606" s="2">
        <v>34884</v>
      </c>
      <c r="T606">
        <v>0</v>
      </c>
      <c r="U606" t="s">
        <v>5888</v>
      </c>
      <c r="V606">
        <v>0</v>
      </c>
      <c r="W606">
        <v>10</v>
      </c>
      <c r="X606">
        <v>253533</v>
      </c>
      <c r="Y606" t="s">
        <v>1980</v>
      </c>
      <c r="Z606" t="s">
        <v>5886</v>
      </c>
      <c r="AA606" t="s">
        <v>5843</v>
      </c>
      <c r="AB606" t="s">
        <v>45</v>
      </c>
      <c r="AC606" t="s">
        <v>5844</v>
      </c>
    </row>
    <row r="607" spans="1:29">
      <c r="A607" t="s">
        <v>391</v>
      </c>
      <c r="B607" s="1">
        <v>94121</v>
      </c>
      <c r="C607" t="s">
        <v>3349</v>
      </c>
      <c r="D607" t="s">
        <v>1851</v>
      </c>
      <c r="E607" s="1">
        <v>-6518</v>
      </c>
      <c r="F607" t="s">
        <v>1941</v>
      </c>
      <c r="G607" t="s">
        <v>2116</v>
      </c>
      <c r="H607" t="s">
        <v>5889</v>
      </c>
      <c r="I607">
        <v>4</v>
      </c>
      <c r="J607" t="s">
        <v>252</v>
      </c>
      <c r="K607">
        <v>72</v>
      </c>
      <c r="L607" t="s">
        <v>5890</v>
      </c>
      <c r="M607" t="s">
        <v>5891</v>
      </c>
      <c r="N607" t="s">
        <v>5892</v>
      </c>
      <c r="O607" t="s">
        <v>5837</v>
      </c>
      <c r="P607" t="s">
        <v>5893</v>
      </c>
      <c r="Q607" t="s">
        <v>5894</v>
      </c>
      <c r="R607" t="s">
        <v>5895</v>
      </c>
      <c r="S607" s="2">
        <v>35913</v>
      </c>
      <c r="T607" t="s">
        <v>5896</v>
      </c>
      <c r="U607" t="s">
        <v>5897</v>
      </c>
      <c r="V607">
        <v>0</v>
      </c>
      <c r="W607">
        <v>4</v>
      </c>
      <c r="X607">
        <v>236800</v>
      </c>
      <c r="Y607" t="s">
        <v>61</v>
      </c>
      <c r="Z607" t="s">
        <v>5894</v>
      </c>
      <c r="AA607" t="s">
        <v>5843</v>
      </c>
      <c r="AB607" t="s">
        <v>45</v>
      </c>
      <c r="AC607" t="s">
        <v>5844</v>
      </c>
    </row>
    <row r="608" spans="1:29">
      <c r="A608" t="s">
        <v>5292</v>
      </c>
      <c r="B608" s="1">
        <v>96063</v>
      </c>
      <c r="C608" t="s">
        <v>2801</v>
      </c>
      <c r="D608" t="s">
        <v>1851</v>
      </c>
      <c r="E608" s="1">
        <v>-4639</v>
      </c>
      <c r="F608" t="s">
        <v>2776</v>
      </c>
      <c r="G608" t="s">
        <v>290</v>
      </c>
      <c r="H608" t="s">
        <v>5845</v>
      </c>
      <c r="I608">
        <v>4</v>
      </c>
      <c r="J608" t="s">
        <v>2220</v>
      </c>
      <c r="K608">
        <v>73</v>
      </c>
      <c r="L608" t="s">
        <v>5898</v>
      </c>
      <c r="M608" t="s">
        <v>5899</v>
      </c>
      <c r="N608" t="s">
        <v>5900</v>
      </c>
      <c r="O608" t="s">
        <v>5837</v>
      </c>
      <c r="P608" t="s">
        <v>5901</v>
      </c>
      <c r="Q608" t="s">
        <v>5902</v>
      </c>
      <c r="R608" t="s">
        <v>5903</v>
      </c>
      <c r="S608" s="2">
        <v>34590</v>
      </c>
      <c r="T608">
        <v>0</v>
      </c>
      <c r="U608" t="s">
        <v>5904</v>
      </c>
      <c r="V608">
        <v>1</v>
      </c>
      <c r="W608">
        <v>9</v>
      </c>
      <c r="X608">
        <v>302760</v>
      </c>
      <c r="Y608" t="s">
        <v>3097</v>
      </c>
      <c r="Z608" t="s">
        <v>5902</v>
      </c>
      <c r="AA608" t="s">
        <v>5843</v>
      </c>
      <c r="AB608" t="s">
        <v>45</v>
      </c>
      <c r="AC608" t="s">
        <v>5844</v>
      </c>
    </row>
    <row r="609" spans="1:29">
      <c r="A609" t="s">
        <v>5783</v>
      </c>
      <c r="B609" s="1">
        <v>94895</v>
      </c>
      <c r="C609" t="s">
        <v>119</v>
      </c>
      <c r="D609" t="s">
        <v>1851</v>
      </c>
      <c r="E609" t="s">
        <v>5784</v>
      </c>
      <c r="F609" t="s">
        <v>1252</v>
      </c>
      <c r="G609" t="s">
        <v>1893</v>
      </c>
      <c r="H609" t="s">
        <v>5785</v>
      </c>
      <c r="I609">
        <v>4</v>
      </c>
      <c r="J609" t="s">
        <v>2283</v>
      </c>
      <c r="K609">
        <v>76</v>
      </c>
      <c r="L609" t="s">
        <v>5786</v>
      </c>
      <c r="M609" t="s">
        <v>5787</v>
      </c>
      <c r="N609" t="s">
        <v>5788</v>
      </c>
      <c r="O609" t="s">
        <v>5837</v>
      </c>
      <c r="P609" t="s">
        <v>5790</v>
      </c>
      <c r="Q609" t="s">
        <v>5791</v>
      </c>
      <c r="R609" t="s">
        <v>5792</v>
      </c>
      <c r="S609" s="2">
        <v>33953</v>
      </c>
      <c r="T609">
        <v>0</v>
      </c>
      <c r="U609" t="s">
        <v>5793</v>
      </c>
      <c r="V609">
        <v>0</v>
      </c>
      <c r="W609">
        <v>11</v>
      </c>
      <c r="X609">
        <v>237573</v>
      </c>
      <c r="Y609" t="s">
        <v>5794</v>
      </c>
      <c r="Z609" t="s">
        <v>5791</v>
      </c>
      <c r="AA609" t="s">
        <v>5843</v>
      </c>
      <c r="AB609" t="s">
        <v>45</v>
      </c>
      <c r="AC609" t="s">
        <v>5844</v>
      </c>
    </row>
    <row r="610" spans="1:29">
      <c r="A610" t="s">
        <v>2144</v>
      </c>
      <c r="B610" s="1">
        <v>181033</v>
      </c>
      <c r="C610" t="s">
        <v>2134</v>
      </c>
      <c r="D610" t="s">
        <v>1851</v>
      </c>
      <c r="E610" s="1">
        <v>-11562</v>
      </c>
      <c r="F610" t="s">
        <v>135</v>
      </c>
      <c r="G610" t="s">
        <v>3556</v>
      </c>
      <c r="H610" t="s">
        <v>5905</v>
      </c>
      <c r="I610">
        <v>4</v>
      </c>
      <c r="J610" t="s">
        <v>826</v>
      </c>
      <c r="K610">
        <v>72</v>
      </c>
      <c r="L610" t="s">
        <v>5906</v>
      </c>
      <c r="M610" t="s">
        <v>5907</v>
      </c>
      <c r="N610" t="s">
        <v>5908</v>
      </c>
      <c r="O610" t="s">
        <v>5837</v>
      </c>
      <c r="P610" t="s">
        <v>5909</v>
      </c>
      <c r="Q610" t="s">
        <v>5910</v>
      </c>
      <c r="R610" t="s">
        <v>5911</v>
      </c>
      <c r="S610" s="2">
        <v>34282</v>
      </c>
      <c r="T610" t="s">
        <v>5912</v>
      </c>
      <c r="U610" t="s">
        <v>5913</v>
      </c>
      <c r="V610">
        <v>0</v>
      </c>
      <c r="W610">
        <v>11</v>
      </c>
      <c r="X610">
        <v>252027</v>
      </c>
      <c r="Y610" t="s">
        <v>2304</v>
      </c>
      <c r="Z610" t="s">
        <v>5910</v>
      </c>
      <c r="AA610" t="s">
        <v>5843</v>
      </c>
      <c r="AB610" t="s">
        <v>45</v>
      </c>
      <c r="AC610" t="s">
        <v>5844</v>
      </c>
    </row>
    <row r="611" spans="1:29">
      <c r="A611" t="s">
        <v>1479</v>
      </c>
      <c r="B611" s="1">
        <v>102304</v>
      </c>
      <c r="C611" t="s">
        <v>1513</v>
      </c>
      <c r="D611" t="s">
        <v>1851</v>
      </c>
      <c r="E611" s="1">
        <v>-10489</v>
      </c>
      <c r="F611" t="s">
        <v>2865</v>
      </c>
      <c r="G611" t="s">
        <v>159</v>
      </c>
      <c r="H611" t="s">
        <v>5914</v>
      </c>
      <c r="I611">
        <v>4</v>
      </c>
      <c r="J611" t="s">
        <v>2314</v>
      </c>
      <c r="K611">
        <v>70</v>
      </c>
      <c r="L611" t="s">
        <v>5915</v>
      </c>
      <c r="M611" t="s">
        <v>5916</v>
      </c>
      <c r="N611" t="s">
        <v>5917</v>
      </c>
      <c r="O611" t="s">
        <v>5837</v>
      </c>
      <c r="P611" t="s">
        <v>5918</v>
      </c>
      <c r="Q611" t="s">
        <v>5919</v>
      </c>
      <c r="R611" t="s">
        <v>5920</v>
      </c>
      <c r="S611" s="2">
        <v>34170</v>
      </c>
      <c r="T611" t="s">
        <v>1908</v>
      </c>
      <c r="U611" t="s">
        <v>5921</v>
      </c>
      <c r="V611">
        <v>1</v>
      </c>
      <c r="W611">
        <v>11</v>
      </c>
      <c r="X611">
        <v>208267</v>
      </c>
      <c r="Y611" t="s">
        <v>5922</v>
      </c>
      <c r="Z611" t="s">
        <v>5919</v>
      </c>
      <c r="AA611" t="s">
        <v>5843</v>
      </c>
      <c r="AB611" t="s">
        <v>45</v>
      </c>
      <c r="AC611" t="s">
        <v>5844</v>
      </c>
    </row>
    <row r="612" spans="1:29">
      <c r="A612" t="s">
        <v>251</v>
      </c>
      <c r="B612" s="1">
        <v>97044</v>
      </c>
      <c r="C612" t="s">
        <v>1165</v>
      </c>
      <c r="D612" t="s">
        <v>1851</v>
      </c>
      <c r="E612" s="1">
        <v>-2832</v>
      </c>
      <c r="F612" t="s">
        <v>201</v>
      </c>
      <c r="G612" t="s">
        <v>200</v>
      </c>
      <c r="H612" t="s">
        <v>5923</v>
      </c>
      <c r="I612">
        <v>4</v>
      </c>
      <c r="J612" t="s">
        <v>2031</v>
      </c>
      <c r="K612">
        <v>70</v>
      </c>
      <c r="L612" t="s">
        <v>5924</v>
      </c>
      <c r="M612" t="s">
        <v>5925</v>
      </c>
      <c r="N612" t="s">
        <v>5926</v>
      </c>
      <c r="O612" t="s">
        <v>5837</v>
      </c>
      <c r="P612" t="s">
        <v>5927</v>
      </c>
      <c r="Q612" t="s">
        <v>5928</v>
      </c>
      <c r="R612" t="s">
        <v>5926</v>
      </c>
      <c r="S612" s="2">
        <v>35304</v>
      </c>
      <c r="T612" t="s">
        <v>5929</v>
      </c>
      <c r="U612" t="s">
        <v>5930</v>
      </c>
      <c r="V612">
        <v>0</v>
      </c>
      <c r="W612">
        <v>11</v>
      </c>
      <c r="X612">
        <v>230693</v>
      </c>
      <c r="Y612" t="s">
        <v>1587</v>
      </c>
      <c r="Z612" t="s">
        <v>5928</v>
      </c>
      <c r="AA612" t="s">
        <v>5843</v>
      </c>
      <c r="AB612" t="s">
        <v>45</v>
      </c>
      <c r="AC612" t="s">
        <v>5844</v>
      </c>
    </row>
    <row r="613" spans="1:29">
      <c r="A613" t="s">
        <v>76</v>
      </c>
      <c r="B613" s="1">
        <v>84099</v>
      </c>
      <c r="C613" t="s">
        <v>2610</v>
      </c>
      <c r="D613" t="s">
        <v>1851</v>
      </c>
      <c r="E613" s="1">
        <v>-4682</v>
      </c>
      <c r="F613" t="s">
        <v>2539</v>
      </c>
      <c r="G613" t="s">
        <v>1836</v>
      </c>
      <c r="H613" t="s">
        <v>5931</v>
      </c>
      <c r="I613">
        <v>4</v>
      </c>
      <c r="J613" t="s">
        <v>3153</v>
      </c>
      <c r="K613">
        <v>70</v>
      </c>
      <c r="L613" t="s">
        <v>5932</v>
      </c>
      <c r="M613" t="s">
        <v>5933</v>
      </c>
      <c r="N613" t="s">
        <v>5934</v>
      </c>
      <c r="O613" t="s">
        <v>5837</v>
      </c>
      <c r="P613" t="s">
        <v>5935</v>
      </c>
      <c r="Q613" t="s">
        <v>5936</v>
      </c>
      <c r="R613" t="s">
        <v>5937</v>
      </c>
      <c r="S613" s="2">
        <v>34443</v>
      </c>
      <c r="T613">
        <v>0</v>
      </c>
      <c r="U613" t="s">
        <v>5938</v>
      </c>
      <c r="V613">
        <v>0</v>
      </c>
      <c r="W613">
        <v>6</v>
      </c>
      <c r="X613">
        <v>293973</v>
      </c>
      <c r="Y613" t="s">
        <v>4233</v>
      </c>
      <c r="Z613" t="s">
        <v>5936</v>
      </c>
      <c r="AA613" t="s">
        <v>5843</v>
      </c>
      <c r="AB613" t="s">
        <v>45</v>
      </c>
      <c r="AC613" t="s">
        <v>5844</v>
      </c>
    </row>
    <row r="614" spans="1:29">
      <c r="A614" t="s">
        <v>1279</v>
      </c>
      <c r="B614" s="1">
        <v>101368</v>
      </c>
      <c r="C614" t="s">
        <v>394</v>
      </c>
      <c r="D614" t="s">
        <v>1851</v>
      </c>
      <c r="E614" s="1">
        <v>-6668</v>
      </c>
      <c r="F614" t="s">
        <v>331</v>
      </c>
      <c r="G614" t="s">
        <v>1539</v>
      </c>
      <c r="H614" t="s">
        <v>5939</v>
      </c>
      <c r="I614">
        <v>4</v>
      </c>
      <c r="J614" t="s">
        <v>3390</v>
      </c>
      <c r="K614">
        <v>69</v>
      </c>
      <c r="L614" t="s">
        <v>5940</v>
      </c>
      <c r="M614" t="s">
        <v>5941</v>
      </c>
      <c r="N614" t="s">
        <v>5942</v>
      </c>
      <c r="O614" t="s">
        <v>5837</v>
      </c>
      <c r="P614" t="s">
        <v>5943</v>
      </c>
      <c r="Q614" t="s">
        <v>5944</v>
      </c>
      <c r="R614" t="s">
        <v>5945</v>
      </c>
      <c r="S614" s="2">
        <v>34660</v>
      </c>
      <c r="T614" t="s">
        <v>5946</v>
      </c>
      <c r="U614" t="s">
        <v>5947</v>
      </c>
      <c r="V614">
        <v>1</v>
      </c>
      <c r="W614">
        <v>1</v>
      </c>
      <c r="X614">
        <v>273107</v>
      </c>
      <c r="Y614" t="s">
        <v>1802</v>
      </c>
      <c r="Z614" t="s">
        <v>5944</v>
      </c>
      <c r="AA614" t="s">
        <v>5843</v>
      </c>
      <c r="AB614" t="s">
        <v>45</v>
      </c>
      <c r="AC614" t="s">
        <v>5844</v>
      </c>
    </row>
    <row r="615" spans="1:29">
      <c r="A615" t="s">
        <v>931</v>
      </c>
      <c r="B615" s="1">
        <v>84115</v>
      </c>
      <c r="C615" t="s">
        <v>3206</v>
      </c>
      <c r="D615" t="s">
        <v>1851</v>
      </c>
      <c r="E615" s="1">
        <v>-7123</v>
      </c>
      <c r="F615" t="s">
        <v>956</v>
      </c>
      <c r="G615" t="s">
        <v>825</v>
      </c>
      <c r="H615" t="s">
        <v>5863</v>
      </c>
      <c r="I615">
        <v>4</v>
      </c>
      <c r="J615" t="s">
        <v>593</v>
      </c>
      <c r="K615">
        <v>68</v>
      </c>
      <c r="L615" t="s">
        <v>5948</v>
      </c>
      <c r="M615" t="s">
        <v>5949</v>
      </c>
      <c r="N615" t="s">
        <v>5950</v>
      </c>
      <c r="O615" t="s">
        <v>5837</v>
      </c>
      <c r="P615" t="s">
        <v>5951</v>
      </c>
      <c r="Q615" t="s">
        <v>5952</v>
      </c>
      <c r="R615" t="s">
        <v>5953</v>
      </c>
      <c r="S615" s="2">
        <v>34772</v>
      </c>
      <c r="T615">
        <v>0</v>
      </c>
      <c r="U615" t="s">
        <v>5954</v>
      </c>
      <c r="V615">
        <v>1</v>
      </c>
      <c r="W615">
        <v>6</v>
      </c>
      <c r="X615">
        <v>280000</v>
      </c>
      <c r="Y615" t="s">
        <v>3144</v>
      </c>
      <c r="Z615" t="s">
        <v>5952</v>
      </c>
      <c r="AA615" t="s">
        <v>5843</v>
      </c>
      <c r="AB615" t="s">
        <v>45</v>
      </c>
      <c r="AC615" t="s">
        <v>5844</v>
      </c>
    </row>
    <row r="616" spans="1:29">
      <c r="A616" t="s">
        <v>450</v>
      </c>
      <c r="B616" s="1">
        <v>94828</v>
      </c>
      <c r="C616" t="s">
        <v>5955</v>
      </c>
      <c r="D616" t="s">
        <v>1851</v>
      </c>
      <c r="E616" s="1">
        <v>-5077</v>
      </c>
      <c r="F616" t="s">
        <v>5956</v>
      </c>
      <c r="G616" t="s">
        <v>5957</v>
      </c>
      <c r="H616" t="s">
        <v>5873</v>
      </c>
      <c r="I616">
        <v>4</v>
      </c>
      <c r="J616" t="s">
        <v>5958</v>
      </c>
      <c r="K616">
        <v>68</v>
      </c>
      <c r="L616" t="s">
        <v>5959</v>
      </c>
      <c r="M616" t="s">
        <v>5960</v>
      </c>
      <c r="N616" t="s">
        <v>5876</v>
      </c>
      <c r="O616" t="s">
        <v>5837</v>
      </c>
      <c r="P616" t="s">
        <v>5961</v>
      </c>
      <c r="Q616" t="s">
        <v>5962</v>
      </c>
      <c r="R616" t="s">
        <v>5963</v>
      </c>
      <c r="S616" s="2">
        <v>34814</v>
      </c>
      <c r="T616" t="s">
        <v>5964</v>
      </c>
      <c r="U616" t="s">
        <v>5880</v>
      </c>
      <c r="V616">
        <v>0</v>
      </c>
      <c r="W616">
        <v>11</v>
      </c>
      <c r="X616">
        <v>224533</v>
      </c>
      <c r="Y616" t="s">
        <v>2342</v>
      </c>
      <c r="Z616" t="s">
        <v>5962</v>
      </c>
      <c r="AA616" t="s">
        <v>5843</v>
      </c>
      <c r="AB616" t="s">
        <v>45</v>
      </c>
      <c r="AC616" t="s">
        <v>5844</v>
      </c>
    </row>
    <row r="617" spans="1:29">
      <c r="A617" t="s">
        <v>2011</v>
      </c>
      <c r="B617" s="1">
        <v>104536</v>
      </c>
      <c r="C617" t="s">
        <v>4193</v>
      </c>
      <c r="D617" t="s">
        <v>1851</v>
      </c>
      <c r="E617" s="1">
        <v>-4506</v>
      </c>
      <c r="F617" t="s">
        <v>146</v>
      </c>
      <c r="G617" t="s">
        <v>500</v>
      </c>
      <c r="H617" t="s">
        <v>5965</v>
      </c>
      <c r="I617">
        <v>4</v>
      </c>
      <c r="J617" t="s">
        <v>5966</v>
      </c>
      <c r="K617">
        <v>72</v>
      </c>
      <c r="L617" t="s">
        <v>5967</v>
      </c>
      <c r="M617" t="s">
        <v>5968</v>
      </c>
      <c r="N617" t="s">
        <v>5849</v>
      </c>
      <c r="O617" t="s">
        <v>5837</v>
      </c>
      <c r="P617" t="s">
        <v>5969</v>
      </c>
      <c r="Q617" t="s">
        <v>5970</v>
      </c>
      <c r="R617" t="s">
        <v>5971</v>
      </c>
      <c r="S617" s="2">
        <v>35493</v>
      </c>
      <c r="T617" t="s">
        <v>5972</v>
      </c>
      <c r="U617" t="s">
        <v>5853</v>
      </c>
      <c r="V617">
        <v>0</v>
      </c>
      <c r="W617">
        <v>6</v>
      </c>
      <c r="X617">
        <v>257400</v>
      </c>
      <c r="Y617" t="s">
        <v>5973</v>
      </c>
      <c r="Z617" t="s">
        <v>5970</v>
      </c>
      <c r="AA617" t="s">
        <v>5843</v>
      </c>
      <c r="AB617" t="s">
        <v>45</v>
      </c>
      <c r="AC617" t="s">
        <v>5844</v>
      </c>
    </row>
    <row r="618" spans="1:29">
      <c r="A618" t="s">
        <v>1598</v>
      </c>
      <c r="B618" s="1">
        <v>96662</v>
      </c>
      <c r="C618" t="s">
        <v>621</v>
      </c>
      <c r="D618" t="s">
        <v>1851</v>
      </c>
      <c r="E618" s="1">
        <v>-6547</v>
      </c>
      <c r="F618" t="s">
        <v>715</v>
      </c>
      <c r="G618" t="s">
        <v>487</v>
      </c>
      <c r="H618" t="s">
        <v>5974</v>
      </c>
      <c r="I618">
        <v>4</v>
      </c>
      <c r="J618" t="s">
        <v>198</v>
      </c>
      <c r="K618">
        <v>68</v>
      </c>
      <c r="L618" t="s">
        <v>5975</v>
      </c>
      <c r="M618" t="s">
        <v>5976</v>
      </c>
      <c r="N618" t="s">
        <v>5977</v>
      </c>
      <c r="O618" t="s">
        <v>5837</v>
      </c>
      <c r="P618" t="s">
        <v>5978</v>
      </c>
      <c r="Q618" t="s">
        <v>5979</v>
      </c>
      <c r="R618" t="s">
        <v>5980</v>
      </c>
      <c r="S618" s="2">
        <v>32980</v>
      </c>
      <c r="T618" t="s">
        <v>5981</v>
      </c>
      <c r="U618" t="s">
        <v>5982</v>
      </c>
      <c r="V618">
        <v>1</v>
      </c>
      <c r="W618">
        <v>0</v>
      </c>
      <c r="X618">
        <v>251573</v>
      </c>
      <c r="Y618" t="s">
        <v>1238</v>
      </c>
      <c r="Z618" t="s">
        <v>5979</v>
      </c>
      <c r="AA618" t="s">
        <v>5843</v>
      </c>
      <c r="AB618" t="s">
        <v>45</v>
      </c>
      <c r="AC618" t="s">
        <v>5844</v>
      </c>
    </row>
    <row r="619" spans="1:29">
      <c r="A619" t="s">
        <v>1396</v>
      </c>
      <c r="B619" s="1">
        <v>172329</v>
      </c>
      <c r="C619" t="s">
        <v>3597</v>
      </c>
      <c r="D619" t="s">
        <v>1851</v>
      </c>
      <c r="E619" s="1">
        <v>-7013</v>
      </c>
      <c r="F619" t="s">
        <v>666</v>
      </c>
      <c r="G619" t="s">
        <v>1574</v>
      </c>
      <c r="H619" t="s">
        <v>5863</v>
      </c>
      <c r="I619">
        <v>4</v>
      </c>
      <c r="J619" t="s">
        <v>4367</v>
      </c>
      <c r="K619">
        <v>68</v>
      </c>
      <c r="L619" t="s">
        <v>5983</v>
      </c>
      <c r="M619" t="s">
        <v>5984</v>
      </c>
      <c r="N619" t="s">
        <v>5985</v>
      </c>
      <c r="O619" t="s">
        <v>5837</v>
      </c>
      <c r="P619" t="s">
        <v>5986</v>
      </c>
      <c r="Q619" t="s">
        <v>5987</v>
      </c>
      <c r="R619" t="s">
        <v>5988</v>
      </c>
      <c r="S619" s="2">
        <v>34016</v>
      </c>
      <c r="T619">
        <v>0</v>
      </c>
      <c r="U619" t="s">
        <v>5989</v>
      </c>
      <c r="V619">
        <v>1</v>
      </c>
      <c r="W619">
        <v>4</v>
      </c>
      <c r="X619">
        <v>262507</v>
      </c>
      <c r="Y619" t="s">
        <v>1347</v>
      </c>
      <c r="Z619" t="s">
        <v>5987</v>
      </c>
      <c r="AA619" t="s">
        <v>5843</v>
      </c>
      <c r="AB619" t="s">
        <v>45</v>
      </c>
      <c r="AC619" t="s">
        <v>5844</v>
      </c>
    </row>
    <row r="620" spans="1:29">
      <c r="A620" t="s">
        <v>742</v>
      </c>
      <c r="B620" s="1">
        <v>127361</v>
      </c>
      <c r="C620" t="s">
        <v>902</v>
      </c>
      <c r="D620" t="s">
        <v>667</v>
      </c>
      <c r="E620" s="1">
        <v>-5509</v>
      </c>
      <c r="F620" t="s">
        <v>903</v>
      </c>
      <c r="G620" t="s">
        <v>904</v>
      </c>
      <c r="H620" t="s">
        <v>688</v>
      </c>
      <c r="I620">
        <v>4</v>
      </c>
      <c r="J620" t="s">
        <v>905</v>
      </c>
      <c r="K620">
        <v>81</v>
      </c>
      <c r="L620" t="s">
        <v>906</v>
      </c>
      <c r="M620" t="s">
        <v>907</v>
      </c>
      <c r="N620" t="s">
        <v>908</v>
      </c>
      <c r="O620" t="s">
        <v>5990</v>
      </c>
      <c r="P620" t="s">
        <v>909</v>
      </c>
      <c r="Q620" t="s">
        <v>910</v>
      </c>
      <c r="R620" t="s">
        <v>911</v>
      </c>
      <c r="S620" s="2">
        <v>29427</v>
      </c>
      <c r="T620" t="s">
        <v>912</v>
      </c>
      <c r="U620" t="s">
        <v>913</v>
      </c>
      <c r="V620">
        <v>1</v>
      </c>
      <c r="W620">
        <v>7</v>
      </c>
      <c r="X620">
        <v>210173</v>
      </c>
      <c r="Y620" t="s">
        <v>914</v>
      </c>
      <c r="Z620" t="s">
        <v>910</v>
      </c>
      <c r="AA620" t="s">
        <v>5991</v>
      </c>
      <c r="AB620" t="s">
        <v>45</v>
      </c>
      <c r="AC620" t="s">
        <v>5992</v>
      </c>
    </row>
    <row r="621" spans="1:29">
      <c r="A621" t="s">
        <v>770</v>
      </c>
      <c r="B621" s="1">
        <v>112067</v>
      </c>
      <c r="C621" t="s">
        <v>461</v>
      </c>
      <c r="D621" t="s">
        <v>667</v>
      </c>
      <c r="E621" s="1">
        <v>-12095</v>
      </c>
      <c r="F621" t="s">
        <v>189</v>
      </c>
      <c r="G621" t="s">
        <v>33</v>
      </c>
      <c r="H621" t="s">
        <v>5993</v>
      </c>
      <c r="I621">
        <v>4</v>
      </c>
      <c r="J621" t="s">
        <v>4348</v>
      </c>
      <c r="K621">
        <v>85</v>
      </c>
      <c r="L621" t="s">
        <v>5994</v>
      </c>
      <c r="M621" t="s">
        <v>5995</v>
      </c>
      <c r="N621" t="s">
        <v>5996</v>
      </c>
      <c r="O621" t="s">
        <v>5990</v>
      </c>
      <c r="P621" t="s">
        <v>5997</v>
      </c>
      <c r="Q621" t="s">
        <v>5998</v>
      </c>
      <c r="R621" t="s">
        <v>5999</v>
      </c>
      <c r="S621" s="2">
        <v>31103</v>
      </c>
      <c r="T621" t="s">
        <v>6000</v>
      </c>
      <c r="U621" t="s">
        <v>6001</v>
      </c>
      <c r="V621">
        <v>1</v>
      </c>
      <c r="W621">
        <v>7</v>
      </c>
      <c r="X621">
        <v>251489</v>
      </c>
      <c r="Y621" t="s">
        <v>3284</v>
      </c>
      <c r="Z621" t="s">
        <v>5998</v>
      </c>
      <c r="AA621" t="s">
        <v>5991</v>
      </c>
      <c r="AB621" t="s">
        <v>45</v>
      </c>
      <c r="AC621" t="s">
        <v>5992</v>
      </c>
    </row>
    <row r="622" spans="1:29">
      <c r="A622" t="s">
        <v>1865</v>
      </c>
      <c r="B622" t="s">
        <v>6002</v>
      </c>
      <c r="C622" t="s">
        <v>538</v>
      </c>
      <c r="D622" t="s">
        <v>667</v>
      </c>
      <c r="E622" s="1">
        <v>-7106</v>
      </c>
      <c r="F622" t="s">
        <v>826</v>
      </c>
      <c r="G622" t="s">
        <v>475</v>
      </c>
      <c r="H622" t="s">
        <v>6003</v>
      </c>
      <c r="I622">
        <v>4</v>
      </c>
      <c r="J622" t="s">
        <v>6004</v>
      </c>
      <c r="K622">
        <v>72</v>
      </c>
      <c r="L622" t="s">
        <v>6005</v>
      </c>
      <c r="M622" t="s">
        <v>6006</v>
      </c>
      <c r="N622" t="s">
        <v>6007</v>
      </c>
      <c r="O622" t="s">
        <v>5990</v>
      </c>
      <c r="P622" t="s">
        <v>6008</v>
      </c>
      <c r="Q622" t="s">
        <v>6009</v>
      </c>
      <c r="R622" t="s">
        <v>6010</v>
      </c>
      <c r="S622" s="2">
        <v>37180</v>
      </c>
      <c r="T622">
        <v>0</v>
      </c>
      <c r="U622" t="s">
        <v>6011</v>
      </c>
      <c r="V622">
        <v>1</v>
      </c>
      <c r="W622">
        <v>4</v>
      </c>
      <c r="X622">
        <v>248907</v>
      </c>
      <c r="Y622" t="s">
        <v>969</v>
      </c>
      <c r="Z622" t="s">
        <v>6009</v>
      </c>
      <c r="AA622" t="s">
        <v>5991</v>
      </c>
      <c r="AB622" t="s">
        <v>45</v>
      </c>
      <c r="AC622" t="s">
        <v>5992</v>
      </c>
    </row>
    <row r="623" spans="1:29">
      <c r="A623" t="s">
        <v>1393</v>
      </c>
      <c r="B623" s="1">
        <v>92718</v>
      </c>
      <c r="C623" t="s">
        <v>1394</v>
      </c>
      <c r="D623" t="s">
        <v>667</v>
      </c>
      <c r="E623" s="1">
        <v>-18064</v>
      </c>
      <c r="F623" t="s">
        <v>1395</v>
      </c>
      <c r="G623" t="s">
        <v>1396</v>
      </c>
      <c r="H623" t="s">
        <v>1397</v>
      </c>
      <c r="I623">
        <v>4</v>
      </c>
      <c r="J623" t="s">
        <v>1269</v>
      </c>
      <c r="K623">
        <v>83</v>
      </c>
      <c r="L623" t="s">
        <v>1398</v>
      </c>
      <c r="M623" t="s">
        <v>1399</v>
      </c>
      <c r="N623" t="s">
        <v>1400</v>
      </c>
      <c r="O623" t="s">
        <v>5990</v>
      </c>
      <c r="P623" t="s">
        <v>1401</v>
      </c>
      <c r="Q623" t="s">
        <v>1402</v>
      </c>
      <c r="R623" t="s">
        <v>1403</v>
      </c>
      <c r="S623" s="2">
        <v>30049</v>
      </c>
      <c r="T623" t="s">
        <v>1404</v>
      </c>
      <c r="U623" t="s">
        <v>1405</v>
      </c>
      <c r="V623">
        <v>1</v>
      </c>
      <c r="W623">
        <v>9</v>
      </c>
      <c r="X623">
        <v>295893</v>
      </c>
      <c r="Y623" t="s">
        <v>1406</v>
      </c>
      <c r="Z623" t="s">
        <v>1402</v>
      </c>
      <c r="AA623" t="s">
        <v>5991</v>
      </c>
      <c r="AB623" t="s">
        <v>45</v>
      </c>
      <c r="AC623" t="s">
        <v>5992</v>
      </c>
    </row>
    <row r="624" spans="1:29">
      <c r="A624" t="s">
        <v>105</v>
      </c>
      <c r="B624" s="1">
        <v>188386</v>
      </c>
      <c r="C624" t="s">
        <v>1336</v>
      </c>
      <c r="D624" t="s">
        <v>667</v>
      </c>
      <c r="E624" s="1">
        <v>-5678</v>
      </c>
      <c r="F624" t="s">
        <v>1337</v>
      </c>
      <c r="G624" t="s">
        <v>1338</v>
      </c>
      <c r="H624" t="s">
        <v>688</v>
      </c>
      <c r="I624">
        <v>4</v>
      </c>
      <c r="J624" t="s">
        <v>1339</v>
      </c>
      <c r="K624">
        <v>83</v>
      </c>
      <c r="L624" t="s">
        <v>1340</v>
      </c>
      <c r="M624" t="s">
        <v>1341</v>
      </c>
      <c r="N624" t="s">
        <v>908</v>
      </c>
      <c r="O624" t="s">
        <v>5990</v>
      </c>
      <c r="P624" t="s">
        <v>1342</v>
      </c>
      <c r="Q624" t="s">
        <v>1343</v>
      </c>
      <c r="R624" t="s">
        <v>908</v>
      </c>
      <c r="S624" s="2">
        <v>29427</v>
      </c>
      <c r="T624" t="s">
        <v>1344</v>
      </c>
      <c r="U624" t="s">
        <v>913</v>
      </c>
      <c r="V624">
        <v>1</v>
      </c>
      <c r="W624">
        <v>9</v>
      </c>
      <c r="X624">
        <v>255493</v>
      </c>
      <c r="Y624" t="s">
        <v>1345</v>
      </c>
      <c r="Z624" t="s">
        <v>1343</v>
      </c>
      <c r="AA624" t="s">
        <v>5991</v>
      </c>
      <c r="AB624" t="s">
        <v>45</v>
      </c>
      <c r="AC624" t="s">
        <v>5992</v>
      </c>
    </row>
    <row r="625" spans="1:29">
      <c r="A625" t="s">
        <v>1050</v>
      </c>
      <c r="B625" s="1">
        <v>148723</v>
      </c>
      <c r="C625" t="s">
        <v>2152</v>
      </c>
      <c r="D625" t="s">
        <v>667</v>
      </c>
      <c r="E625" t="s">
        <v>6012</v>
      </c>
      <c r="F625" t="s">
        <v>1142</v>
      </c>
      <c r="G625" t="s">
        <v>131</v>
      </c>
      <c r="H625" t="s">
        <v>986</v>
      </c>
      <c r="I625">
        <v>4</v>
      </c>
      <c r="J625" t="s">
        <v>2051</v>
      </c>
      <c r="K625">
        <v>82</v>
      </c>
      <c r="L625" t="s">
        <v>6013</v>
      </c>
      <c r="M625" t="s">
        <v>6014</v>
      </c>
      <c r="N625" t="s">
        <v>990</v>
      </c>
      <c r="O625" t="s">
        <v>5990</v>
      </c>
      <c r="P625" t="s">
        <v>6015</v>
      </c>
      <c r="Q625" t="s">
        <v>6016</v>
      </c>
      <c r="R625" t="s">
        <v>6017</v>
      </c>
      <c r="S625" s="2">
        <v>30837</v>
      </c>
      <c r="T625">
        <v>0</v>
      </c>
      <c r="U625" t="s">
        <v>995</v>
      </c>
      <c r="V625">
        <v>0</v>
      </c>
      <c r="W625">
        <v>1</v>
      </c>
      <c r="X625">
        <v>241307</v>
      </c>
      <c r="Y625" t="s">
        <v>2497</v>
      </c>
      <c r="Z625" t="s">
        <v>6016</v>
      </c>
      <c r="AA625" t="s">
        <v>5991</v>
      </c>
      <c r="AB625" t="s">
        <v>45</v>
      </c>
      <c r="AC625" t="s">
        <v>5992</v>
      </c>
    </row>
    <row r="626" spans="1:29">
      <c r="A626" t="s">
        <v>6018</v>
      </c>
      <c r="B626" s="1">
        <v>122805</v>
      </c>
      <c r="C626" t="s">
        <v>6019</v>
      </c>
      <c r="D626" t="s">
        <v>667</v>
      </c>
      <c r="E626" s="1">
        <v>-2947</v>
      </c>
      <c r="F626" t="s">
        <v>2345</v>
      </c>
      <c r="G626" t="s">
        <v>304</v>
      </c>
      <c r="H626" t="s">
        <v>853</v>
      </c>
      <c r="I626">
        <v>4</v>
      </c>
      <c r="J626" t="s">
        <v>6020</v>
      </c>
      <c r="K626">
        <v>81</v>
      </c>
      <c r="L626" t="s">
        <v>6021</v>
      </c>
      <c r="M626" t="s">
        <v>6022</v>
      </c>
      <c r="N626" t="s">
        <v>6023</v>
      </c>
      <c r="O626" t="s">
        <v>5990</v>
      </c>
      <c r="P626" t="s">
        <v>6024</v>
      </c>
      <c r="Q626" t="s">
        <v>6025</v>
      </c>
      <c r="R626" t="s">
        <v>6026</v>
      </c>
      <c r="S626" s="2">
        <v>31640</v>
      </c>
      <c r="T626" t="s">
        <v>6027</v>
      </c>
      <c r="U626" t="s">
        <v>6028</v>
      </c>
      <c r="V626">
        <v>0</v>
      </c>
      <c r="W626">
        <v>0</v>
      </c>
      <c r="X626">
        <v>222707</v>
      </c>
      <c r="Y626" t="s">
        <v>6029</v>
      </c>
      <c r="Z626" t="s">
        <v>6025</v>
      </c>
      <c r="AA626" t="s">
        <v>5991</v>
      </c>
      <c r="AB626" t="s">
        <v>45</v>
      </c>
      <c r="AC626" t="s">
        <v>5992</v>
      </c>
    </row>
    <row r="627" spans="1:29">
      <c r="A627" t="s">
        <v>2918</v>
      </c>
      <c r="B627" t="s">
        <v>6030</v>
      </c>
      <c r="C627" t="s">
        <v>1456</v>
      </c>
      <c r="D627" t="s">
        <v>667</v>
      </c>
      <c r="E627" s="1">
        <v>-6205</v>
      </c>
      <c r="F627" t="s">
        <v>4151</v>
      </c>
      <c r="G627" t="s">
        <v>1098</v>
      </c>
      <c r="H627" t="s">
        <v>6031</v>
      </c>
      <c r="I627">
        <v>4</v>
      </c>
      <c r="J627" t="s">
        <v>5346</v>
      </c>
      <c r="K627">
        <v>80</v>
      </c>
      <c r="L627" t="s">
        <v>6032</v>
      </c>
      <c r="M627" t="s">
        <v>6033</v>
      </c>
      <c r="N627" t="s">
        <v>6034</v>
      </c>
      <c r="O627" t="s">
        <v>5990</v>
      </c>
      <c r="P627" t="s">
        <v>6035</v>
      </c>
      <c r="Q627" t="s">
        <v>6036</v>
      </c>
      <c r="R627" t="s">
        <v>6037</v>
      </c>
      <c r="S627" s="2">
        <v>30991</v>
      </c>
      <c r="T627">
        <v>0</v>
      </c>
      <c r="U627" t="s">
        <v>6038</v>
      </c>
      <c r="V627">
        <v>1</v>
      </c>
      <c r="W627">
        <v>2</v>
      </c>
      <c r="X627">
        <v>216053</v>
      </c>
      <c r="Y627" t="s">
        <v>6039</v>
      </c>
      <c r="Z627" t="s">
        <v>6036</v>
      </c>
      <c r="AA627" t="s">
        <v>5991</v>
      </c>
      <c r="AB627" t="s">
        <v>45</v>
      </c>
      <c r="AC627" t="s">
        <v>5992</v>
      </c>
    </row>
    <row r="628" spans="1:29">
      <c r="A628" t="s">
        <v>448</v>
      </c>
      <c r="B628" s="1">
        <v>113375</v>
      </c>
      <c r="C628" t="s">
        <v>699</v>
      </c>
      <c r="D628" t="s">
        <v>667</v>
      </c>
      <c r="E628" s="1">
        <v>-6465</v>
      </c>
      <c r="F628" t="s">
        <v>1189</v>
      </c>
      <c r="G628" t="s">
        <v>1190</v>
      </c>
      <c r="H628" t="s">
        <v>1191</v>
      </c>
      <c r="I628">
        <v>4</v>
      </c>
      <c r="J628" t="s">
        <v>255</v>
      </c>
      <c r="K628">
        <v>80</v>
      </c>
      <c r="L628" t="s">
        <v>1192</v>
      </c>
      <c r="M628" t="s">
        <v>1193</v>
      </c>
      <c r="N628" t="s">
        <v>1194</v>
      </c>
      <c r="O628" t="s">
        <v>5990</v>
      </c>
      <c r="P628" t="s">
        <v>1195</v>
      </c>
      <c r="Q628" t="s">
        <v>1196</v>
      </c>
      <c r="R628" t="s">
        <v>1197</v>
      </c>
      <c r="S628">
        <v>1982</v>
      </c>
      <c r="T628">
        <v>0</v>
      </c>
      <c r="U628" t="s">
        <v>1198</v>
      </c>
      <c r="V628">
        <v>1</v>
      </c>
      <c r="W628">
        <v>2</v>
      </c>
      <c r="X628">
        <v>188987</v>
      </c>
      <c r="Y628" t="s">
        <v>214</v>
      </c>
      <c r="Z628" t="s">
        <v>1196</v>
      </c>
      <c r="AA628" t="s">
        <v>5991</v>
      </c>
      <c r="AB628" t="s">
        <v>45</v>
      </c>
      <c r="AC628" t="s">
        <v>5992</v>
      </c>
    </row>
    <row r="629" spans="1:29">
      <c r="A629" t="s">
        <v>489</v>
      </c>
      <c r="B629" s="1">
        <v>113805</v>
      </c>
      <c r="C629" t="s">
        <v>1394</v>
      </c>
      <c r="D629" t="s">
        <v>667</v>
      </c>
      <c r="E629" s="1">
        <v>-7815</v>
      </c>
      <c r="F629" t="s">
        <v>593</v>
      </c>
      <c r="G629" t="s">
        <v>6040</v>
      </c>
      <c r="H629" t="s">
        <v>6041</v>
      </c>
      <c r="I629">
        <v>4</v>
      </c>
      <c r="J629" t="s">
        <v>1600</v>
      </c>
      <c r="K629">
        <v>79</v>
      </c>
      <c r="L629" t="s">
        <v>6042</v>
      </c>
      <c r="M629" t="s">
        <v>6043</v>
      </c>
      <c r="N629" t="s">
        <v>6044</v>
      </c>
      <c r="O629" t="s">
        <v>5990</v>
      </c>
      <c r="P629" t="s">
        <v>6045</v>
      </c>
      <c r="Q629" t="s">
        <v>6046</v>
      </c>
      <c r="R629" t="s">
        <v>6047</v>
      </c>
      <c r="S629" s="2">
        <v>30074</v>
      </c>
      <c r="T629">
        <v>0</v>
      </c>
      <c r="U629" t="s">
        <v>6048</v>
      </c>
      <c r="V629">
        <v>1</v>
      </c>
      <c r="W629">
        <v>2</v>
      </c>
      <c r="X629">
        <v>248440</v>
      </c>
      <c r="Y629" t="s">
        <v>2938</v>
      </c>
      <c r="Z629" t="s">
        <v>6046</v>
      </c>
      <c r="AA629" t="s">
        <v>5991</v>
      </c>
      <c r="AB629" t="s">
        <v>45</v>
      </c>
      <c r="AC629" t="s">
        <v>5992</v>
      </c>
    </row>
    <row r="630" spans="1:29">
      <c r="A630" t="s">
        <v>813</v>
      </c>
      <c r="B630" s="1">
        <v>94379</v>
      </c>
      <c r="C630" t="s">
        <v>33</v>
      </c>
      <c r="D630" t="s">
        <v>667</v>
      </c>
      <c r="E630" s="1">
        <v>-5025</v>
      </c>
      <c r="F630" t="s">
        <v>814</v>
      </c>
      <c r="G630" t="s">
        <v>815</v>
      </c>
      <c r="H630" t="s">
        <v>816</v>
      </c>
      <c r="I630">
        <v>4</v>
      </c>
      <c r="J630" t="s">
        <v>136</v>
      </c>
      <c r="K630">
        <v>77</v>
      </c>
      <c r="L630" t="s">
        <v>817</v>
      </c>
      <c r="M630" t="s">
        <v>818</v>
      </c>
      <c r="N630" t="s">
        <v>819</v>
      </c>
      <c r="O630" t="s">
        <v>5990</v>
      </c>
      <c r="P630" t="s">
        <v>820</v>
      </c>
      <c r="Q630" t="s">
        <v>821</v>
      </c>
      <c r="R630" t="s">
        <v>822</v>
      </c>
      <c r="S630" s="2">
        <v>29908</v>
      </c>
      <c r="T630">
        <v>0</v>
      </c>
      <c r="U630" t="s">
        <v>823</v>
      </c>
      <c r="V630">
        <v>1</v>
      </c>
      <c r="W630">
        <v>4</v>
      </c>
      <c r="X630">
        <v>175173</v>
      </c>
      <c r="Y630" t="s">
        <v>824</v>
      </c>
      <c r="Z630" t="s">
        <v>821</v>
      </c>
      <c r="AA630" t="s">
        <v>5991</v>
      </c>
      <c r="AB630" t="s">
        <v>45</v>
      </c>
      <c r="AC630" t="s">
        <v>5992</v>
      </c>
    </row>
    <row r="631" spans="1:29">
      <c r="A631" t="s">
        <v>1199</v>
      </c>
      <c r="B631" s="1">
        <v>122431</v>
      </c>
      <c r="C631" t="s">
        <v>2240</v>
      </c>
      <c r="D631" t="s">
        <v>667</v>
      </c>
      <c r="E631" s="1">
        <v>-4142</v>
      </c>
      <c r="F631" t="s">
        <v>6049</v>
      </c>
      <c r="G631" t="s">
        <v>6050</v>
      </c>
      <c r="H631" t="s">
        <v>773</v>
      </c>
      <c r="I631">
        <v>4</v>
      </c>
      <c r="J631" t="s">
        <v>6051</v>
      </c>
      <c r="K631">
        <v>76</v>
      </c>
      <c r="L631" t="s">
        <v>6052</v>
      </c>
      <c r="M631" t="s">
        <v>6053</v>
      </c>
      <c r="N631" t="s">
        <v>6054</v>
      </c>
      <c r="O631" t="s">
        <v>5990</v>
      </c>
      <c r="P631" t="s">
        <v>6055</v>
      </c>
      <c r="Q631" t="s">
        <v>6056</v>
      </c>
      <c r="R631" t="s">
        <v>6057</v>
      </c>
      <c r="S631" s="2">
        <v>29822</v>
      </c>
      <c r="T631" t="s">
        <v>2043</v>
      </c>
      <c r="U631" t="s">
        <v>6058</v>
      </c>
      <c r="V631">
        <v>1</v>
      </c>
      <c r="W631">
        <v>5</v>
      </c>
      <c r="X631">
        <v>213067</v>
      </c>
      <c r="Y631" t="s">
        <v>6059</v>
      </c>
      <c r="Z631" t="s">
        <v>6056</v>
      </c>
      <c r="AA631" t="s">
        <v>5991</v>
      </c>
      <c r="AB631" t="s">
        <v>45</v>
      </c>
      <c r="AC631" t="s">
        <v>5992</v>
      </c>
    </row>
    <row r="632" spans="1:29">
      <c r="A632" t="s">
        <v>1866</v>
      </c>
      <c r="B632" s="1">
        <v>129981</v>
      </c>
      <c r="C632" t="s">
        <v>3633</v>
      </c>
      <c r="D632" t="s">
        <v>667</v>
      </c>
      <c r="E632" s="1">
        <v>-6219</v>
      </c>
      <c r="F632" t="s">
        <v>6060</v>
      </c>
      <c r="G632" t="s">
        <v>770</v>
      </c>
      <c r="H632" t="s">
        <v>1240</v>
      </c>
      <c r="I632">
        <v>4</v>
      </c>
      <c r="J632" t="s">
        <v>926</v>
      </c>
      <c r="K632">
        <v>75</v>
      </c>
      <c r="L632" t="s">
        <v>6061</v>
      </c>
      <c r="M632" t="s">
        <v>6062</v>
      </c>
      <c r="N632" t="s">
        <v>1765</v>
      </c>
      <c r="O632" t="s">
        <v>5990</v>
      </c>
      <c r="P632" t="s">
        <v>6063</v>
      </c>
      <c r="Q632" t="s">
        <v>6064</v>
      </c>
      <c r="R632" t="s">
        <v>6065</v>
      </c>
      <c r="S632" s="2">
        <v>30685</v>
      </c>
      <c r="T632" t="s">
        <v>6066</v>
      </c>
      <c r="U632" t="s">
        <v>1770</v>
      </c>
      <c r="V632">
        <v>1</v>
      </c>
      <c r="W632">
        <v>0</v>
      </c>
      <c r="X632">
        <v>241600</v>
      </c>
      <c r="Y632" t="s">
        <v>1436</v>
      </c>
      <c r="Z632" t="s">
        <v>6064</v>
      </c>
      <c r="AA632" t="s">
        <v>5991</v>
      </c>
      <c r="AB632" t="s">
        <v>45</v>
      </c>
      <c r="AC632" t="s">
        <v>5992</v>
      </c>
    </row>
    <row r="633" spans="1:29">
      <c r="A633" t="s">
        <v>929</v>
      </c>
      <c r="B633" s="1">
        <v>84383</v>
      </c>
      <c r="C633" t="s">
        <v>1736</v>
      </c>
      <c r="D633" t="s">
        <v>667</v>
      </c>
      <c r="E633" s="1">
        <v>-13333</v>
      </c>
      <c r="F633" t="s">
        <v>1052</v>
      </c>
      <c r="G633" t="s">
        <v>1737</v>
      </c>
      <c r="H633" t="s">
        <v>1738</v>
      </c>
      <c r="I633">
        <v>4</v>
      </c>
      <c r="J633" t="s">
        <v>1739</v>
      </c>
      <c r="K633">
        <v>75</v>
      </c>
      <c r="L633" t="s">
        <v>1740</v>
      </c>
      <c r="M633" t="s">
        <v>1741</v>
      </c>
      <c r="N633" t="s">
        <v>1742</v>
      </c>
      <c r="O633" t="s">
        <v>5990</v>
      </c>
      <c r="P633" t="s">
        <v>1743</v>
      </c>
      <c r="Q633" t="s">
        <v>1744</v>
      </c>
      <c r="R633" t="s">
        <v>1745</v>
      </c>
      <c r="S633" s="2">
        <v>32509</v>
      </c>
      <c r="T633">
        <v>0</v>
      </c>
      <c r="U633" t="s">
        <v>1746</v>
      </c>
      <c r="V633">
        <v>1</v>
      </c>
      <c r="W633">
        <v>5</v>
      </c>
      <c r="X633">
        <v>256000</v>
      </c>
      <c r="Y633" t="s">
        <v>528</v>
      </c>
      <c r="Z633" t="s">
        <v>1744</v>
      </c>
      <c r="AA633" t="s">
        <v>5991</v>
      </c>
      <c r="AB633" t="s">
        <v>45</v>
      </c>
      <c r="AC633" t="s">
        <v>5992</v>
      </c>
    </row>
    <row r="634" spans="1:29">
      <c r="A634" t="s">
        <v>262</v>
      </c>
      <c r="B634" s="1">
        <v>117662</v>
      </c>
      <c r="C634" t="s">
        <v>1492</v>
      </c>
      <c r="D634" t="s">
        <v>667</v>
      </c>
      <c r="E634" s="1">
        <v>-6908</v>
      </c>
      <c r="F634" t="s">
        <v>59</v>
      </c>
      <c r="G634" t="s">
        <v>1142</v>
      </c>
      <c r="H634" t="s">
        <v>6067</v>
      </c>
      <c r="I634">
        <v>4</v>
      </c>
      <c r="J634" t="s">
        <v>5425</v>
      </c>
      <c r="K634">
        <v>74</v>
      </c>
      <c r="L634" t="s">
        <v>6068</v>
      </c>
      <c r="M634" t="s">
        <v>6069</v>
      </c>
      <c r="N634" t="s">
        <v>6070</v>
      </c>
      <c r="O634" t="s">
        <v>5990</v>
      </c>
      <c r="P634" t="s">
        <v>6071</v>
      </c>
      <c r="Q634" t="s">
        <v>6072</v>
      </c>
      <c r="R634" t="s">
        <v>6073</v>
      </c>
      <c r="S634">
        <v>1986</v>
      </c>
      <c r="T634" t="s">
        <v>6074</v>
      </c>
      <c r="U634" t="s">
        <v>6075</v>
      </c>
      <c r="V634">
        <v>0</v>
      </c>
      <c r="W634">
        <v>6</v>
      </c>
      <c r="X634">
        <v>310333</v>
      </c>
      <c r="Y634" t="s">
        <v>6076</v>
      </c>
      <c r="Z634" t="s">
        <v>6072</v>
      </c>
      <c r="AA634" t="s">
        <v>5991</v>
      </c>
      <c r="AB634" t="s">
        <v>45</v>
      </c>
      <c r="AC634" t="s">
        <v>5992</v>
      </c>
    </row>
    <row r="635" spans="1:29">
      <c r="A635" t="s">
        <v>6077</v>
      </c>
      <c r="B635" s="1">
        <v>106767</v>
      </c>
      <c r="C635" t="s">
        <v>1748</v>
      </c>
      <c r="D635" t="s">
        <v>667</v>
      </c>
      <c r="E635" s="1">
        <v>-4768</v>
      </c>
      <c r="F635" t="s">
        <v>3106</v>
      </c>
      <c r="G635" t="s">
        <v>6078</v>
      </c>
      <c r="H635" t="s">
        <v>688</v>
      </c>
      <c r="I635">
        <v>4</v>
      </c>
      <c r="J635" t="s">
        <v>2866</v>
      </c>
      <c r="K635">
        <v>73</v>
      </c>
      <c r="L635" t="s">
        <v>6079</v>
      </c>
      <c r="M635" t="s">
        <v>6080</v>
      </c>
      <c r="N635" t="s">
        <v>908</v>
      </c>
      <c r="O635" t="s">
        <v>5990</v>
      </c>
      <c r="P635" t="s">
        <v>6081</v>
      </c>
      <c r="Q635" t="s">
        <v>6082</v>
      </c>
      <c r="R635" t="s">
        <v>6083</v>
      </c>
      <c r="S635" s="2">
        <v>29427</v>
      </c>
      <c r="T635" t="s">
        <v>6084</v>
      </c>
      <c r="U635" t="s">
        <v>913</v>
      </c>
      <c r="V635">
        <v>0</v>
      </c>
      <c r="W635">
        <v>4</v>
      </c>
      <c r="X635">
        <v>312293</v>
      </c>
      <c r="Y635" t="s">
        <v>6085</v>
      </c>
      <c r="Z635" t="s">
        <v>6082</v>
      </c>
      <c r="AA635" t="s">
        <v>5991</v>
      </c>
      <c r="AB635" t="s">
        <v>45</v>
      </c>
      <c r="AC635" t="s">
        <v>5992</v>
      </c>
    </row>
    <row r="636" spans="1:29">
      <c r="A636" t="s">
        <v>1539</v>
      </c>
      <c r="B636" s="1">
        <v>81909</v>
      </c>
      <c r="C636" t="s">
        <v>5062</v>
      </c>
      <c r="D636" t="s">
        <v>667</v>
      </c>
      <c r="E636" s="1">
        <v>-9997</v>
      </c>
      <c r="F636" t="s">
        <v>2101</v>
      </c>
      <c r="G636" t="s">
        <v>2938</v>
      </c>
      <c r="H636" t="s">
        <v>1290</v>
      </c>
      <c r="I636">
        <v>4</v>
      </c>
      <c r="J636" t="s">
        <v>1564</v>
      </c>
      <c r="K636">
        <v>73</v>
      </c>
      <c r="L636" t="s">
        <v>6086</v>
      </c>
      <c r="M636" t="s">
        <v>6087</v>
      </c>
      <c r="N636" t="s">
        <v>6088</v>
      </c>
      <c r="O636" t="s">
        <v>5990</v>
      </c>
      <c r="P636" t="s">
        <v>6089</v>
      </c>
      <c r="Q636" t="s">
        <v>6090</v>
      </c>
      <c r="R636" t="s">
        <v>6091</v>
      </c>
      <c r="S636" s="2">
        <v>29861</v>
      </c>
      <c r="T636" t="s">
        <v>6092</v>
      </c>
      <c r="U636" t="s">
        <v>6093</v>
      </c>
      <c r="V636">
        <v>1</v>
      </c>
      <c r="W636">
        <v>2</v>
      </c>
      <c r="X636">
        <v>260573</v>
      </c>
      <c r="Y636" t="s">
        <v>211</v>
      </c>
      <c r="Z636" t="s">
        <v>6090</v>
      </c>
      <c r="AA636" t="s">
        <v>5991</v>
      </c>
      <c r="AB636" t="s">
        <v>45</v>
      </c>
      <c r="AC636" t="s">
        <v>5992</v>
      </c>
    </row>
    <row r="637" spans="1:29">
      <c r="A637" t="s">
        <v>513</v>
      </c>
      <c r="B637" s="1">
        <v>176941</v>
      </c>
      <c r="C637" t="s">
        <v>1618</v>
      </c>
      <c r="D637" t="s">
        <v>667</v>
      </c>
      <c r="E637" s="1">
        <v>-13741</v>
      </c>
      <c r="F637" t="s">
        <v>1619</v>
      </c>
      <c r="G637" t="s">
        <v>1620</v>
      </c>
      <c r="H637" t="s">
        <v>1621</v>
      </c>
      <c r="I637">
        <v>4</v>
      </c>
      <c r="J637" t="s">
        <v>1622</v>
      </c>
      <c r="K637">
        <v>73</v>
      </c>
      <c r="L637" t="s">
        <v>1623</v>
      </c>
      <c r="M637" t="s">
        <v>1624</v>
      </c>
      <c r="N637" t="s">
        <v>1625</v>
      </c>
      <c r="O637" t="s">
        <v>5990</v>
      </c>
      <c r="P637" t="s">
        <v>1626</v>
      </c>
      <c r="Q637" t="s">
        <v>1627</v>
      </c>
      <c r="R637" t="s">
        <v>1628</v>
      </c>
      <c r="S637" s="2">
        <v>31005</v>
      </c>
      <c r="T637" t="s">
        <v>1629</v>
      </c>
      <c r="U637" t="s">
        <v>1630</v>
      </c>
      <c r="V637">
        <v>1</v>
      </c>
      <c r="W637">
        <v>6</v>
      </c>
      <c r="X637">
        <v>288733</v>
      </c>
      <c r="Y637" t="s">
        <v>241</v>
      </c>
      <c r="Z637" t="s">
        <v>1627</v>
      </c>
      <c r="AA637" t="s">
        <v>5991</v>
      </c>
      <c r="AB637" t="s">
        <v>45</v>
      </c>
      <c r="AC637" t="s">
        <v>5992</v>
      </c>
    </row>
    <row r="638" spans="1:29">
      <c r="A638" t="s">
        <v>1300</v>
      </c>
      <c r="B638" s="1">
        <v>112113</v>
      </c>
      <c r="C638" t="s">
        <v>1265</v>
      </c>
      <c r="D638" t="s">
        <v>667</v>
      </c>
      <c r="E638" s="1">
        <v>-6491</v>
      </c>
      <c r="F638" t="s">
        <v>1301</v>
      </c>
      <c r="G638" t="s">
        <v>1302</v>
      </c>
      <c r="H638" t="s">
        <v>932</v>
      </c>
      <c r="I638">
        <v>4</v>
      </c>
      <c r="J638" t="s">
        <v>1303</v>
      </c>
      <c r="K638">
        <v>72</v>
      </c>
      <c r="L638" t="s">
        <v>1304</v>
      </c>
      <c r="M638" t="s">
        <v>1305</v>
      </c>
      <c r="N638" t="s">
        <v>1306</v>
      </c>
      <c r="O638" t="s">
        <v>5990</v>
      </c>
      <c r="P638" t="s">
        <v>1307</v>
      </c>
      <c r="Q638" t="s">
        <v>1308</v>
      </c>
      <c r="R638" t="s">
        <v>1309</v>
      </c>
      <c r="S638">
        <v>1977</v>
      </c>
      <c r="T638" t="s">
        <v>1310</v>
      </c>
      <c r="U638" t="s">
        <v>1311</v>
      </c>
      <c r="V638">
        <v>1</v>
      </c>
      <c r="W638">
        <v>7</v>
      </c>
      <c r="X638">
        <v>371413</v>
      </c>
      <c r="Y638" t="s">
        <v>1312</v>
      </c>
      <c r="Z638" t="s">
        <v>1308</v>
      </c>
      <c r="AA638" t="s">
        <v>5991</v>
      </c>
      <c r="AB638" t="s">
        <v>45</v>
      </c>
      <c r="AC638" t="s">
        <v>5992</v>
      </c>
    </row>
    <row r="639" spans="1:29">
      <c r="A639" t="s">
        <v>755</v>
      </c>
      <c r="B639" s="1">
        <v>122093</v>
      </c>
      <c r="C639" t="s">
        <v>983</v>
      </c>
      <c r="D639" t="s">
        <v>667</v>
      </c>
      <c r="E639" s="1">
        <v>-6042</v>
      </c>
      <c r="F639" t="s">
        <v>984</v>
      </c>
      <c r="G639" t="s">
        <v>985</v>
      </c>
      <c r="H639" t="s">
        <v>986</v>
      </c>
      <c r="I639">
        <v>4</v>
      </c>
      <c r="J639" t="s">
        <v>987</v>
      </c>
      <c r="K639">
        <v>72</v>
      </c>
      <c r="L639" t="s">
        <v>988</v>
      </c>
      <c r="M639" t="s">
        <v>989</v>
      </c>
      <c r="N639" t="s">
        <v>990</v>
      </c>
      <c r="O639" t="s">
        <v>5990</v>
      </c>
      <c r="P639" t="s">
        <v>991</v>
      </c>
      <c r="Q639" t="s">
        <v>992</v>
      </c>
      <c r="R639" t="s">
        <v>993</v>
      </c>
      <c r="S639" s="2">
        <v>30837</v>
      </c>
      <c r="T639" t="s">
        <v>994</v>
      </c>
      <c r="U639" t="s">
        <v>995</v>
      </c>
      <c r="V639">
        <v>1</v>
      </c>
      <c r="W639">
        <v>4</v>
      </c>
      <c r="X639">
        <v>278680</v>
      </c>
      <c r="Y639" t="s">
        <v>996</v>
      </c>
      <c r="Z639" t="s">
        <v>992</v>
      </c>
      <c r="AA639" t="s">
        <v>5991</v>
      </c>
      <c r="AB639" t="s">
        <v>45</v>
      </c>
      <c r="AC639" t="s">
        <v>5992</v>
      </c>
    </row>
    <row r="640" spans="1:29">
      <c r="A640" t="s">
        <v>1324</v>
      </c>
      <c r="B640" t="s">
        <v>6094</v>
      </c>
      <c r="C640" t="s">
        <v>4462</v>
      </c>
      <c r="D640" t="s">
        <v>667</v>
      </c>
      <c r="E640" s="1">
        <v>-13487</v>
      </c>
      <c r="F640" t="s">
        <v>2558</v>
      </c>
      <c r="G640" t="s">
        <v>4840</v>
      </c>
      <c r="H640" t="s">
        <v>1738</v>
      </c>
      <c r="I640">
        <v>4</v>
      </c>
      <c r="J640" t="s">
        <v>1326</v>
      </c>
      <c r="K640">
        <v>73</v>
      </c>
      <c r="L640" t="s">
        <v>6095</v>
      </c>
      <c r="M640" t="s">
        <v>6096</v>
      </c>
      <c r="N640" t="s">
        <v>1742</v>
      </c>
      <c r="O640" t="s">
        <v>5990</v>
      </c>
      <c r="P640" t="s">
        <v>6097</v>
      </c>
      <c r="Q640" t="s">
        <v>6098</v>
      </c>
      <c r="R640" t="s">
        <v>6099</v>
      </c>
      <c r="S640" s="2">
        <v>32509</v>
      </c>
      <c r="T640" t="s">
        <v>6100</v>
      </c>
      <c r="U640" t="s">
        <v>1746</v>
      </c>
      <c r="V640">
        <v>1</v>
      </c>
      <c r="W640">
        <v>7</v>
      </c>
      <c r="X640">
        <v>178360</v>
      </c>
      <c r="Y640" t="s">
        <v>249</v>
      </c>
      <c r="Z640" t="s">
        <v>6098</v>
      </c>
      <c r="AA640" t="s">
        <v>5991</v>
      </c>
      <c r="AB640" t="s">
        <v>45</v>
      </c>
      <c r="AC640" t="s">
        <v>5992</v>
      </c>
    </row>
    <row r="641" spans="1:29">
      <c r="A641" t="s">
        <v>1652</v>
      </c>
      <c r="B641" s="1">
        <v>84989</v>
      </c>
      <c r="C641" t="s">
        <v>1653</v>
      </c>
      <c r="D641" t="s">
        <v>667</v>
      </c>
      <c r="E641" s="1">
        <v>-4899</v>
      </c>
      <c r="F641" t="s">
        <v>1654</v>
      </c>
      <c r="G641" t="s">
        <v>1655</v>
      </c>
      <c r="H641" t="s">
        <v>1656</v>
      </c>
      <c r="I641">
        <v>4</v>
      </c>
      <c r="J641" t="s">
        <v>1657</v>
      </c>
      <c r="K641">
        <v>72</v>
      </c>
      <c r="L641" t="s">
        <v>1658</v>
      </c>
      <c r="M641" t="s">
        <v>1659</v>
      </c>
      <c r="N641" t="s">
        <v>1660</v>
      </c>
      <c r="O641" t="s">
        <v>5990</v>
      </c>
      <c r="P641" t="s">
        <v>1661</v>
      </c>
      <c r="Q641" t="s">
        <v>1662</v>
      </c>
      <c r="R641" t="s">
        <v>1663</v>
      </c>
      <c r="S641" s="2">
        <v>31992</v>
      </c>
      <c r="T641">
        <v>0</v>
      </c>
      <c r="U641" t="s">
        <v>1664</v>
      </c>
      <c r="V641">
        <v>0</v>
      </c>
      <c r="W641">
        <v>1</v>
      </c>
      <c r="X641">
        <v>267307</v>
      </c>
      <c r="Y641" t="s">
        <v>1477</v>
      </c>
      <c r="Z641" t="s">
        <v>1662</v>
      </c>
      <c r="AA641" t="s">
        <v>5991</v>
      </c>
      <c r="AB641" t="s">
        <v>45</v>
      </c>
      <c r="AC641" t="s">
        <v>5992</v>
      </c>
    </row>
    <row r="642" spans="1:29">
      <c r="A642" t="s">
        <v>5156</v>
      </c>
      <c r="B642" s="1">
        <v>150036</v>
      </c>
      <c r="C642" t="s">
        <v>2220</v>
      </c>
      <c r="D642" t="s">
        <v>667</v>
      </c>
      <c r="E642" s="1">
        <v>-3977</v>
      </c>
      <c r="F642" t="s">
        <v>4712</v>
      </c>
      <c r="G642" t="s">
        <v>1096</v>
      </c>
      <c r="H642" t="s">
        <v>853</v>
      </c>
      <c r="I642">
        <v>4</v>
      </c>
      <c r="J642" t="s">
        <v>6004</v>
      </c>
      <c r="K642">
        <v>72</v>
      </c>
      <c r="L642" t="s">
        <v>6101</v>
      </c>
      <c r="M642" t="s">
        <v>6102</v>
      </c>
      <c r="N642" t="s">
        <v>6023</v>
      </c>
      <c r="O642" t="s">
        <v>5990</v>
      </c>
      <c r="P642" t="s">
        <v>6103</v>
      </c>
      <c r="Q642" t="s">
        <v>6104</v>
      </c>
      <c r="R642" t="s">
        <v>6105</v>
      </c>
      <c r="S642" s="2">
        <v>31640</v>
      </c>
      <c r="T642" t="s">
        <v>187</v>
      </c>
      <c r="U642" t="s">
        <v>6028</v>
      </c>
      <c r="V642">
        <v>1</v>
      </c>
      <c r="W642">
        <v>7</v>
      </c>
      <c r="X642">
        <v>308667</v>
      </c>
      <c r="Y642" t="s">
        <v>715</v>
      </c>
      <c r="Z642" t="s">
        <v>6104</v>
      </c>
      <c r="AA642" t="s">
        <v>5991</v>
      </c>
      <c r="AB642" t="s">
        <v>45</v>
      </c>
      <c r="AC642" t="s">
        <v>5992</v>
      </c>
    </row>
    <row r="643" spans="1:29">
      <c r="A643" t="s">
        <v>1759</v>
      </c>
      <c r="B643" s="1">
        <v>141167</v>
      </c>
      <c r="C643" t="s">
        <v>1760</v>
      </c>
      <c r="D643" t="s">
        <v>667</v>
      </c>
      <c r="E643" s="1">
        <v>-5436</v>
      </c>
      <c r="F643" t="s">
        <v>1761</v>
      </c>
      <c r="G643" t="s">
        <v>1762</v>
      </c>
      <c r="H643" t="s">
        <v>1240</v>
      </c>
      <c r="I643">
        <v>4</v>
      </c>
      <c r="J643" t="s">
        <v>1596</v>
      </c>
      <c r="K643">
        <v>72</v>
      </c>
      <c r="L643" t="s">
        <v>1763</v>
      </c>
      <c r="M643" t="s">
        <v>1764</v>
      </c>
      <c r="N643" t="s">
        <v>1765</v>
      </c>
      <c r="O643" t="s">
        <v>5990</v>
      </c>
      <c r="P643" t="s">
        <v>1766</v>
      </c>
      <c r="Q643" t="s">
        <v>1767</v>
      </c>
      <c r="R643" t="s">
        <v>1768</v>
      </c>
      <c r="S643" s="2">
        <v>30685</v>
      </c>
      <c r="T643" t="s">
        <v>1769</v>
      </c>
      <c r="U643" t="s">
        <v>1770</v>
      </c>
      <c r="V643">
        <v>1</v>
      </c>
      <c r="W643">
        <v>8</v>
      </c>
      <c r="X643">
        <v>210227</v>
      </c>
      <c r="Y643" t="s">
        <v>1771</v>
      </c>
      <c r="Z643" t="s">
        <v>1767</v>
      </c>
      <c r="AA643" t="s">
        <v>5991</v>
      </c>
      <c r="AB643" t="s">
        <v>45</v>
      </c>
      <c r="AC643" t="s">
        <v>5992</v>
      </c>
    </row>
    <row r="644" spans="1:29">
      <c r="A644" t="s">
        <v>4393</v>
      </c>
      <c r="B644" t="s">
        <v>6106</v>
      </c>
      <c r="C644" t="s">
        <v>118</v>
      </c>
      <c r="D644" t="s">
        <v>667</v>
      </c>
      <c r="E644" s="1">
        <v>-6157</v>
      </c>
      <c r="F644" t="s">
        <v>3643</v>
      </c>
      <c r="G644" t="s">
        <v>436</v>
      </c>
      <c r="H644" t="s">
        <v>6031</v>
      </c>
      <c r="I644">
        <v>4</v>
      </c>
      <c r="J644" t="s">
        <v>6107</v>
      </c>
      <c r="K644">
        <v>71</v>
      </c>
      <c r="L644" t="s">
        <v>6108</v>
      </c>
      <c r="M644" t="s">
        <v>6109</v>
      </c>
      <c r="N644" t="s">
        <v>6034</v>
      </c>
      <c r="O644" t="s">
        <v>5990</v>
      </c>
      <c r="P644" t="s">
        <v>6110</v>
      </c>
      <c r="Q644" t="s">
        <v>6111</v>
      </c>
      <c r="R644" t="s">
        <v>6112</v>
      </c>
      <c r="S644" s="2">
        <v>30991</v>
      </c>
      <c r="T644" t="s">
        <v>6113</v>
      </c>
      <c r="U644" t="s">
        <v>6038</v>
      </c>
      <c r="V644">
        <v>1</v>
      </c>
      <c r="W644">
        <v>4</v>
      </c>
      <c r="X644">
        <v>233270</v>
      </c>
      <c r="Y644" t="s">
        <v>6114</v>
      </c>
      <c r="Z644" t="s">
        <v>6111</v>
      </c>
      <c r="AA644" t="s">
        <v>5991</v>
      </c>
      <c r="AB644" t="s">
        <v>45</v>
      </c>
      <c r="AC644" t="s">
        <v>5992</v>
      </c>
    </row>
    <row r="645" spans="1:29">
      <c r="A645" t="s">
        <v>642</v>
      </c>
      <c r="B645" s="1">
        <v>129885</v>
      </c>
      <c r="C645" t="s">
        <v>2631</v>
      </c>
      <c r="D645" t="s">
        <v>667</v>
      </c>
      <c r="E645" s="1">
        <v>-6727</v>
      </c>
      <c r="F645" t="s">
        <v>491</v>
      </c>
      <c r="G645" t="s">
        <v>3457</v>
      </c>
      <c r="H645" t="s">
        <v>1191</v>
      </c>
      <c r="I645">
        <v>4</v>
      </c>
      <c r="J645" t="s">
        <v>668</v>
      </c>
      <c r="K645">
        <v>71</v>
      </c>
      <c r="L645" t="s">
        <v>6115</v>
      </c>
      <c r="M645" t="s">
        <v>6116</v>
      </c>
      <c r="N645" t="s">
        <v>1194</v>
      </c>
      <c r="O645" t="s">
        <v>5990</v>
      </c>
      <c r="P645" t="s">
        <v>6117</v>
      </c>
      <c r="Q645" t="s">
        <v>6118</v>
      </c>
      <c r="R645" t="s">
        <v>6119</v>
      </c>
      <c r="S645">
        <v>1982</v>
      </c>
      <c r="T645">
        <v>0</v>
      </c>
      <c r="U645" t="s">
        <v>1198</v>
      </c>
      <c r="V645">
        <v>0</v>
      </c>
      <c r="W645">
        <v>9</v>
      </c>
      <c r="X645">
        <v>222427</v>
      </c>
      <c r="Y645" t="s">
        <v>4095</v>
      </c>
      <c r="Z645" t="s">
        <v>6118</v>
      </c>
      <c r="AA645" t="s">
        <v>5991</v>
      </c>
      <c r="AB645" t="s">
        <v>45</v>
      </c>
      <c r="AC645" t="s">
        <v>5992</v>
      </c>
    </row>
    <row r="646" spans="1:29">
      <c r="A646" t="s">
        <v>5642</v>
      </c>
      <c r="B646" s="1">
        <v>159756</v>
      </c>
      <c r="C646" t="s">
        <v>318</v>
      </c>
      <c r="D646" t="s">
        <v>667</v>
      </c>
      <c r="E646" s="1">
        <v>-4601</v>
      </c>
      <c r="F646" t="s">
        <v>3922</v>
      </c>
      <c r="G646" t="s">
        <v>119</v>
      </c>
      <c r="H646" t="s">
        <v>5643</v>
      </c>
      <c r="I646">
        <v>4</v>
      </c>
      <c r="J646" t="s">
        <v>5644</v>
      </c>
      <c r="K646">
        <v>71</v>
      </c>
      <c r="L646" t="s">
        <v>5645</v>
      </c>
      <c r="M646" t="s">
        <v>5646</v>
      </c>
      <c r="N646" t="s">
        <v>5647</v>
      </c>
      <c r="O646" t="s">
        <v>5990</v>
      </c>
      <c r="P646" t="s">
        <v>5648</v>
      </c>
      <c r="Q646" t="s">
        <v>5649</v>
      </c>
      <c r="R646" t="s">
        <v>5650</v>
      </c>
      <c r="S646">
        <v>1983</v>
      </c>
      <c r="T646" t="s">
        <v>5651</v>
      </c>
      <c r="U646" t="s">
        <v>5652</v>
      </c>
      <c r="V646">
        <v>0</v>
      </c>
      <c r="W646">
        <v>4</v>
      </c>
      <c r="X646">
        <v>252733</v>
      </c>
      <c r="Y646" t="s">
        <v>1512</v>
      </c>
      <c r="Z646" t="s">
        <v>5649</v>
      </c>
      <c r="AA646" t="s">
        <v>5991</v>
      </c>
      <c r="AB646" t="s">
        <v>45</v>
      </c>
      <c r="AC646" t="s">
        <v>5992</v>
      </c>
    </row>
    <row r="647" spans="1:29">
      <c r="A647" t="s">
        <v>360</v>
      </c>
      <c r="B647" s="1">
        <v>109975</v>
      </c>
      <c r="C647" t="s">
        <v>1199</v>
      </c>
      <c r="D647" t="s">
        <v>667</v>
      </c>
      <c r="E647" s="1">
        <v>-6472</v>
      </c>
      <c r="F647" t="s">
        <v>1200</v>
      </c>
      <c r="G647" t="s">
        <v>225</v>
      </c>
      <c r="H647" t="s">
        <v>1201</v>
      </c>
      <c r="I647">
        <v>4</v>
      </c>
      <c r="J647" t="s">
        <v>1202</v>
      </c>
      <c r="K647">
        <v>71</v>
      </c>
      <c r="L647" t="s">
        <v>1203</v>
      </c>
      <c r="M647" t="s">
        <v>1204</v>
      </c>
      <c r="N647" t="s">
        <v>1205</v>
      </c>
      <c r="O647" t="s">
        <v>5990</v>
      </c>
      <c r="P647" t="s">
        <v>1206</v>
      </c>
      <c r="Q647" t="s">
        <v>1207</v>
      </c>
      <c r="R647" t="s">
        <v>1208</v>
      </c>
      <c r="S647" s="2">
        <v>29399</v>
      </c>
      <c r="T647" t="s">
        <v>1209</v>
      </c>
      <c r="U647" t="s">
        <v>1210</v>
      </c>
      <c r="V647">
        <v>0</v>
      </c>
      <c r="W647">
        <v>5</v>
      </c>
      <c r="X647">
        <v>214653</v>
      </c>
      <c r="Y647" t="s">
        <v>1211</v>
      </c>
      <c r="Z647" t="s">
        <v>1207</v>
      </c>
      <c r="AA647" t="s">
        <v>5991</v>
      </c>
      <c r="AB647" t="s">
        <v>45</v>
      </c>
      <c r="AC647" t="s">
        <v>5992</v>
      </c>
    </row>
    <row r="648" spans="1:29">
      <c r="A648" t="s">
        <v>304</v>
      </c>
      <c r="B648" s="1">
        <v>127568</v>
      </c>
      <c r="C648" t="s">
        <v>447</v>
      </c>
      <c r="D648" t="s">
        <v>667</v>
      </c>
      <c r="E648" s="1">
        <v>-7772</v>
      </c>
      <c r="F648" t="s">
        <v>6120</v>
      </c>
      <c r="G648" t="s">
        <v>1457</v>
      </c>
      <c r="H648" t="s">
        <v>6121</v>
      </c>
      <c r="I648">
        <v>4</v>
      </c>
      <c r="J648" t="s">
        <v>4649</v>
      </c>
      <c r="K648">
        <v>71</v>
      </c>
      <c r="L648" t="s">
        <v>6122</v>
      </c>
      <c r="M648" t="s">
        <v>6123</v>
      </c>
      <c r="N648" t="s">
        <v>6124</v>
      </c>
      <c r="O648" t="s">
        <v>5990</v>
      </c>
      <c r="P648" t="s">
        <v>6125</v>
      </c>
      <c r="Q648" t="s">
        <v>6126</v>
      </c>
      <c r="R648" t="s">
        <v>6127</v>
      </c>
      <c r="S648" s="2">
        <v>30081</v>
      </c>
      <c r="T648" t="s">
        <v>5028</v>
      </c>
      <c r="U648" t="s">
        <v>6128</v>
      </c>
      <c r="V648">
        <v>1</v>
      </c>
      <c r="W648">
        <v>0</v>
      </c>
      <c r="X648">
        <v>220627</v>
      </c>
      <c r="Y648" t="s">
        <v>4243</v>
      </c>
      <c r="Z648" t="s">
        <v>6126</v>
      </c>
      <c r="AA648" t="s">
        <v>5991</v>
      </c>
      <c r="AB648" t="s">
        <v>45</v>
      </c>
      <c r="AC648" t="s">
        <v>5992</v>
      </c>
    </row>
    <row r="649" spans="1:29">
      <c r="A649" t="s">
        <v>2895</v>
      </c>
      <c r="B649" s="1">
        <v>190818</v>
      </c>
      <c r="C649" t="s">
        <v>983</v>
      </c>
      <c r="D649" t="s">
        <v>667</v>
      </c>
      <c r="E649" t="s">
        <v>6129</v>
      </c>
      <c r="F649" t="s">
        <v>4253</v>
      </c>
      <c r="G649" t="s">
        <v>332</v>
      </c>
      <c r="H649" t="s">
        <v>3588</v>
      </c>
      <c r="I649">
        <v>4</v>
      </c>
      <c r="J649" t="s">
        <v>474</v>
      </c>
      <c r="K649">
        <v>71</v>
      </c>
      <c r="L649" t="s">
        <v>6130</v>
      </c>
      <c r="M649" t="s">
        <v>6131</v>
      </c>
      <c r="N649" t="s">
        <v>6132</v>
      </c>
      <c r="O649" t="s">
        <v>5990</v>
      </c>
      <c r="P649" t="s">
        <v>6133</v>
      </c>
      <c r="Q649" t="s">
        <v>6134</v>
      </c>
      <c r="R649" t="s">
        <v>6135</v>
      </c>
      <c r="S649">
        <v>1984</v>
      </c>
      <c r="T649" t="s">
        <v>211</v>
      </c>
      <c r="U649" t="s">
        <v>6136</v>
      </c>
      <c r="V649">
        <v>1</v>
      </c>
      <c r="W649">
        <v>11</v>
      </c>
      <c r="X649">
        <v>408173</v>
      </c>
      <c r="Y649" t="s">
        <v>6137</v>
      </c>
      <c r="Z649" t="s">
        <v>6134</v>
      </c>
      <c r="AA649" t="s">
        <v>5991</v>
      </c>
      <c r="AB649" t="s">
        <v>45</v>
      </c>
      <c r="AC649" t="s">
        <v>5992</v>
      </c>
    </row>
    <row r="650" spans="1:29">
      <c r="A650" t="s">
        <v>1050</v>
      </c>
      <c r="B650" s="1">
        <v>97909</v>
      </c>
      <c r="C650" t="s">
        <v>6138</v>
      </c>
      <c r="D650" t="s">
        <v>667</v>
      </c>
      <c r="E650" s="1">
        <v>-10407</v>
      </c>
      <c r="F650" t="s">
        <v>348</v>
      </c>
      <c r="G650" t="s">
        <v>3798</v>
      </c>
      <c r="H650" t="s">
        <v>5993</v>
      </c>
      <c r="I650">
        <v>4</v>
      </c>
      <c r="J650" t="s">
        <v>6059</v>
      </c>
      <c r="K650">
        <v>71</v>
      </c>
      <c r="L650" t="s">
        <v>6139</v>
      </c>
      <c r="M650" t="s">
        <v>6140</v>
      </c>
      <c r="N650" t="s">
        <v>6141</v>
      </c>
      <c r="O650" t="s">
        <v>5990</v>
      </c>
      <c r="P650" t="s">
        <v>6142</v>
      </c>
      <c r="Q650" t="s">
        <v>6143</v>
      </c>
      <c r="R650" t="s">
        <v>6144</v>
      </c>
      <c r="S650" s="2">
        <v>31103</v>
      </c>
      <c r="T650" t="s">
        <v>6145</v>
      </c>
      <c r="U650" t="s">
        <v>6146</v>
      </c>
      <c r="V650">
        <v>1</v>
      </c>
      <c r="W650">
        <v>0</v>
      </c>
      <c r="X650">
        <v>393667</v>
      </c>
      <c r="Y650" t="s">
        <v>2766</v>
      </c>
      <c r="Z650" t="s">
        <v>6143</v>
      </c>
      <c r="AA650" t="s">
        <v>5991</v>
      </c>
      <c r="AB650" t="s">
        <v>45</v>
      </c>
      <c r="AC650" t="s">
        <v>5992</v>
      </c>
    </row>
    <row r="651" spans="1:29">
      <c r="A651" t="s">
        <v>851</v>
      </c>
      <c r="B651" s="1">
        <v>152445</v>
      </c>
      <c r="C651" t="s">
        <v>641</v>
      </c>
      <c r="D651" t="s">
        <v>667</v>
      </c>
      <c r="E651" s="1">
        <v>-4321</v>
      </c>
      <c r="F651" t="s">
        <v>476</v>
      </c>
      <c r="G651" t="s">
        <v>852</v>
      </c>
      <c r="H651" t="s">
        <v>853</v>
      </c>
      <c r="I651">
        <v>4</v>
      </c>
      <c r="J651" t="s">
        <v>854</v>
      </c>
      <c r="K651">
        <v>72</v>
      </c>
      <c r="L651" t="s">
        <v>855</v>
      </c>
      <c r="M651" t="s">
        <v>856</v>
      </c>
      <c r="N651" t="s">
        <v>853</v>
      </c>
      <c r="O651" t="s">
        <v>5990</v>
      </c>
      <c r="P651" t="s">
        <v>857</v>
      </c>
      <c r="Q651" t="s">
        <v>858</v>
      </c>
      <c r="R651" t="s">
        <v>859</v>
      </c>
      <c r="S651" s="2">
        <v>30704</v>
      </c>
      <c r="T651" t="s">
        <v>860</v>
      </c>
      <c r="U651" t="s">
        <v>861</v>
      </c>
      <c r="V651">
        <v>0</v>
      </c>
      <c r="W651">
        <v>9</v>
      </c>
      <c r="X651">
        <v>230667</v>
      </c>
      <c r="Y651" t="s">
        <v>862</v>
      </c>
      <c r="Z651" t="s">
        <v>858</v>
      </c>
      <c r="AA651" t="s">
        <v>5991</v>
      </c>
      <c r="AB651" t="s">
        <v>45</v>
      </c>
      <c r="AC651" t="s">
        <v>5992</v>
      </c>
    </row>
    <row r="652" spans="1:29">
      <c r="A652" t="s">
        <v>6147</v>
      </c>
      <c r="B652" s="1">
        <v>131707</v>
      </c>
      <c r="C652" t="s">
        <v>4575</v>
      </c>
      <c r="D652" t="s">
        <v>667</v>
      </c>
      <c r="E652" s="1">
        <v>-4809</v>
      </c>
      <c r="F652" t="s">
        <v>3052</v>
      </c>
      <c r="G652" t="s">
        <v>2908</v>
      </c>
      <c r="H652" t="s">
        <v>6003</v>
      </c>
      <c r="I652">
        <v>4</v>
      </c>
      <c r="J652" t="s">
        <v>3726</v>
      </c>
      <c r="K652">
        <v>70</v>
      </c>
      <c r="L652" t="s">
        <v>6148</v>
      </c>
      <c r="M652" t="s">
        <v>6149</v>
      </c>
      <c r="N652" t="s">
        <v>6150</v>
      </c>
      <c r="O652" t="s">
        <v>5990</v>
      </c>
      <c r="P652" t="s">
        <v>6151</v>
      </c>
      <c r="Q652" t="s">
        <v>6152</v>
      </c>
      <c r="R652" t="s">
        <v>6153</v>
      </c>
      <c r="S652" s="2">
        <v>30348</v>
      </c>
      <c r="T652" t="s">
        <v>6154</v>
      </c>
      <c r="U652" t="s">
        <v>6155</v>
      </c>
      <c r="V652">
        <v>0</v>
      </c>
      <c r="W652">
        <v>4</v>
      </c>
      <c r="X652">
        <v>323453</v>
      </c>
      <c r="Y652" t="s">
        <v>595</v>
      </c>
      <c r="Z652" t="s">
        <v>6152</v>
      </c>
      <c r="AA652" t="s">
        <v>5991</v>
      </c>
      <c r="AB652" t="s">
        <v>45</v>
      </c>
      <c r="AC652" t="s">
        <v>5992</v>
      </c>
    </row>
    <row r="653" spans="1:29">
      <c r="A653" t="s">
        <v>6147</v>
      </c>
      <c r="B653" s="1">
        <v>117486</v>
      </c>
      <c r="C653" t="s">
        <v>1552</v>
      </c>
      <c r="D653" t="s">
        <v>667</v>
      </c>
      <c r="E653" s="1">
        <v>-4906</v>
      </c>
      <c r="F653" t="s">
        <v>211</v>
      </c>
      <c r="G653" t="s">
        <v>1759</v>
      </c>
      <c r="H653" t="s">
        <v>986</v>
      </c>
      <c r="I653">
        <v>4</v>
      </c>
      <c r="J653" t="s">
        <v>657</v>
      </c>
      <c r="K653">
        <v>70</v>
      </c>
      <c r="L653" t="s">
        <v>6156</v>
      </c>
      <c r="M653" t="s">
        <v>6157</v>
      </c>
      <c r="N653" t="s">
        <v>990</v>
      </c>
      <c r="O653" t="s">
        <v>5990</v>
      </c>
      <c r="P653" t="s">
        <v>6158</v>
      </c>
      <c r="Q653" t="s">
        <v>6159</v>
      </c>
      <c r="R653" t="s">
        <v>6160</v>
      </c>
      <c r="S653" s="2">
        <v>30837</v>
      </c>
      <c r="T653">
        <v>0</v>
      </c>
      <c r="U653" t="s">
        <v>995</v>
      </c>
      <c r="V653">
        <v>1</v>
      </c>
      <c r="W653">
        <v>9</v>
      </c>
      <c r="X653">
        <v>254733</v>
      </c>
      <c r="Y653" t="s">
        <v>6161</v>
      </c>
      <c r="Z653" t="s">
        <v>6159</v>
      </c>
      <c r="AA653" t="s">
        <v>5991</v>
      </c>
      <c r="AB653" t="s">
        <v>45</v>
      </c>
      <c r="AC653" t="s">
        <v>5992</v>
      </c>
    </row>
    <row r="654" spans="1:29">
      <c r="A654" t="s">
        <v>1679</v>
      </c>
      <c r="B654" s="1">
        <v>127402</v>
      </c>
      <c r="C654" t="s">
        <v>392</v>
      </c>
      <c r="D654" t="s">
        <v>667</v>
      </c>
      <c r="E654" t="s">
        <v>1680</v>
      </c>
      <c r="F654" t="s">
        <v>528</v>
      </c>
      <c r="G654" t="s">
        <v>970</v>
      </c>
      <c r="H654" t="s">
        <v>1681</v>
      </c>
      <c r="I654">
        <v>4</v>
      </c>
      <c r="J654" t="s">
        <v>35</v>
      </c>
      <c r="K654">
        <v>70</v>
      </c>
      <c r="L654" t="s">
        <v>1682</v>
      </c>
      <c r="M654" t="s">
        <v>1683</v>
      </c>
      <c r="N654" t="s">
        <v>1684</v>
      </c>
      <c r="O654" t="s">
        <v>5990</v>
      </c>
      <c r="P654" t="s">
        <v>1685</v>
      </c>
      <c r="Q654" t="s">
        <v>1686</v>
      </c>
      <c r="R654" t="s">
        <v>1687</v>
      </c>
      <c r="S654" s="2">
        <v>29438</v>
      </c>
      <c r="T654" t="s">
        <v>1688</v>
      </c>
      <c r="U654" t="s">
        <v>1689</v>
      </c>
      <c r="V654">
        <v>1</v>
      </c>
      <c r="W654">
        <v>4</v>
      </c>
      <c r="X654">
        <v>171267</v>
      </c>
      <c r="Y654" t="s">
        <v>49</v>
      </c>
      <c r="Z654" t="s">
        <v>1686</v>
      </c>
      <c r="AA654" t="s">
        <v>5991</v>
      </c>
      <c r="AB654" t="s">
        <v>45</v>
      </c>
      <c r="AC654" t="s">
        <v>5992</v>
      </c>
    </row>
    <row r="655" spans="1:29">
      <c r="A655" t="s">
        <v>1338</v>
      </c>
      <c r="B655" s="1">
        <v>148366</v>
      </c>
      <c r="C655" t="s">
        <v>5692</v>
      </c>
      <c r="D655" t="s">
        <v>667</v>
      </c>
      <c r="E655" t="s">
        <v>5693</v>
      </c>
      <c r="F655" t="s">
        <v>2090</v>
      </c>
      <c r="G655" t="s">
        <v>1359</v>
      </c>
      <c r="H655" t="s">
        <v>5694</v>
      </c>
      <c r="I655">
        <v>4</v>
      </c>
      <c r="J655" t="s">
        <v>1884</v>
      </c>
      <c r="K655">
        <v>69</v>
      </c>
      <c r="L655" t="s">
        <v>5695</v>
      </c>
      <c r="M655" t="s">
        <v>5696</v>
      </c>
      <c r="N655" t="s">
        <v>5694</v>
      </c>
      <c r="O655" t="s">
        <v>5990</v>
      </c>
      <c r="P655" t="s">
        <v>5697</v>
      </c>
      <c r="Q655" t="s">
        <v>5698</v>
      </c>
      <c r="R655" t="s">
        <v>5699</v>
      </c>
      <c r="S655" s="2">
        <v>32143</v>
      </c>
      <c r="T655" t="s">
        <v>5700</v>
      </c>
      <c r="U655" t="s">
        <v>5701</v>
      </c>
      <c r="V655">
        <v>0</v>
      </c>
      <c r="W655">
        <v>11</v>
      </c>
      <c r="X655">
        <v>204867</v>
      </c>
      <c r="Y655" t="s">
        <v>5702</v>
      </c>
      <c r="Z655" t="s">
        <v>5698</v>
      </c>
      <c r="AA655" t="s">
        <v>5991</v>
      </c>
      <c r="AB655" t="s">
        <v>45</v>
      </c>
      <c r="AC655" t="s">
        <v>5992</v>
      </c>
    </row>
    <row r="656" spans="1:29">
      <c r="A656" t="s">
        <v>2374</v>
      </c>
      <c r="B656" s="1">
        <v>111457</v>
      </c>
      <c r="C656" t="s">
        <v>3670</v>
      </c>
      <c r="D656" t="s">
        <v>667</v>
      </c>
      <c r="E656" s="1">
        <v>-7299</v>
      </c>
      <c r="F656" t="s">
        <v>6162</v>
      </c>
      <c r="G656" t="s">
        <v>2325</v>
      </c>
      <c r="H656" t="s">
        <v>6163</v>
      </c>
      <c r="I656">
        <v>4</v>
      </c>
      <c r="J656" t="s">
        <v>6164</v>
      </c>
      <c r="K656">
        <v>69</v>
      </c>
      <c r="L656" t="s">
        <v>6165</v>
      </c>
      <c r="M656" t="s">
        <v>6166</v>
      </c>
      <c r="N656" t="s">
        <v>6167</v>
      </c>
      <c r="O656" t="s">
        <v>5990</v>
      </c>
      <c r="P656" t="s">
        <v>6168</v>
      </c>
      <c r="Q656" t="s">
        <v>6169</v>
      </c>
      <c r="R656" t="s">
        <v>6170</v>
      </c>
      <c r="S656" s="2">
        <v>29794</v>
      </c>
      <c r="T656" t="s">
        <v>6171</v>
      </c>
      <c r="U656" t="s">
        <v>6172</v>
      </c>
      <c r="V656">
        <v>1</v>
      </c>
      <c r="W656">
        <v>0</v>
      </c>
      <c r="X656">
        <v>329413</v>
      </c>
      <c r="Y656" t="s">
        <v>6173</v>
      </c>
      <c r="Z656" t="s">
        <v>6169</v>
      </c>
      <c r="AA656" t="s">
        <v>5991</v>
      </c>
      <c r="AB656" t="s">
        <v>45</v>
      </c>
      <c r="AC656" t="s">
        <v>5992</v>
      </c>
    </row>
    <row r="657" spans="1:29">
      <c r="A657" t="s">
        <v>2052</v>
      </c>
      <c r="B657" t="s">
        <v>6174</v>
      </c>
      <c r="C657" t="s">
        <v>2794</v>
      </c>
      <c r="D657" t="s">
        <v>667</v>
      </c>
      <c r="E657" s="1">
        <v>-11112</v>
      </c>
      <c r="F657" t="s">
        <v>4224</v>
      </c>
      <c r="G657" t="s">
        <v>463</v>
      </c>
      <c r="H657" t="s">
        <v>6175</v>
      </c>
      <c r="I657">
        <v>4</v>
      </c>
      <c r="J657" t="s">
        <v>3230</v>
      </c>
      <c r="K657">
        <v>69</v>
      </c>
      <c r="L657" t="s">
        <v>6176</v>
      </c>
      <c r="M657" t="s">
        <v>6177</v>
      </c>
      <c r="N657" t="s">
        <v>6178</v>
      </c>
      <c r="O657" t="s">
        <v>5990</v>
      </c>
      <c r="P657" t="s">
        <v>6179</v>
      </c>
      <c r="Q657" t="s">
        <v>6180</v>
      </c>
      <c r="R657" t="s">
        <v>6181</v>
      </c>
      <c r="S657" s="2">
        <v>32052</v>
      </c>
      <c r="T657" t="s">
        <v>6182</v>
      </c>
      <c r="U657" t="s">
        <v>6183</v>
      </c>
      <c r="V657">
        <v>1</v>
      </c>
      <c r="W657">
        <v>0</v>
      </c>
      <c r="X657">
        <v>255680</v>
      </c>
      <c r="Y657" t="s">
        <v>6184</v>
      </c>
      <c r="Z657" t="s">
        <v>6180</v>
      </c>
      <c r="AA657" t="s">
        <v>5991</v>
      </c>
      <c r="AB657" t="s">
        <v>45</v>
      </c>
      <c r="AC657" t="s">
        <v>5992</v>
      </c>
    </row>
    <row r="658" spans="1:29">
      <c r="A658" t="s">
        <v>1855</v>
      </c>
      <c r="B658" s="1">
        <v>140309</v>
      </c>
      <c r="C658" t="s">
        <v>2118</v>
      </c>
      <c r="D658" t="s">
        <v>667</v>
      </c>
      <c r="E658" s="1">
        <v>-9414</v>
      </c>
      <c r="F658" t="s">
        <v>6185</v>
      </c>
      <c r="G658" t="s">
        <v>998</v>
      </c>
      <c r="H658" t="s">
        <v>1290</v>
      </c>
      <c r="I658">
        <v>4</v>
      </c>
      <c r="J658" t="s">
        <v>6186</v>
      </c>
      <c r="K658">
        <v>69</v>
      </c>
      <c r="L658" t="s">
        <v>6187</v>
      </c>
      <c r="M658" t="s">
        <v>6188</v>
      </c>
      <c r="N658" t="s">
        <v>6189</v>
      </c>
      <c r="O658" t="s">
        <v>5990</v>
      </c>
      <c r="P658" t="s">
        <v>6190</v>
      </c>
      <c r="Q658" t="s">
        <v>6191</v>
      </c>
      <c r="R658" t="s">
        <v>6192</v>
      </c>
      <c r="S658" s="2">
        <v>29497</v>
      </c>
      <c r="T658" t="s">
        <v>6193</v>
      </c>
      <c r="U658" t="s">
        <v>6194</v>
      </c>
      <c r="V658">
        <v>1</v>
      </c>
      <c r="W658">
        <v>2</v>
      </c>
      <c r="X658">
        <v>242667</v>
      </c>
      <c r="Y658" t="s">
        <v>6195</v>
      </c>
      <c r="Z658" t="s">
        <v>6191</v>
      </c>
      <c r="AA658" t="s">
        <v>5991</v>
      </c>
      <c r="AB658" t="s">
        <v>45</v>
      </c>
      <c r="AC658" t="s">
        <v>5992</v>
      </c>
    </row>
    <row r="659" spans="1:29">
      <c r="A659" t="s">
        <v>1583</v>
      </c>
      <c r="B659" s="1">
        <v>125447</v>
      </c>
      <c r="C659" t="s">
        <v>108</v>
      </c>
      <c r="D659" t="s">
        <v>667</v>
      </c>
      <c r="E659" s="1">
        <v>-5306</v>
      </c>
      <c r="F659" t="s">
        <v>1596</v>
      </c>
      <c r="G659" t="s">
        <v>6050</v>
      </c>
      <c r="H659" t="s">
        <v>6196</v>
      </c>
      <c r="I659">
        <v>4</v>
      </c>
      <c r="J659" t="s">
        <v>1515</v>
      </c>
      <c r="K659">
        <v>69</v>
      </c>
      <c r="L659" t="s">
        <v>6197</v>
      </c>
      <c r="M659" t="s">
        <v>6198</v>
      </c>
      <c r="N659" t="s">
        <v>6199</v>
      </c>
      <c r="O659" t="s">
        <v>5990</v>
      </c>
      <c r="P659" t="s">
        <v>6200</v>
      </c>
      <c r="Q659" t="s">
        <v>6201</v>
      </c>
      <c r="R659" t="s">
        <v>6202</v>
      </c>
      <c r="S659">
        <v>1982</v>
      </c>
      <c r="T659" t="s">
        <v>4790</v>
      </c>
      <c r="U659" t="s">
        <v>6203</v>
      </c>
      <c r="V659">
        <v>1</v>
      </c>
      <c r="W659">
        <v>9</v>
      </c>
      <c r="X659">
        <v>218960</v>
      </c>
      <c r="Y659" t="s">
        <v>295</v>
      </c>
      <c r="Z659" t="s">
        <v>6201</v>
      </c>
      <c r="AA659" t="s">
        <v>5991</v>
      </c>
      <c r="AB659" t="s">
        <v>45</v>
      </c>
      <c r="AC659" t="s">
        <v>5992</v>
      </c>
    </row>
    <row r="660" spans="1:29">
      <c r="A660" t="s">
        <v>2518</v>
      </c>
      <c r="B660" t="s">
        <v>6204</v>
      </c>
      <c r="C660" t="s">
        <v>814</v>
      </c>
      <c r="D660" t="s">
        <v>667</v>
      </c>
      <c r="E660" s="1">
        <v>-5508</v>
      </c>
      <c r="F660" t="s">
        <v>146</v>
      </c>
      <c r="G660" t="s">
        <v>814</v>
      </c>
      <c r="H660" t="s">
        <v>1656</v>
      </c>
      <c r="I660">
        <v>4</v>
      </c>
      <c r="J660" t="s">
        <v>6205</v>
      </c>
      <c r="K660">
        <v>69</v>
      </c>
      <c r="L660" t="s">
        <v>6206</v>
      </c>
      <c r="M660" t="s">
        <v>6207</v>
      </c>
      <c r="N660" t="s">
        <v>6208</v>
      </c>
      <c r="O660" t="s">
        <v>5990</v>
      </c>
      <c r="P660" t="s">
        <v>6209</v>
      </c>
      <c r="Q660" t="s">
        <v>6210</v>
      </c>
      <c r="R660" t="s">
        <v>6208</v>
      </c>
      <c r="S660" s="2">
        <v>31992</v>
      </c>
      <c r="T660" t="s">
        <v>3654</v>
      </c>
      <c r="U660" t="s">
        <v>6211</v>
      </c>
      <c r="V660">
        <v>1</v>
      </c>
      <c r="W660">
        <v>7</v>
      </c>
      <c r="X660">
        <v>354636</v>
      </c>
      <c r="Y660" t="s">
        <v>1512</v>
      </c>
      <c r="Z660" t="s">
        <v>6210</v>
      </c>
      <c r="AA660" t="s">
        <v>5991</v>
      </c>
      <c r="AB660" t="s">
        <v>45</v>
      </c>
      <c r="AC660" t="s">
        <v>5992</v>
      </c>
    </row>
    <row r="661" spans="1:29">
      <c r="A661" t="s">
        <v>347</v>
      </c>
      <c r="B661" s="1">
        <v>142663</v>
      </c>
      <c r="C661" t="s">
        <v>6212</v>
      </c>
      <c r="D661" t="s">
        <v>667</v>
      </c>
      <c r="E661" s="1">
        <v>-6667</v>
      </c>
      <c r="F661" t="s">
        <v>6213</v>
      </c>
      <c r="G661" t="s">
        <v>3206</v>
      </c>
      <c r="H661" t="s">
        <v>6214</v>
      </c>
      <c r="I661">
        <v>4</v>
      </c>
      <c r="J661" t="s">
        <v>6215</v>
      </c>
      <c r="K661">
        <v>69</v>
      </c>
      <c r="L661" t="s">
        <v>6216</v>
      </c>
      <c r="M661" t="s">
        <v>6217</v>
      </c>
      <c r="N661" t="s">
        <v>6218</v>
      </c>
      <c r="O661" t="s">
        <v>5990</v>
      </c>
      <c r="P661" t="s">
        <v>6219</v>
      </c>
      <c r="Q661" t="s">
        <v>6220</v>
      </c>
      <c r="R661" t="s">
        <v>6218</v>
      </c>
      <c r="S661" s="2">
        <v>37987</v>
      </c>
      <c r="T661" t="s">
        <v>6221</v>
      </c>
      <c r="U661" t="s">
        <v>6222</v>
      </c>
      <c r="V661">
        <v>0</v>
      </c>
      <c r="W661">
        <v>2</v>
      </c>
      <c r="X661">
        <v>212227</v>
      </c>
      <c r="Y661" t="s">
        <v>6223</v>
      </c>
      <c r="Z661" t="s">
        <v>6220</v>
      </c>
      <c r="AA661" t="s">
        <v>5991</v>
      </c>
      <c r="AB661" t="s">
        <v>45</v>
      </c>
      <c r="AC661" t="s">
        <v>5992</v>
      </c>
    </row>
    <row r="662" spans="1:29">
      <c r="A662" t="s">
        <v>3724</v>
      </c>
      <c r="B662" s="1">
        <v>133615</v>
      </c>
      <c r="C662" t="s">
        <v>2886</v>
      </c>
      <c r="D662" t="s">
        <v>667</v>
      </c>
      <c r="E662" s="1">
        <v>-6296</v>
      </c>
      <c r="F662" t="s">
        <v>6224</v>
      </c>
      <c r="G662" t="s">
        <v>2520</v>
      </c>
      <c r="H662" t="s">
        <v>1642</v>
      </c>
      <c r="I662">
        <v>5</v>
      </c>
      <c r="J662" t="s">
        <v>6225</v>
      </c>
      <c r="K662">
        <v>68</v>
      </c>
      <c r="L662" t="s">
        <v>6226</v>
      </c>
      <c r="M662" t="s">
        <v>6227</v>
      </c>
      <c r="N662" t="s">
        <v>6228</v>
      </c>
      <c r="O662" t="s">
        <v>5990</v>
      </c>
      <c r="P662" t="s">
        <v>6229</v>
      </c>
      <c r="Q662" t="s">
        <v>6230</v>
      </c>
      <c r="R662" t="s">
        <v>6231</v>
      </c>
      <c r="S662" s="2">
        <v>31731</v>
      </c>
      <c r="T662" t="s">
        <v>6232</v>
      </c>
      <c r="U662" t="s">
        <v>6233</v>
      </c>
      <c r="V662">
        <v>1</v>
      </c>
      <c r="W662">
        <v>8</v>
      </c>
      <c r="X662">
        <v>208653</v>
      </c>
      <c r="Y662" t="s">
        <v>390</v>
      </c>
      <c r="Z662" t="s">
        <v>6230</v>
      </c>
      <c r="AA662" t="s">
        <v>5991</v>
      </c>
      <c r="AB662" t="s">
        <v>45</v>
      </c>
      <c r="AC662" t="s">
        <v>5992</v>
      </c>
    </row>
    <row r="663" spans="1:29">
      <c r="A663" t="s">
        <v>2219</v>
      </c>
      <c r="B663" s="1">
        <v>140176</v>
      </c>
      <c r="C663" t="s">
        <v>2774</v>
      </c>
      <c r="D663" t="s">
        <v>667</v>
      </c>
      <c r="E663" s="1">
        <v>-5557</v>
      </c>
      <c r="F663" t="s">
        <v>801</v>
      </c>
      <c r="G663" t="s">
        <v>2020</v>
      </c>
      <c r="H663" t="s">
        <v>3829</v>
      </c>
      <c r="I663">
        <v>4</v>
      </c>
      <c r="J663" t="s">
        <v>3957</v>
      </c>
      <c r="K663">
        <v>68</v>
      </c>
      <c r="L663" t="s">
        <v>6234</v>
      </c>
      <c r="M663" t="s">
        <v>6235</v>
      </c>
      <c r="N663" t="s">
        <v>6236</v>
      </c>
      <c r="O663" t="s">
        <v>5990</v>
      </c>
      <c r="P663" t="s">
        <v>6237</v>
      </c>
      <c r="Q663" t="s">
        <v>6238</v>
      </c>
      <c r="R663" t="s">
        <v>6239</v>
      </c>
      <c r="S663" s="2">
        <v>32223</v>
      </c>
      <c r="T663" t="s">
        <v>6240</v>
      </c>
      <c r="U663" t="s">
        <v>6241</v>
      </c>
      <c r="V663">
        <v>1</v>
      </c>
      <c r="W663">
        <v>6</v>
      </c>
      <c r="X663">
        <v>260173</v>
      </c>
      <c r="Y663" t="s">
        <v>2510</v>
      </c>
      <c r="Z663" t="s">
        <v>6238</v>
      </c>
      <c r="AA663" t="s">
        <v>5991</v>
      </c>
      <c r="AB663" t="s">
        <v>45</v>
      </c>
      <c r="AC663" t="s">
        <v>5992</v>
      </c>
    </row>
    <row r="664" spans="1:29">
      <c r="A664" t="s">
        <v>447</v>
      </c>
      <c r="B664" t="s">
        <v>6242</v>
      </c>
      <c r="C664" t="s">
        <v>2984</v>
      </c>
      <c r="D664" t="s">
        <v>1851</v>
      </c>
      <c r="E664" s="1">
        <v>-7322</v>
      </c>
      <c r="F664" t="s">
        <v>984</v>
      </c>
      <c r="G664" t="s">
        <v>3143</v>
      </c>
      <c r="H664" t="s">
        <v>6243</v>
      </c>
      <c r="I664">
        <v>4</v>
      </c>
      <c r="J664" t="s">
        <v>6244</v>
      </c>
      <c r="K664">
        <v>74</v>
      </c>
      <c r="L664" t="s">
        <v>6245</v>
      </c>
      <c r="M664" t="s">
        <v>6246</v>
      </c>
      <c r="N664" t="s">
        <v>6247</v>
      </c>
      <c r="O664" t="s">
        <v>6248</v>
      </c>
      <c r="P664" t="s">
        <v>6249</v>
      </c>
      <c r="Q664" t="s">
        <v>6250</v>
      </c>
      <c r="R664" t="s">
        <v>6247</v>
      </c>
      <c r="S664" s="2">
        <v>45422</v>
      </c>
      <c r="T664" t="s">
        <v>6251</v>
      </c>
      <c r="U664" t="s">
        <v>6252</v>
      </c>
      <c r="V664">
        <v>0</v>
      </c>
      <c r="W664">
        <v>9</v>
      </c>
      <c r="X664">
        <v>188818</v>
      </c>
      <c r="Y664" t="s">
        <v>1251</v>
      </c>
      <c r="Z664" t="s">
        <v>6250</v>
      </c>
      <c r="AA664" t="s">
        <v>6253</v>
      </c>
      <c r="AB664" t="s">
        <v>45</v>
      </c>
      <c r="AC664" t="s">
        <v>6254</v>
      </c>
    </row>
    <row r="665" spans="1:29">
      <c r="A665" t="s">
        <v>3545</v>
      </c>
      <c r="B665" s="1">
        <v>134937</v>
      </c>
      <c r="C665" t="s">
        <v>3114</v>
      </c>
      <c r="D665" t="s">
        <v>1851</v>
      </c>
      <c r="E665" s="1">
        <v>-5407</v>
      </c>
      <c r="F665" t="s">
        <v>348</v>
      </c>
      <c r="G665" t="s">
        <v>1121</v>
      </c>
      <c r="H665" t="s">
        <v>6255</v>
      </c>
      <c r="I665">
        <v>5</v>
      </c>
      <c r="J665" t="s">
        <v>2198</v>
      </c>
      <c r="K665">
        <v>70</v>
      </c>
      <c r="L665" t="s">
        <v>6256</v>
      </c>
      <c r="M665" t="s">
        <v>6257</v>
      </c>
      <c r="N665" t="s">
        <v>6258</v>
      </c>
      <c r="O665" t="s">
        <v>6248</v>
      </c>
      <c r="P665" t="s">
        <v>6259</v>
      </c>
      <c r="Q665" t="s">
        <v>6260</v>
      </c>
      <c r="R665" t="s">
        <v>6258</v>
      </c>
      <c r="S665" s="2">
        <v>45526</v>
      </c>
      <c r="T665">
        <v>0</v>
      </c>
      <c r="U665" t="s">
        <v>6261</v>
      </c>
      <c r="V665">
        <v>0</v>
      </c>
      <c r="W665">
        <v>1</v>
      </c>
      <c r="X665">
        <v>170800</v>
      </c>
      <c r="Y665" t="s">
        <v>2020</v>
      </c>
      <c r="Z665" t="s">
        <v>6260</v>
      </c>
      <c r="AA665" t="s">
        <v>6253</v>
      </c>
      <c r="AB665" t="s">
        <v>45</v>
      </c>
      <c r="AC665" t="s">
        <v>6254</v>
      </c>
    </row>
    <row r="666" spans="1:29">
      <c r="A666" t="s">
        <v>838</v>
      </c>
      <c r="B666" s="1">
        <v>87973</v>
      </c>
      <c r="C666" t="s">
        <v>2251</v>
      </c>
      <c r="D666" t="s">
        <v>1851</v>
      </c>
      <c r="E666" s="1">
        <v>-4941</v>
      </c>
      <c r="F666" t="s">
        <v>6060</v>
      </c>
      <c r="G666" t="s">
        <v>3633</v>
      </c>
      <c r="H666" t="s">
        <v>6262</v>
      </c>
      <c r="I666">
        <v>4</v>
      </c>
      <c r="J666" t="s">
        <v>201</v>
      </c>
      <c r="K666">
        <v>68</v>
      </c>
      <c r="L666" t="s">
        <v>6263</v>
      </c>
      <c r="M666" t="s">
        <v>6264</v>
      </c>
      <c r="N666" t="s">
        <v>6265</v>
      </c>
      <c r="O666" t="s">
        <v>6248</v>
      </c>
      <c r="P666" t="s">
        <v>6266</v>
      </c>
      <c r="Q666" t="s">
        <v>6267</v>
      </c>
      <c r="R666" t="s">
        <v>6268</v>
      </c>
      <c r="S666" s="2">
        <v>45261</v>
      </c>
      <c r="T666">
        <v>0</v>
      </c>
      <c r="U666" t="s">
        <v>6269</v>
      </c>
      <c r="V666">
        <v>0</v>
      </c>
      <c r="W666">
        <v>5</v>
      </c>
      <c r="X666">
        <v>233240</v>
      </c>
      <c r="Y666" t="s">
        <v>348</v>
      </c>
      <c r="Z666" t="s">
        <v>6267</v>
      </c>
      <c r="AA666" t="s">
        <v>6253</v>
      </c>
      <c r="AB666" t="s">
        <v>45</v>
      </c>
      <c r="AC666" t="s">
        <v>6254</v>
      </c>
    </row>
    <row r="667" spans="1:29">
      <c r="A667" t="s">
        <v>2672</v>
      </c>
      <c r="B667" s="1">
        <v>105969</v>
      </c>
      <c r="C667" t="s">
        <v>3311</v>
      </c>
      <c r="D667" t="s">
        <v>6270</v>
      </c>
      <c r="E667" s="1">
        <v>-2515</v>
      </c>
      <c r="F667" t="s">
        <v>2488</v>
      </c>
      <c r="G667" t="s">
        <v>3257</v>
      </c>
      <c r="H667" t="s">
        <v>6271</v>
      </c>
      <c r="I667">
        <v>4</v>
      </c>
      <c r="J667" t="s">
        <v>6272</v>
      </c>
      <c r="K667">
        <v>73</v>
      </c>
      <c r="L667" t="s">
        <v>6273</v>
      </c>
      <c r="M667" t="s">
        <v>6274</v>
      </c>
      <c r="N667" t="s">
        <v>6275</v>
      </c>
      <c r="O667" t="s">
        <v>6276</v>
      </c>
      <c r="P667" t="s">
        <v>6277</v>
      </c>
      <c r="Q667" t="s">
        <v>6278</v>
      </c>
      <c r="R667" t="s">
        <v>6279</v>
      </c>
      <c r="S667" s="2">
        <v>45457</v>
      </c>
      <c r="T667">
        <v>0</v>
      </c>
      <c r="U667" t="s">
        <v>6280</v>
      </c>
      <c r="V667">
        <v>0</v>
      </c>
      <c r="W667">
        <v>3</v>
      </c>
      <c r="X667">
        <v>162840</v>
      </c>
      <c r="Y667" t="s">
        <v>6281</v>
      </c>
      <c r="Z667" t="s">
        <v>6278</v>
      </c>
      <c r="AA667" t="s">
        <v>1853</v>
      </c>
      <c r="AB667" t="s">
        <v>45</v>
      </c>
      <c r="AC667" t="s">
        <v>6282</v>
      </c>
    </row>
    <row r="668" spans="1:29">
      <c r="A668" t="s">
        <v>361</v>
      </c>
      <c r="B668" s="1">
        <v>140053</v>
      </c>
      <c r="C668" t="s">
        <v>527</v>
      </c>
      <c r="D668" t="s">
        <v>6270</v>
      </c>
      <c r="E668" s="1">
        <v>-4692</v>
      </c>
      <c r="F668" t="s">
        <v>6283</v>
      </c>
      <c r="G668" t="s">
        <v>1655</v>
      </c>
      <c r="H668" t="s">
        <v>254</v>
      </c>
      <c r="I668">
        <v>4</v>
      </c>
      <c r="J668" t="s">
        <v>5173</v>
      </c>
      <c r="K668">
        <v>83</v>
      </c>
      <c r="L668" t="s">
        <v>6284</v>
      </c>
      <c r="M668" t="s">
        <v>6285</v>
      </c>
      <c r="N668" t="s">
        <v>6286</v>
      </c>
      <c r="O668" t="s">
        <v>6276</v>
      </c>
      <c r="P668" t="s">
        <v>6287</v>
      </c>
      <c r="Q668" t="s">
        <v>6288</v>
      </c>
      <c r="R668" t="s">
        <v>6286</v>
      </c>
      <c r="S668" s="2">
        <v>45470</v>
      </c>
      <c r="T668">
        <v>0</v>
      </c>
      <c r="U668" t="s">
        <v>6289</v>
      </c>
      <c r="V668">
        <v>1</v>
      </c>
      <c r="W668">
        <v>8</v>
      </c>
      <c r="X668">
        <v>138213</v>
      </c>
      <c r="Y668" t="s">
        <v>715</v>
      </c>
      <c r="Z668" t="s">
        <v>6288</v>
      </c>
      <c r="AA668" t="s">
        <v>1853</v>
      </c>
      <c r="AB668" t="s">
        <v>45</v>
      </c>
      <c r="AC668" t="s">
        <v>6282</v>
      </c>
    </row>
    <row r="669" spans="1:29">
      <c r="A669" t="s">
        <v>48</v>
      </c>
      <c r="B669" s="1">
        <v>120073</v>
      </c>
      <c r="C669" t="s">
        <v>2375</v>
      </c>
      <c r="D669" t="s">
        <v>6270</v>
      </c>
      <c r="E669" s="1">
        <v>-4278</v>
      </c>
      <c r="F669" t="s">
        <v>6290</v>
      </c>
      <c r="G669" t="s">
        <v>452</v>
      </c>
      <c r="H669" t="s">
        <v>6291</v>
      </c>
      <c r="I669">
        <v>4</v>
      </c>
      <c r="J669" t="s">
        <v>334</v>
      </c>
      <c r="K669">
        <v>72</v>
      </c>
      <c r="L669" t="s">
        <v>6292</v>
      </c>
      <c r="M669" t="s">
        <v>6293</v>
      </c>
      <c r="N669" t="s">
        <v>6294</v>
      </c>
      <c r="O669" t="s">
        <v>6276</v>
      </c>
      <c r="P669" t="s">
        <v>6295</v>
      </c>
      <c r="Q669" t="s">
        <v>6296</v>
      </c>
      <c r="R669" t="s">
        <v>6297</v>
      </c>
      <c r="S669" s="2">
        <v>45439</v>
      </c>
      <c r="T669" t="s">
        <v>6298</v>
      </c>
      <c r="U669" t="s">
        <v>6299</v>
      </c>
      <c r="V669">
        <v>0</v>
      </c>
      <c r="W669">
        <v>11</v>
      </c>
      <c r="X669">
        <v>178880</v>
      </c>
      <c r="Y669" t="s">
        <v>6300</v>
      </c>
      <c r="Z669" t="s">
        <v>6296</v>
      </c>
      <c r="AA669" t="s">
        <v>1853</v>
      </c>
      <c r="AB669" t="s">
        <v>45</v>
      </c>
      <c r="AC669" t="s">
        <v>6282</v>
      </c>
    </row>
    <row r="670" spans="1:29">
      <c r="A670" t="s">
        <v>80</v>
      </c>
      <c r="B670" s="1">
        <v>91992</v>
      </c>
      <c r="C670" t="s">
        <v>3888</v>
      </c>
      <c r="D670" t="s">
        <v>6270</v>
      </c>
      <c r="E670" s="1">
        <v>-2048</v>
      </c>
      <c r="F670" t="s">
        <v>1528</v>
      </c>
      <c r="G670" t="s">
        <v>1666</v>
      </c>
      <c r="H670" t="s">
        <v>6291</v>
      </c>
      <c r="I670">
        <v>4</v>
      </c>
      <c r="J670" t="s">
        <v>6301</v>
      </c>
      <c r="K670">
        <v>74</v>
      </c>
      <c r="L670" t="s">
        <v>6302</v>
      </c>
      <c r="M670" t="s">
        <v>6303</v>
      </c>
      <c r="N670" t="s">
        <v>6294</v>
      </c>
      <c r="O670" t="s">
        <v>6276</v>
      </c>
      <c r="P670" t="s">
        <v>6304</v>
      </c>
      <c r="Q670" t="s">
        <v>6305</v>
      </c>
      <c r="R670" t="s">
        <v>6306</v>
      </c>
      <c r="S670" s="2">
        <v>45439</v>
      </c>
      <c r="T670" t="s">
        <v>6307</v>
      </c>
      <c r="U670" t="s">
        <v>6299</v>
      </c>
      <c r="V670">
        <v>1</v>
      </c>
      <c r="W670">
        <v>9</v>
      </c>
      <c r="X670">
        <v>196467</v>
      </c>
      <c r="Y670" t="s">
        <v>6308</v>
      </c>
      <c r="Z670" t="s">
        <v>6305</v>
      </c>
      <c r="AA670" t="s">
        <v>1853</v>
      </c>
      <c r="AB670" t="s">
        <v>45</v>
      </c>
      <c r="AC670" t="s">
        <v>6282</v>
      </c>
    </row>
    <row r="671" spans="1:29">
      <c r="A671" t="s">
        <v>6309</v>
      </c>
      <c r="B671" s="1">
        <v>170022</v>
      </c>
      <c r="C671" t="s">
        <v>2081</v>
      </c>
      <c r="D671" t="s">
        <v>6270</v>
      </c>
      <c r="E671" s="1">
        <v>-4901</v>
      </c>
      <c r="F671" t="s">
        <v>1037</v>
      </c>
      <c r="G671" t="s">
        <v>1572</v>
      </c>
      <c r="H671" t="s">
        <v>6310</v>
      </c>
      <c r="I671">
        <v>4</v>
      </c>
      <c r="J671" t="s">
        <v>3153</v>
      </c>
      <c r="K671">
        <v>72</v>
      </c>
      <c r="L671" t="s">
        <v>6311</v>
      </c>
      <c r="M671" t="s">
        <v>6312</v>
      </c>
      <c r="N671" t="s">
        <v>6313</v>
      </c>
      <c r="O671" t="s">
        <v>6276</v>
      </c>
      <c r="P671" t="s">
        <v>6314</v>
      </c>
      <c r="Q671" t="s">
        <v>6315</v>
      </c>
      <c r="R671" t="s">
        <v>6316</v>
      </c>
      <c r="S671" s="2">
        <v>45464</v>
      </c>
      <c r="T671">
        <v>0</v>
      </c>
      <c r="U671" t="s">
        <v>6317</v>
      </c>
      <c r="V671">
        <v>1</v>
      </c>
      <c r="W671">
        <v>1</v>
      </c>
      <c r="X671">
        <v>189707</v>
      </c>
      <c r="Y671" t="s">
        <v>278</v>
      </c>
      <c r="Z671" t="s">
        <v>6315</v>
      </c>
      <c r="AA671" t="s">
        <v>1853</v>
      </c>
      <c r="AB671" t="s">
        <v>45</v>
      </c>
      <c r="AC671" t="s">
        <v>6282</v>
      </c>
    </row>
    <row r="672" spans="1:29">
      <c r="A672" t="s">
        <v>290</v>
      </c>
      <c r="B672" s="1">
        <v>108038</v>
      </c>
      <c r="C672" t="s">
        <v>1572</v>
      </c>
      <c r="D672" t="s">
        <v>6270</v>
      </c>
      <c r="E672" s="1">
        <v>-3905</v>
      </c>
      <c r="F672" t="s">
        <v>2099</v>
      </c>
      <c r="G672" t="s">
        <v>4723</v>
      </c>
      <c r="H672" t="s">
        <v>6318</v>
      </c>
      <c r="I672">
        <v>4</v>
      </c>
      <c r="J672" t="s">
        <v>6319</v>
      </c>
      <c r="K672">
        <v>78</v>
      </c>
      <c r="L672" t="s">
        <v>6320</v>
      </c>
      <c r="M672" t="s">
        <v>6321</v>
      </c>
      <c r="N672" t="s">
        <v>6322</v>
      </c>
      <c r="O672" t="s">
        <v>6276</v>
      </c>
      <c r="P672" t="s">
        <v>6323</v>
      </c>
      <c r="Q672" t="s">
        <v>6324</v>
      </c>
      <c r="R672" t="s">
        <v>6322</v>
      </c>
      <c r="S672" s="2">
        <v>45408</v>
      </c>
      <c r="T672">
        <v>0</v>
      </c>
      <c r="U672" t="s">
        <v>6325</v>
      </c>
      <c r="V672">
        <v>0</v>
      </c>
      <c r="W672">
        <v>5</v>
      </c>
      <c r="X672">
        <v>167707</v>
      </c>
      <c r="Y672" t="s">
        <v>486</v>
      </c>
      <c r="Z672" t="s">
        <v>6324</v>
      </c>
      <c r="AA672" t="s">
        <v>1853</v>
      </c>
      <c r="AB672" t="s">
        <v>45</v>
      </c>
      <c r="AC672" t="s">
        <v>6282</v>
      </c>
    </row>
    <row r="673" spans="1:29">
      <c r="A673" t="s">
        <v>5395</v>
      </c>
      <c r="B673" s="1">
        <v>124994</v>
      </c>
      <c r="C673" t="s">
        <v>5156</v>
      </c>
      <c r="D673" t="s">
        <v>6270</v>
      </c>
      <c r="E673" s="1">
        <v>-2888</v>
      </c>
      <c r="F673" t="s">
        <v>1073</v>
      </c>
      <c r="G673" t="s">
        <v>225</v>
      </c>
      <c r="H673" t="s">
        <v>6326</v>
      </c>
      <c r="I673">
        <v>4</v>
      </c>
      <c r="J673" t="s">
        <v>1693</v>
      </c>
      <c r="K673">
        <v>78</v>
      </c>
      <c r="L673" t="s">
        <v>6327</v>
      </c>
      <c r="M673" t="s">
        <v>6328</v>
      </c>
      <c r="N673" t="s">
        <v>6329</v>
      </c>
      <c r="O673" t="s">
        <v>6276</v>
      </c>
      <c r="P673" t="s">
        <v>6330</v>
      </c>
      <c r="Q673" t="s">
        <v>6331</v>
      </c>
      <c r="R673" t="s">
        <v>6329</v>
      </c>
      <c r="S673" s="2">
        <v>45436</v>
      </c>
      <c r="T673" t="s">
        <v>6332</v>
      </c>
      <c r="U673" t="s">
        <v>6333</v>
      </c>
      <c r="V673">
        <v>1</v>
      </c>
      <c r="W673">
        <v>1</v>
      </c>
      <c r="X673">
        <v>219027</v>
      </c>
      <c r="Y673" t="s">
        <v>6334</v>
      </c>
      <c r="Z673" t="s">
        <v>6331</v>
      </c>
      <c r="AA673" t="s">
        <v>1853</v>
      </c>
      <c r="AB673" t="s">
        <v>45</v>
      </c>
      <c r="AC673" t="s">
        <v>6282</v>
      </c>
    </row>
    <row r="674" spans="1:29">
      <c r="A674" t="s">
        <v>893</v>
      </c>
      <c r="B674" s="1">
        <v>140041</v>
      </c>
      <c r="C674" t="s">
        <v>1098</v>
      </c>
      <c r="D674" t="s">
        <v>6270</v>
      </c>
      <c r="E674" s="1">
        <v>-5079</v>
      </c>
      <c r="F674" t="s">
        <v>1112</v>
      </c>
      <c r="G674" t="s">
        <v>310</v>
      </c>
      <c r="H674" t="s">
        <v>6335</v>
      </c>
      <c r="I674">
        <v>4</v>
      </c>
      <c r="J674" t="s">
        <v>1320</v>
      </c>
      <c r="K674">
        <v>78</v>
      </c>
      <c r="L674" t="s">
        <v>6336</v>
      </c>
      <c r="M674" t="s">
        <v>6337</v>
      </c>
      <c r="N674" t="s">
        <v>6338</v>
      </c>
      <c r="O674" t="s">
        <v>6276</v>
      </c>
      <c r="P674" t="s">
        <v>6339</v>
      </c>
      <c r="Q674" t="s">
        <v>6340</v>
      </c>
      <c r="R674" t="s">
        <v>6341</v>
      </c>
      <c r="S674" s="2">
        <v>45383</v>
      </c>
      <c r="T674">
        <v>0</v>
      </c>
      <c r="U674" t="s">
        <v>6342</v>
      </c>
      <c r="V674">
        <v>1</v>
      </c>
      <c r="W674">
        <v>2</v>
      </c>
      <c r="X674">
        <v>170357</v>
      </c>
      <c r="Y674" t="s">
        <v>2099</v>
      </c>
      <c r="Z674" t="s">
        <v>6340</v>
      </c>
      <c r="AA674" t="s">
        <v>1853</v>
      </c>
      <c r="AB674" t="s">
        <v>45</v>
      </c>
      <c r="AC674" t="s">
        <v>6282</v>
      </c>
    </row>
    <row r="675" spans="1:29">
      <c r="A675" t="s">
        <v>728</v>
      </c>
      <c r="B675" s="1">
        <v>101959</v>
      </c>
      <c r="C675" t="s">
        <v>2252</v>
      </c>
      <c r="D675" t="s">
        <v>6270</v>
      </c>
      <c r="E675" s="1">
        <v>-8675</v>
      </c>
      <c r="F675" t="s">
        <v>6343</v>
      </c>
      <c r="G675" t="s">
        <v>319</v>
      </c>
      <c r="H675" t="s">
        <v>6335</v>
      </c>
      <c r="I675">
        <v>4</v>
      </c>
      <c r="J675" t="s">
        <v>593</v>
      </c>
      <c r="K675">
        <v>75</v>
      </c>
      <c r="L675" t="s">
        <v>6344</v>
      </c>
      <c r="M675" t="s">
        <v>6345</v>
      </c>
      <c r="N675" t="s">
        <v>6338</v>
      </c>
      <c r="O675" t="s">
        <v>6276</v>
      </c>
      <c r="P675" t="s">
        <v>6346</v>
      </c>
      <c r="Q675" t="s">
        <v>6347</v>
      </c>
      <c r="R675" t="s">
        <v>6348</v>
      </c>
      <c r="S675" s="2">
        <v>45383</v>
      </c>
      <c r="T675" t="s">
        <v>6349</v>
      </c>
      <c r="U675" t="s">
        <v>6342</v>
      </c>
      <c r="V675">
        <v>0</v>
      </c>
      <c r="W675">
        <v>11</v>
      </c>
      <c r="X675">
        <v>168359</v>
      </c>
      <c r="Y675" t="s">
        <v>1961</v>
      </c>
      <c r="Z675" t="s">
        <v>6347</v>
      </c>
      <c r="AA675" t="s">
        <v>1853</v>
      </c>
      <c r="AB675" t="s">
        <v>45</v>
      </c>
      <c r="AC675" t="s">
        <v>6282</v>
      </c>
    </row>
    <row r="676" spans="1:29">
      <c r="A676" t="s">
        <v>1098</v>
      </c>
      <c r="B676" s="1">
        <v>109945</v>
      </c>
      <c r="C676" t="s">
        <v>1712</v>
      </c>
      <c r="D676" t="s">
        <v>6270</v>
      </c>
      <c r="E676" s="1">
        <v>-3604</v>
      </c>
      <c r="F676" t="s">
        <v>6350</v>
      </c>
      <c r="G676" t="s">
        <v>2664</v>
      </c>
      <c r="H676" t="s">
        <v>6351</v>
      </c>
      <c r="I676">
        <v>4</v>
      </c>
      <c r="J676" t="s">
        <v>2436</v>
      </c>
      <c r="K676">
        <v>69</v>
      </c>
      <c r="L676" t="s">
        <v>6352</v>
      </c>
      <c r="M676" t="s">
        <v>6353</v>
      </c>
      <c r="N676" t="s">
        <v>6354</v>
      </c>
      <c r="O676" t="s">
        <v>6276</v>
      </c>
      <c r="P676" t="s">
        <v>6355</v>
      </c>
      <c r="Q676" t="s">
        <v>6356</v>
      </c>
      <c r="R676" t="s">
        <v>6357</v>
      </c>
      <c r="S676" s="2">
        <v>45376</v>
      </c>
      <c r="T676">
        <v>0</v>
      </c>
      <c r="U676" t="s">
        <v>6358</v>
      </c>
      <c r="V676">
        <v>1</v>
      </c>
      <c r="W676">
        <v>1</v>
      </c>
      <c r="X676">
        <v>188080</v>
      </c>
      <c r="Y676" t="s">
        <v>6359</v>
      </c>
      <c r="Z676" t="s">
        <v>6356</v>
      </c>
      <c r="AA676" t="s">
        <v>1853</v>
      </c>
      <c r="AB676" t="s">
        <v>45</v>
      </c>
      <c r="AC676" t="s">
        <v>6282</v>
      </c>
    </row>
    <row r="677" spans="1:29">
      <c r="A677" t="s">
        <v>642</v>
      </c>
      <c r="B677" s="1">
        <v>131016</v>
      </c>
      <c r="C677" t="s">
        <v>3949</v>
      </c>
      <c r="D677" t="s">
        <v>6270</v>
      </c>
      <c r="E677" t="s">
        <v>6360</v>
      </c>
      <c r="F677" t="s">
        <v>452</v>
      </c>
      <c r="G677" t="s">
        <v>4004</v>
      </c>
      <c r="H677" t="s">
        <v>6291</v>
      </c>
      <c r="I677">
        <v>4</v>
      </c>
      <c r="J677" t="s">
        <v>3526</v>
      </c>
      <c r="K677">
        <v>78</v>
      </c>
      <c r="L677" t="s">
        <v>6361</v>
      </c>
      <c r="M677" t="s">
        <v>6362</v>
      </c>
      <c r="N677" t="s">
        <v>6363</v>
      </c>
      <c r="O677" t="s">
        <v>6276</v>
      </c>
      <c r="P677" t="s">
        <v>6364</v>
      </c>
      <c r="Q677" t="s">
        <v>6365</v>
      </c>
      <c r="R677" t="s">
        <v>6366</v>
      </c>
      <c r="S677" s="2">
        <v>45240</v>
      </c>
      <c r="T677">
        <v>0</v>
      </c>
      <c r="U677" t="s">
        <v>6367</v>
      </c>
      <c r="V677">
        <v>0</v>
      </c>
      <c r="W677">
        <v>6</v>
      </c>
      <c r="X677">
        <v>214973</v>
      </c>
      <c r="Y677" t="s">
        <v>264</v>
      </c>
      <c r="Z677" t="s">
        <v>6365</v>
      </c>
      <c r="AA677" t="s">
        <v>1853</v>
      </c>
      <c r="AB677" t="s">
        <v>45</v>
      </c>
      <c r="AC677" t="s">
        <v>6282</v>
      </c>
    </row>
    <row r="678" spans="1:29">
      <c r="A678" t="s">
        <v>29</v>
      </c>
      <c r="B678" s="1">
        <v>157969</v>
      </c>
      <c r="C678" t="s">
        <v>30</v>
      </c>
      <c r="D678" t="s">
        <v>31</v>
      </c>
      <c r="E678" s="1">
        <v>-7777</v>
      </c>
      <c r="F678" t="s">
        <v>32</v>
      </c>
      <c r="G678" t="s">
        <v>33</v>
      </c>
      <c r="H678" t="s">
        <v>34</v>
      </c>
      <c r="I678">
        <v>3</v>
      </c>
      <c r="J678" t="s">
        <v>35</v>
      </c>
      <c r="K678">
        <v>100</v>
      </c>
      <c r="L678" t="s">
        <v>36</v>
      </c>
      <c r="M678" t="s">
        <v>37</v>
      </c>
      <c r="N678" t="s">
        <v>38</v>
      </c>
      <c r="O678" t="s">
        <v>6368</v>
      </c>
      <c r="P678" t="s">
        <v>40</v>
      </c>
      <c r="Q678" t="s">
        <v>41</v>
      </c>
      <c r="R678" t="s">
        <v>38</v>
      </c>
      <c r="S678" s="2">
        <v>45520</v>
      </c>
      <c r="T678">
        <v>0</v>
      </c>
      <c r="U678" t="s">
        <v>42</v>
      </c>
      <c r="V678">
        <v>0</v>
      </c>
      <c r="W678">
        <v>6</v>
      </c>
      <c r="X678">
        <v>251668</v>
      </c>
      <c r="Y678" t="s">
        <v>43</v>
      </c>
      <c r="Z678" t="s">
        <v>41</v>
      </c>
      <c r="AA678" t="s">
        <v>6369</v>
      </c>
      <c r="AB678" t="s">
        <v>45</v>
      </c>
      <c r="AC678" t="s">
        <v>6370</v>
      </c>
    </row>
    <row r="679" spans="1:29">
      <c r="A679" t="s">
        <v>91</v>
      </c>
      <c r="B679" s="1">
        <v>149027</v>
      </c>
      <c r="C679" t="s">
        <v>92</v>
      </c>
      <c r="D679" t="s">
        <v>31</v>
      </c>
      <c r="E679" s="1">
        <v>-4477</v>
      </c>
      <c r="F679" t="s">
        <v>93</v>
      </c>
      <c r="G679" t="s">
        <v>94</v>
      </c>
      <c r="H679" t="s">
        <v>95</v>
      </c>
      <c r="I679">
        <v>4</v>
      </c>
      <c r="J679" t="s">
        <v>96</v>
      </c>
      <c r="K679">
        <v>98</v>
      </c>
      <c r="L679" t="s">
        <v>97</v>
      </c>
      <c r="M679" t="s">
        <v>98</v>
      </c>
      <c r="N679" t="s">
        <v>99</v>
      </c>
      <c r="O679" t="s">
        <v>6368</v>
      </c>
      <c r="P679" t="s">
        <v>100</v>
      </c>
      <c r="Q679" t="s">
        <v>101</v>
      </c>
      <c r="R679" t="s">
        <v>99</v>
      </c>
      <c r="S679" s="2">
        <v>45583</v>
      </c>
      <c r="T679">
        <v>0</v>
      </c>
      <c r="U679" t="s">
        <v>102</v>
      </c>
      <c r="V679">
        <v>0</v>
      </c>
      <c r="W679">
        <v>0</v>
      </c>
      <c r="X679">
        <v>169917</v>
      </c>
      <c r="Y679" t="s">
        <v>103</v>
      </c>
      <c r="Z679" t="s">
        <v>101</v>
      </c>
      <c r="AA679" t="s">
        <v>6369</v>
      </c>
      <c r="AB679" t="s">
        <v>45</v>
      </c>
      <c r="AC679" t="s">
        <v>6370</v>
      </c>
    </row>
    <row r="680" spans="1:29">
      <c r="A680" t="s">
        <v>47</v>
      </c>
      <c r="B680" s="1">
        <v>104978</v>
      </c>
      <c r="C680" t="s">
        <v>48</v>
      </c>
      <c r="D680" t="s">
        <v>31</v>
      </c>
      <c r="E680" s="1">
        <v>-10171</v>
      </c>
      <c r="F680" t="s">
        <v>49</v>
      </c>
      <c r="G680" t="s">
        <v>50</v>
      </c>
      <c r="H680" t="s">
        <v>51</v>
      </c>
      <c r="I680">
        <v>4</v>
      </c>
      <c r="J680" t="s">
        <v>52</v>
      </c>
      <c r="K680">
        <v>97</v>
      </c>
      <c r="L680" t="s">
        <v>53</v>
      </c>
      <c r="M680" t="s">
        <v>54</v>
      </c>
      <c r="N680" t="s">
        <v>55</v>
      </c>
      <c r="O680" t="s">
        <v>6368</v>
      </c>
      <c r="P680" t="s">
        <v>56</v>
      </c>
      <c r="Q680" t="s">
        <v>57</v>
      </c>
      <c r="R680" t="s">
        <v>58</v>
      </c>
      <c r="S680" s="2">
        <v>45429</v>
      </c>
      <c r="T680" t="s">
        <v>59</v>
      </c>
      <c r="U680" t="s">
        <v>60</v>
      </c>
      <c r="V680">
        <v>1</v>
      </c>
      <c r="W680">
        <v>2</v>
      </c>
      <c r="X680">
        <v>210373</v>
      </c>
      <c r="Y680" t="s">
        <v>61</v>
      </c>
      <c r="Z680" t="s">
        <v>57</v>
      </c>
      <c r="AA680" t="s">
        <v>6369</v>
      </c>
      <c r="AB680" t="s">
        <v>45</v>
      </c>
      <c r="AC680" t="s">
        <v>6370</v>
      </c>
    </row>
    <row r="681" spans="1:29">
      <c r="A681" t="s">
        <v>62</v>
      </c>
      <c r="B681" s="1">
        <v>108548</v>
      </c>
      <c r="C681" t="s">
        <v>63</v>
      </c>
      <c r="D681" t="s">
        <v>31</v>
      </c>
      <c r="E681" s="1">
        <v>-4169</v>
      </c>
      <c r="F681" t="s">
        <v>64</v>
      </c>
      <c r="G681" t="s">
        <v>65</v>
      </c>
      <c r="H681" t="s">
        <v>66</v>
      </c>
      <c r="I681">
        <v>4</v>
      </c>
      <c r="J681" t="s">
        <v>67</v>
      </c>
      <c r="K681">
        <v>93</v>
      </c>
      <c r="L681" t="s">
        <v>68</v>
      </c>
      <c r="M681" t="s">
        <v>69</v>
      </c>
      <c r="N681" t="s">
        <v>70</v>
      </c>
      <c r="O681" t="s">
        <v>6368</v>
      </c>
      <c r="P681" t="s">
        <v>71</v>
      </c>
      <c r="Q681" t="s">
        <v>72</v>
      </c>
      <c r="R681" t="s">
        <v>73</v>
      </c>
      <c r="S681" s="2">
        <v>45583</v>
      </c>
      <c r="T681">
        <v>0</v>
      </c>
      <c r="U681" t="s">
        <v>74</v>
      </c>
      <c r="V681">
        <v>1</v>
      </c>
      <c r="W681">
        <v>1</v>
      </c>
      <c r="X681">
        <v>166300</v>
      </c>
      <c r="Y681" t="s">
        <v>75</v>
      </c>
      <c r="Z681" t="s">
        <v>72</v>
      </c>
      <c r="AA681" t="s">
        <v>6369</v>
      </c>
      <c r="AB681" t="s">
        <v>45</v>
      </c>
      <c r="AC681" t="s">
        <v>6370</v>
      </c>
    </row>
    <row r="682" spans="1:29">
      <c r="A682" t="s">
        <v>653</v>
      </c>
      <c r="B682" s="1">
        <v>116034</v>
      </c>
      <c r="C682" t="s">
        <v>654</v>
      </c>
      <c r="D682" t="s">
        <v>31</v>
      </c>
      <c r="E682" s="1">
        <v>-3743</v>
      </c>
      <c r="F682" t="s">
        <v>655</v>
      </c>
      <c r="G682" t="s">
        <v>335</v>
      </c>
      <c r="H682" t="s">
        <v>656</v>
      </c>
      <c r="I682">
        <v>4</v>
      </c>
      <c r="J682" t="s">
        <v>657</v>
      </c>
      <c r="K682">
        <v>92</v>
      </c>
      <c r="L682" t="s">
        <v>658</v>
      </c>
      <c r="M682" t="s">
        <v>659</v>
      </c>
      <c r="N682" t="s">
        <v>660</v>
      </c>
      <c r="O682" t="s">
        <v>6368</v>
      </c>
      <c r="P682" t="s">
        <v>661</v>
      </c>
      <c r="Q682" t="s">
        <v>662</v>
      </c>
      <c r="R682" t="s">
        <v>663</v>
      </c>
      <c r="S682" s="2">
        <v>45492</v>
      </c>
      <c r="T682">
        <v>0</v>
      </c>
      <c r="U682" t="s">
        <v>664</v>
      </c>
      <c r="V682">
        <v>0</v>
      </c>
      <c r="W682">
        <v>0</v>
      </c>
      <c r="X682">
        <v>170888</v>
      </c>
      <c r="Y682" t="s">
        <v>665</v>
      </c>
      <c r="Z682" t="s">
        <v>662</v>
      </c>
      <c r="AA682" t="s">
        <v>6369</v>
      </c>
      <c r="AB682" t="s">
        <v>45</v>
      </c>
      <c r="AC682" t="s">
        <v>6370</v>
      </c>
    </row>
    <row r="683" spans="1:29">
      <c r="A683" t="s">
        <v>605</v>
      </c>
      <c r="B683" s="1">
        <v>146921</v>
      </c>
      <c r="C683" t="s">
        <v>606</v>
      </c>
      <c r="D683" t="s">
        <v>31</v>
      </c>
      <c r="E683" t="s">
        <v>607</v>
      </c>
      <c r="F683" t="s">
        <v>608</v>
      </c>
      <c r="G683" t="s">
        <v>609</v>
      </c>
      <c r="H683" t="s">
        <v>610</v>
      </c>
      <c r="I683">
        <v>4</v>
      </c>
      <c r="J683" t="s">
        <v>611</v>
      </c>
      <c r="K683">
        <v>71</v>
      </c>
      <c r="L683" t="s">
        <v>6371</v>
      </c>
      <c r="M683" t="s">
        <v>6372</v>
      </c>
      <c r="N683" t="s">
        <v>6373</v>
      </c>
      <c r="O683" t="s">
        <v>6368</v>
      </c>
      <c r="P683" t="s">
        <v>6374</v>
      </c>
      <c r="Q683" t="s">
        <v>6375</v>
      </c>
      <c r="R683" t="s">
        <v>617</v>
      </c>
      <c r="S683" s="2">
        <v>45615</v>
      </c>
      <c r="T683">
        <v>0</v>
      </c>
      <c r="U683" t="s">
        <v>6376</v>
      </c>
      <c r="V683">
        <v>1</v>
      </c>
      <c r="W683">
        <v>8</v>
      </c>
      <c r="X683">
        <v>151647</v>
      </c>
      <c r="Y683" t="s">
        <v>619</v>
      </c>
      <c r="Z683" t="s">
        <v>6375</v>
      </c>
      <c r="AA683" t="s">
        <v>6369</v>
      </c>
      <c r="AB683" t="s">
        <v>45</v>
      </c>
      <c r="AC683" t="s">
        <v>6370</v>
      </c>
    </row>
    <row r="684" spans="1:29">
      <c r="A684" t="s">
        <v>799</v>
      </c>
      <c r="B684" s="1">
        <v>94938</v>
      </c>
      <c r="C684" t="s">
        <v>6377</v>
      </c>
      <c r="D684" t="s">
        <v>31</v>
      </c>
      <c r="E684" s="1">
        <v>-10432</v>
      </c>
      <c r="F684" t="s">
        <v>655</v>
      </c>
      <c r="G684" t="s">
        <v>3106</v>
      </c>
      <c r="H684" t="s">
        <v>148</v>
      </c>
      <c r="I684">
        <v>4</v>
      </c>
      <c r="J684" t="s">
        <v>149</v>
      </c>
      <c r="K684">
        <v>93</v>
      </c>
      <c r="L684" t="s">
        <v>6378</v>
      </c>
      <c r="M684" t="s">
        <v>6379</v>
      </c>
      <c r="N684" t="s">
        <v>152</v>
      </c>
      <c r="O684" t="s">
        <v>6368</v>
      </c>
      <c r="P684" t="s">
        <v>6380</v>
      </c>
      <c r="Q684" t="s">
        <v>6381</v>
      </c>
      <c r="R684" t="s">
        <v>152</v>
      </c>
      <c r="S684" s="2">
        <v>45499</v>
      </c>
      <c r="T684" t="s">
        <v>6382</v>
      </c>
      <c r="U684" t="s">
        <v>6383</v>
      </c>
      <c r="V684">
        <v>1</v>
      </c>
      <c r="W684">
        <v>11</v>
      </c>
      <c r="X684">
        <v>211979</v>
      </c>
      <c r="Y684" t="s">
        <v>3311</v>
      </c>
      <c r="Z684" t="s">
        <v>6381</v>
      </c>
      <c r="AA684" t="s">
        <v>6369</v>
      </c>
      <c r="AB684" t="s">
        <v>45</v>
      </c>
      <c r="AC684" t="s">
        <v>6370</v>
      </c>
    </row>
    <row r="685" spans="1:29">
      <c r="A685" t="s">
        <v>1620</v>
      </c>
      <c r="B685" s="1">
        <v>112964</v>
      </c>
      <c r="C685" t="s">
        <v>1163</v>
      </c>
      <c r="D685" t="s">
        <v>31</v>
      </c>
      <c r="E685" s="1">
        <v>-4086</v>
      </c>
      <c r="F685" t="s">
        <v>147</v>
      </c>
      <c r="G685" t="s">
        <v>839</v>
      </c>
      <c r="H685" t="s">
        <v>81</v>
      </c>
      <c r="I685">
        <v>4</v>
      </c>
      <c r="J685" t="s">
        <v>1223</v>
      </c>
      <c r="K685">
        <v>93</v>
      </c>
      <c r="L685" t="s">
        <v>6384</v>
      </c>
      <c r="M685" t="s">
        <v>6385</v>
      </c>
      <c r="N685" t="s">
        <v>85</v>
      </c>
      <c r="O685" t="s">
        <v>6368</v>
      </c>
      <c r="P685" t="s">
        <v>6386</v>
      </c>
      <c r="Q685" t="s">
        <v>6387</v>
      </c>
      <c r="R685" t="s">
        <v>88</v>
      </c>
      <c r="S685" s="2">
        <v>45527</v>
      </c>
      <c r="T685">
        <v>0</v>
      </c>
      <c r="U685" t="s">
        <v>6388</v>
      </c>
      <c r="V685">
        <v>1</v>
      </c>
      <c r="W685">
        <v>3</v>
      </c>
      <c r="X685">
        <v>157280</v>
      </c>
      <c r="Y685" t="s">
        <v>366</v>
      </c>
      <c r="Z685" t="s">
        <v>6387</v>
      </c>
      <c r="AA685" t="s">
        <v>6369</v>
      </c>
      <c r="AB685" t="s">
        <v>45</v>
      </c>
      <c r="AC685" t="s">
        <v>6370</v>
      </c>
    </row>
    <row r="686" spans="1:29">
      <c r="A686" t="s">
        <v>421</v>
      </c>
      <c r="B686" s="1">
        <v>112648</v>
      </c>
      <c r="C686" t="s">
        <v>422</v>
      </c>
      <c r="D686" t="s">
        <v>31</v>
      </c>
      <c r="E686" s="1">
        <v>-6968</v>
      </c>
      <c r="F686" t="s">
        <v>423</v>
      </c>
      <c r="G686" t="s">
        <v>424</v>
      </c>
      <c r="H686" t="s">
        <v>425</v>
      </c>
      <c r="I686">
        <v>3</v>
      </c>
      <c r="J686" t="s">
        <v>426</v>
      </c>
      <c r="K686">
        <v>93</v>
      </c>
      <c r="L686" t="s">
        <v>427</v>
      </c>
      <c r="M686" t="s">
        <v>428</v>
      </c>
      <c r="N686" t="s">
        <v>429</v>
      </c>
      <c r="O686" t="s">
        <v>6368</v>
      </c>
      <c r="P686" t="s">
        <v>430</v>
      </c>
      <c r="Q686" t="s">
        <v>431</v>
      </c>
      <c r="R686" t="s">
        <v>429</v>
      </c>
      <c r="S686" s="2">
        <v>45561</v>
      </c>
      <c r="T686" t="s">
        <v>432</v>
      </c>
      <c r="U686" t="s">
        <v>433</v>
      </c>
      <c r="V686">
        <v>1</v>
      </c>
      <c r="W686">
        <v>6</v>
      </c>
      <c r="X686">
        <v>225881</v>
      </c>
      <c r="Y686" t="s">
        <v>434</v>
      </c>
      <c r="Z686" t="s">
        <v>431</v>
      </c>
      <c r="AA686" t="s">
        <v>6369</v>
      </c>
      <c r="AB686" t="s">
        <v>45</v>
      </c>
      <c r="AC686" t="s">
        <v>6370</v>
      </c>
    </row>
    <row r="687" spans="1:29">
      <c r="A687" t="s">
        <v>132</v>
      </c>
      <c r="B687" s="1">
        <v>148101</v>
      </c>
      <c r="C687" t="s">
        <v>133</v>
      </c>
      <c r="D687" t="s">
        <v>31</v>
      </c>
      <c r="E687" s="1">
        <v>-12002</v>
      </c>
      <c r="F687" t="s">
        <v>134</v>
      </c>
      <c r="G687" t="s">
        <v>135</v>
      </c>
      <c r="H687" t="s">
        <v>51</v>
      </c>
      <c r="I687">
        <v>4</v>
      </c>
      <c r="J687" t="s">
        <v>136</v>
      </c>
      <c r="K687">
        <v>93</v>
      </c>
      <c r="L687" t="s">
        <v>137</v>
      </c>
      <c r="M687" t="s">
        <v>138</v>
      </c>
      <c r="N687" t="s">
        <v>55</v>
      </c>
      <c r="O687" t="s">
        <v>6368</v>
      </c>
      <c r="P687" t="s">
        <v>139</v>
      </c>
      <c r="Q687" t="s">
        <v>140</v>
      </c>
      <c r="R687" t="s">
        <v>141</v>
      </c>
      <c r="S687" s="2">
        <v>45429</v>
      </c>
      <c r="T687" t="s">
        <v>142</v>
      </c>
      <c r="U687" t="s">
        <v>60</v>
      </c>
      <c r="V687">
        <v>0</v>
      </c>
      <c r="W687">
        <v>6</v>
      </c>
      <c r="X687">
        <v>261467</v>
      </c>
      <c r="Y687" t="s">
        <v>143</v>
      </c>
      <c r="Z687" t="s">
        <v>140</v>
      </c>
      <c r="AA687" t="s">
        <v>6369</v>
      </c>
      <c r="AB687" t="s">
        <v>45</v>
      </c>
      <c r="AC687" t="s">
        <v>6370</v>
      </c>
    </row>
    <row r="688" spans="1:29">
      <c r="A688" t="s">
        <v>174</v>
      </c>
      <c r="B688" s="1">
        <v>103963</v>
      </c>
      <c r="C688" t="s">
        <v>1917</v>
      </c>
      <c r="D688" t="s">
        <v>31</v>
      </c>
      <c r="E688" s="1">
        <v>-5282</v>
      </c>
      <c r="F688" t="s">
        <v>1538</v>
      </c>
      <c r="G688" t="s">
        <v>2813</v>
      </c>
      <c r="H688" t="s">
        <v>81</v>
      </c>
      <c r="I688">
        <v>4</v>
      </c>
      <c r="J688" t="s">
        <v>6283</v>
      </c>
      <c r="K688">
        <v>88</v>
      </c>
      <c r="L688" t="s">
        <v>6389</v>
      </c>
      <c r="M688" t="s">
        <v>6390</v>
      </c>
      <c r="N688" t="s">
        <v>85</v>
      </c>
      <c r="O688" t="s">
        <v>6368</v>
      </c>
      <c r="P688" t="s">
        <v>6391</v>
      </c>
      <c r="Q688" t="s">
        <v>6392</v>
      </c>
      <c r="R688" t="s">
        <v>326</v>
      </c>
      <c r="S688" s="2">
        <v>45527</v>
      </c>
      <c r="T688" t="s">
        <v>6393</v>
      </c>
      <c r="U688" t="s">
        <v>6388</v>
      </c>
      <c r="V688">
        <v>1</v>
      </c>
      <c r="W688">
        <v>0</v>
      </c>
      <c r="X688">
        <v>175459</v>
      </c>
      <c r="Y688" t="s">
        <v>956</v>
      </c>
      <c r="Z688" t="s">
        <v>6392</v>
      </c>
      <c r="AA688" t="s">
        <v>6369</v>
      </c>
      <c r="AB688" t="s">
        <v>45</v>
      </c>
      <c r="AC688" t="s">
        <v>6370</v>
      </c>
    </row>
    <row r="689" spans="1:29">
      <c r="A689" t="s">
        <v>158</v>
      </c>
      <c r="B689" s="1">
        <v>119973</v>
      </c>
      <c r="C689" t="s">
        <v>159</v>
      </c>
      <c r="D689" t="s">
        <v>31</v>
      </c>
      <c r="E689" s="1">
        <v>-5485</v>
      </c>
      <c r="F689" t="s">
        <v>160</v>
      </c>
      <c r="G689" t="s">
        <v>161</v>
      </c>
      <c r="H689" t="s">
        <v>162</v>
      </c>
      <c r="I689">
        <v>4</v>
      </c>
      <c r="J689" t="s">
        <v>163</v>
      </c>
      <c r="K689">
        <v>92</v>
      </c>
      <c r="L689" t="s">
        <v>164</v>
      </c>
      <c r="M689" t="s">
        <v>165</v>
      </c>
      <c r="N689" t="s">
        <v>166</v>
      </c>
      <c r="O689" t="s">
        <v>6368</v>
      </c>
      <c r="P689" t="s">
        <v>167</v>
      </c>
      <c r="Q689" t="s">
        <v>168</v>
      </c>
      <c r="R689" t="s">
        <v>169</v>
      </c>
      <c r="S689" s="2">
        <v>45562</v>
      </c>
      <c r="T689" t="s">
        <v>170</v>
      </c>
      <c r="U689" t="s">
        <v>171</v>
      </c>
      <c r="V689">
        <v>0</v>
      </c>
      <c r="W689">
        <v>11</v>
      </c>
      <c r="X689">
        <v>256000</v>
      </c>
      <c r="Y689" t="s">
        <v>172</v>
      </c>
      <c r="Z689" t="s">
        <v>168</v>
      </c>
      <c r="AA689" t="s">
        <v>6369</v>
      </c>
      <c r="AB689" t="s">
        <v>45</v>
      </c>
      <c r="AC689" t="s">
        <v>6370</v>
      </c>
    </row>
    <row r="690" spans="1:29">
      <c r="A690" t="s">
        <v>104</v>
      </c>
      <c r="B690" s="1">
        <v>116712</v>
      </c>
      <c r="C690" t="s">
        <v>105</v>
      </c>
      <c r="D690" t="s">
        <v>31</v>
      </c>
      <c r="E690" t="s">
        <v>106</v>
      </c>
      <c r="F690" t="s">
        <v>107</v>
      </c>
      <c r="G690" t="s">
        <v>108</v>
      </c>
      <c r="H690" t="s">
        <v>109</v>
      </c>
      <c r="I690">
        <v>4</v>
      </c>
      <c r="J690" t="s">
        <v>110</v>
      </c>
      <c r="K690">
        <v>94</v>
      </c>
      <c r="L690" t="s">
        <v>111</v>
      </c>
      <c r="M690" t="s">
        <v>112</v>
      </c>
      <c r="N690" t="s">
        <v>113</v>
      </c>
      <c r="O690" t="s">
        <v>6368</v>
      </c>
      <c r="P690" t="s">
        <v>114</v>
      </c>
      <c r="Q690" t="s">
        <v>115</v>
      </c>
      <c r="R690" t="s">
        <v>113</v>
      </c>
      <c r="S690" s="2">
        <v>45387</v>
      </c>
      <c r="T690">
        <v>0</v>
      </c>
      <c r="U690" t="s">
        <v>116</v>
      </c>
      <c r="V690">
        <v>0</v>
      </c>
      <c r="W690">
        <v>11</v>
      </c>
      <c r="X690">
        <v>218424</v>
      </c>
      <c r="Y690" t="s">
        <v>117</v>
      </c>
      <c r="Z690" t="s">
        <v>115</v>
      </c>
      <c r="AA690" t="s">
        <v>6369</v>
      </c>
      <c r="AB690" t="s">
        <v>45</v>
      </c>
      <c r="AC690" t="s">
        <v>6370</v>
      </c>
    </row>
    <row r="691" spans="1:29">
      <c r="A691" t="s">
        <v>346</v>
      </c>
      <c r="B691" s="1">
        <v>105008</v>
      </c>
      <c r="C691" t="s">
        <v>347</v>
      </c>
      <c r="D691" t="s">
        <v>31</v>
      </c>
      <c r="E691" s="1">
        <v>-5593</v>
      </c>
      <c r="F691" t="s">
        <v>348</v>
      </c>
      <c r="G691" t="s">
        <v>349</v>
      </c>
      <c r="H691" t="s">
        <v>350</v>
      </c>
      <c r="I691">
        <v>4</v>
      </c>
      <c r="J691" t="s">
        <v>351</v>
      </c>
      <c r="K691">
        <v>82</v>
      </c>
      <c r="L691" t="s">
        <v>352</v>
      </c>
      <c r="M691" t="s">
        <v>353</v>
      </c>
      <c r="N691" t="s">
        <v>354</v>
      </c>
      <c r="O691" t="s">
        <v>6368</v>
      </c>
      <c r="P691" t="s">
        <v>355</v>
      </c>
      <c r="Q691" t="s">
        <v>356</v>
      </c>
      <c r="R691" t="s">
        <v>357</v>
      </c>
      <c r="S691" s="2">
        <v>45611</v>
      </c>
      <c r="T691" t="s">
        <v>358</v>
      </c>
      <c r="U691" t="s">
        <v>359</v>
      </c>
      <c r="V691">
        <v>0</v>
      </c>
      <c r="W691">
        <v>4</v>
      </c>
      <c r="X691">
        <v>182857</v>
      </c>
      <c r="Y691" t="s">
        <v>360</v>
      </c>
      <c r="Z691" t="s">
        <v>356</v>
      </c>
      <c r="AA691" t="s">
        <v>6369</v>
      </c>
      <c r="AB691" t="s">
        <v>45</v>
      </c>
      <c r="AC691" t="s">
        <v>6370</v>
      </c>
    </row>
    <row r="692" spans="1:29">
      <c r="A692" t="s">
        <v>3094</v>
      </c>
      <c r="B692" s="1">
        <v>150273</v>
      </c>
      <c r="C692" t="s">
        <v>301</v>
      </c>
      <c r="D692" t="s">
        <v>31</v>
      </c>
      <c r="E692" s="1">
        <v>-7463</v>
      </c>
      <c r="F692" t="s">
        <v>1061</v>
      </c>
      <c r="G692" t="s">
        <v>1250</v>
      </c>
      <c r="H692" t="s">
        <v>6394</v>
      </c>
      <c r="I692">
        <v>4</v>
      </c>
      <c r="J692" t="s">
        <v>1511</v>
      </c>
      <c r="K692">
        <v>87</v>
      </c>
      <c r="L692" t="s">
        <v>6395</v>
      </c>
      <c r="M692" t="s">
        <v>6396</v>
      </c>
      <c r="N692" t="s">
        <v>6397</v>
      </c>
      <c r="O692" t="s">
        <v>6368</v>
      </c>
      <c r="P692" t="s">
        <v>6398</v>
      </c>
      <c r="Q692" t="s">
        <v>6399</v>
      </c>
      <c r="R692" t="s">
        <v>6400</v>
      </c>
      <c r="S692" s="2">
        <v>34635</v>
      </c>
      <c r="T692">
        <v>0</v>
      </c>
      <c r="U692" t="s">
        <v>6401</v>
      </c>
      <c r="V692">
        <v>1</v>
      </c>
      <c r="W692">
        <v>7</v>
      </c>
      <c r="X692">
        <v>241107</v>
      </c>
      <c r="Y692" t="s">
        <v>264</v>
      </c>
      <c r="Z692" t="s">
        <v>6399</v>
      </c>
      <c r="AA692" t="s">
        <v>6369</v>
      </c>
      <c r="AB692" t="s">
        <v>45</v>
      </c>
      <c r="AC692" t="s">
        <v>6370</v>
      </c>
    </row>
    <row r="693" spans="1:29">
      <c r="A693" t="s">
        <v>3597</v>
      </c>
      <c r="B693" s="1">
        <v>107732</v>
      </c>
      <c r="C693" t="s">
        <v>2262</v>
      </c>
      <c r="D693" t="s">
        <v>31</v>
      </c>
      <c r="E693" s="1">
        <v>-8228</v>
      </c>
      <c r="F693" t="s">
        <v>1553</v>
      </c>
      <c r="G693" t="s">
        <v>5527</v>
      </c>
      <c r="H693" t="s">
        <v>6402</v>
      </c>
      <c r="I693">
        <v>4</v>
      </c>
      <c r="J693" t="s">
        <v>411</v>
      </c>
      <c r="K693">
        <v>72</v>
      </c>
      <c r="L693" t="s">
        <v>6403</v>
      </c>
      <c r="M693" t="s">
        <v>6404</v>
      </c>
      <c r="N693" t="s">
        <v>6405</v>
      </c>
      <c r="O693" t="s">
        <v>6368</v>
      </c>
      <c r="P693" t="s">
        <v>6406</v>
      </c>
      <c r="Q693" t="s">
        <v>6407</v>
      </c>
      <c r="R693" t="s">
        <v>6408</v>
      </c>
      <c r="S693" s="2">
        <v>45114</v>
      </c>
      <c r="T693" t="s">
        <v>6409</v>
      </c>
      <c r="U693" t="s">
        <v>6410</v>
      </c>
      <c r="V693">
        <v>1</v>
      </c>
      <c r="W693">
        <v>2</v>
      </c>
      <c r="X693">
        <v>265960</v>
      </c>
      <c r="Y693" t="s">
        <v>528</v>
      </c>
      <c r="Z693" t="s">
        <v>6407</v>
      </c>
      <c r="AA693" t="s">
        <v>6369</v>
      </c>
      <c r="AB693" t="s">
        <v>45</v>
      </c>
      <c r="AC693" t="s">
        <v>6370</v>
      </c>
    </row>
    <row r="694" spans="1:29">
      <c r="A694" t="s">
        <v>424</v>
      </c>
      <c r="B694" s="1">
        <v>105029</v>
      </c>
      <c r="C694" t="s">
        <v>475</v>
      </c>
      <c r="D694" t="s">
        <v>31</v>
      </c>
      <c r="E694" s="1">
        <v>-5692</v>
      </c>
      <c r="F694" t="s">
        <v>476</v>
      </c>
      <c r="G694" t="s">
        <v>477</v>
      </c>
      <c r="H694" t="s">
        <v>478</v>
      </c>
      <c r="I694">
        <v>3</v>
      </c>
      <c r="J694" t="s">
        <v>479</v>
      </c>
      <c r="K694">
        <v>89</v>
      </c>
      <c r="L694" t="s">
        <v>6411</v>
      </c>
      <c r="M694" t="s">
        <v>6412</v>
      </c>
      <c r="N694" t="s">
        <v>4827</v>
      </c>
      <c r="O694" t="s">
        <v>6368</v>
      </c>
      <c r="P694" t="s">
        <v>6413</v>
      </c>
      <c r="Q694" t="s">
        <v>6414</v>
      </c>
      <c r="R694" t="s">
        <v>482</v>
      </c>
      <c r="S694" s="2">
        <v>45387</v>
      </c>
      <c r="T694">
        <v>0</v>
      </c>
      <c r="U694" t="s">
        <v>4831</v>
      </c>
      <c r="V694">
        <v>1</v>
      </c>
      <c r="W694">
        <v>10</v>
      </c>
      <c r="X694">
        <v>180304</v>
      </c>
      <c r="Y694" t="s">
        <v>486</v>
      </c>
      <c r="Z694" t="s">
        <v>6414</v>
      </c>
      <c r="AA694" t="s">
        <v>6369</v>
      </c>
      <c r="AB694" t="s">
        <v>45</v>
      </c>
      <c r="AC694" t="s">
        <v>6370</v>
      </c>
    </row>
    <row r="695" spans="1:29">
      <c r="A695" t="s">
        <v>527</v>
      </c>
      <c r="B695" s="1">
        <v>128027</v>
      </c>
      <c r="C695" t="s">
        <v>539</v>
      </c>
      <c r="D695" t="s">
        <v>31</v>
      </c>
      <c r="E695" s="1">
        <v>-6795</v>
      </c>
      <c r="F695" t="s">
        <v>540</v>
      </c>
      <c r="G695" t="s">
        <v>250</v>
      </c>
      <c r="H695" t="s">
        <v>541</v>
      </c>
      <c r="I695">
        <v>4</v>
      </c>
      <c r="J695" t="s">
        <v>542</v>
      </c>
      <c r="K695">
        <v>93</v>
      </c>
      <c r="L695" t="s">
        <v>543</v>
      </c>
      <c r="M695" t="s">
        <v>544</v>
      </c>
      <c r="N695" t="s">
        <v>545</v>
      </c>
      <c r="O695" t="s">
        <v>6368</v>
      </c>
      <c r="P695" t="s">
        <v>546</v>
      </c>
      <c r="Q695" t="s">
        <v>547</v>
      </c>
      <c r="R695" t="s">
        <v>545</v>
      </c>
      <c r="S695" s="2">
        <v>45464</v>
      </c>
      <c r="T695" t="s">
        <v>548</v>
      </c>
      <c r="U695" t="s">
        <v>549</v>
      </c>
      <c r="V695">
        <v>1</v>
      </c>
      <c r="W695">
        <v>11</v>
      </c>
      <c r="X695">
        <v>195824</v>
      </c>
      <c r="Y695" t="s">
        <v>550</v>
      </c>
      <c r="Z695" t="s">
        <v>547</v>
      </c>
      <c r="AA695" t="s">
        <v>6369</v>
      </c>
      <c r="AB695" t="s">
        <v>45</v>
      </c>
      <c r="AC695" t="s">
        <v>6370</v>
      </c>
    </row>
    <row r="696" spans="1:29">
      <c r="A696" t="s">
        <v>642</v>
      </c>
      <c r="B696" s="1">
        <v>184115</v>
      </c>
      <c r="C696" t="s">
        <v>643</v>
      </c>
      <c r="D696" t="s">
        <v>31</v>
      </c>
      <c r="E696" s="1">
        <v>-3344</v>
      </c>
      <c r="F696" t="s">
        <v>211</v>
      </c>
      <c r="G696" t="s">
        <v>199</v>
      </c>
      <c r="H696" t="s">
        <v>644</v>
      </c>
      <c r="I696">
        <v>4</v>
      </c>
      <c r="J696" t="s">
        <v>645</v>
      </c>
      <c r="K696">
        <v>79</v>
      </c>
      <c r="L696" t="s">
        <v>6415</v>
      </c>
      <c r="M696" t="s">
        <v>6416</v>
      </c>
      <c r="N696" t="s">
        <v>6417</v>
      </c>
      <c r="O696" t="s">
        <v>6368</v>
      </c>
      <c r="P696" t="s">
        <v>6418</v>
      </c>
      <c r="Q696" t="s">
        <v>6419</v>
      </c>
      <c r="R696" t="s">
        <v>648</v>
      </c>
      <c r="S696" s="2">
        <v>45611</v>
      </c>
      <c r="T696">
        <v>0</v>
      </c>
      <c r="U696" t="s">
        <v>6420</v>
      </c>
      <c r="V696">
        <v>1</v>
      </c>
      <c r="W696">
        <v>7</v>
      </c>
      <c r="X696">
        <v>190428</v>
      </c>
      <c r="Y696" t="s">
        <v>652</v>
      </c>
      <c r="Z696" t="s">
        <v>6419</v>
      </c>
      <c r="AA696" t="s">
        <v>6369</v>
      </c>
      <c r="AB696" t="s">
        <v>45</v>
      </c>
      <c r="AC696" t="s">
        <v>6370</v>
      </c>
    </row>
    <row r="697" spans="1:29">
      <c r="A697" t="s">
        <v>188</v>
      </c>
      <c r="B697" s="1">
        <v>107015</v>
      </c>
      <c r="C697" t="s">
        <v>2132</v>
      </c>
      <c r="D697" t="s">
        <v>31</v>
      </c>
      <c r="E697" s="1">
        <v>-6086</v>
      </c>
      <c r="F697" t="s">
        <v>189</v>
      </c>
      <c r="G697" t="s">
        <v>3613</v>
      </c>
      <c r="H697" t="s">
        <v>81</v>
      </c>
      <c r="I697">
        <v>4</v>
      </c>
      <c r="J697" t="s">
        <v>5622</v>
      </c>
      <c r="K697">
        <v>87</v>
      </c>
      <c r="L697" t="s">
        <v>6421</v>
      </c>
      <c r="M697" t="s">
        <v>6422</v>
      </c>
      <c r="N697" t="s">
        <v>85</v>
      </c>
      <c r="O697" t="s">
        <v>6368</v>
      </c>
      <c r="P697" t="s">
        <v>6423</v>
      </c>
      <c r="Q697" t="s">
        <v>6424</v>
      </c>
      <c r="R697" t="s">
        <v>194</v>
      </c>
      <c r="S697" s="2">
        <v>45527</v>
      </c>
      <c r="T697">
        <v>0</v>
      </c>
      <c r="U697" t="s">
        <v>6388</v>
      </c>
      <c r="V697">
        <v>1</v>
      </c>
      <c r="W697">
        <v>9</v>
      </c>
      <c r="X697">
        <v>186365</v>
      </c>
      <c r="Y697" t="s">
        <v>1406</v>
      </c>
      <c r="Z697" t="s">
        <v>6424</v>
      </c>
      <c r="AA697" t="s">
        <v>6369</v>
      </c>
      <c r="AB697" t="s">
        <v>45</v>
      </c>
      <c r="AC697" t="s">
        <v>6370</v>
      </c>
    </row>
    <row r="698" spans="1:29">
      <c r="A698" t="s">
        <v>276</v>
      </c>
      <c r="B698" t="s">
        <v>277</v>
      </c>
      <c r="C698" t="s">
        <v>278</v>
      </c>
      <c r="D698" t="s">
        <v>31</v>
      </c>
      <c r="E698" s="1">
        <v>-7507</v>
      </c>
      <c r="F698" t="s">
        <v>279</v>
      </c>
      <c r="G698" t="s">
        <v>280</v>
      </c>
      <c r="H698" t="s">
        <v>66</v>
      </c>
      <c r="I698">
        <v>3</v>
      </c>
      <c r="J698" t="s">
        <v>281</v>
      </c>
      <c r="K698">
        <v>90</v>
      </c>
      <c r="L698" t="s">
        <v>282</v>
      </c>
      <c r="M698" t="s">
        <v>283</v>
      </c>
      <c r="N698" t="s">
        <v>284</v>
      </c>
      <c r="O698" t="s">
        <v>6368</v>
      </c>
      <c r="P698" t="s">
        <v>285</v>
      </c>
      <c r="Q698" t="s">
        <v>286</v>
      </c>
      <c r="R698" t="s">
        <v>287</v>
      </c>
      <c r="S698" s="2">
        <v>45464</v>
      </c>
      <c r="T698">
        <v>0</v>
      </c>
      <c r="U698" t="s">
        <v>288</v>
      </c>
      <c r="V698">
        <v>1</v>
      </c>
      <c r="W698">
        <v>10</v>
      </c>
      <c r="X698">
        <v>157147</v>
      </c>
      <c r="Y698" t="s">
        <v>289</v>
      </c>
      <c r="Z698" t="s">
        <v>286</v>
      </c>
      <c r="AA698" t="s">
        <v>6369</v>
      </c>
      <c r="AB698" t="s">
        <v>45</v>
      </c>
      <c r="AC698" t="s">
        <v>6370</v>
      </c>
    </row>
    <row r="699" spans="1:29">
      <c r="A699" t="s">
        <v>6425</v>
      </c>
      <c r="B699" s="1">
        <v>174097</v>
      </c>
      <c r="C699" t="s">
        <v>6426</v>
      </c>
      <c r="D699" t="s">
        <v>31</v>
      </c>
      <c r="E699" s="1">
        <v>-9514</v>
      </c>
      <c r="F699" t="s">
        <v>377</v>
      </c>
      <c r="G699" t="s">
        <v>2414</v>
      </c>
      <c r="H699" t="s">
        <v>6427</v>
      </c>
      <c r="I699">
        <v>3</v>
      </c>
      <c r="J699" t="s">
        <v>1702</v>
      </c>
      <c r="K699">
        <v>88</v>
      </c>
      <c r="L699" t="s">
        <v>6428</v>
      </c>
      <c r="M699" t="s">
        <v>6429</v>
      </c>
      <c r="N699" t="s">
        <v>6430</v>
      </c>
      <c r="O699" t="s">
        <v>6368</v>
      </c>
      <c r="P699" t="s">
        <v>6431</v>
      </c>
      <c r="Q699" t="s">
        <v>6432</v>
      </c>
      <c r="R699" t="s">
        <v>6433</v>
      </c>
      <c r="S699" s="2">
        <v>42100</v>
      </c>
      <c r="T699" t="s">
        <v>2416</v>
      </c>
      <c r="U699" t="s">
        <v>6434</v>
      </c>
      <c r="V699">
        <v>1</v>
      </c>
      <c r="W699">
        <v>9</v>
      </c>
      <c r="X699">
        <v>208212</v>
      </c>
      <c r="Y699" t="s">
        <v>5324</v>
      </c>
      <c r="Z699" t="s">
        <v>6432</v>
      </c>
      <c r="AA699" t="s">
        <v>6369</v>
      </c>
      <c r="AB699" t="s">
        <v>45</v>
      </c>
      <c r="AC699" t="s">
        <v>6370</v>
      </c>
    </row>
    <row r="700" spans="1:29">
      <c r="A700" t="s">
        <v>3094</v>
      </c>
      <c r="B700" s="1">
        <v>155865</v>
      </c>
      <c r="C700" t="s">
        <v>3095</v>
      </c>
      <c r="D700" t="s">
        <v>31</v>
      </c>
      <c r="E700" s="1">
        <v>-4975</v>
      </c>
      <c r="F700" t="s">
        <v>3096</v>
      </c>
      <c r="G700" t="s">
        <v>3097</v>
      </c>
      <c r="H700" t="s">
        <v>3098</v>
      </c>
      <c r="I700">
        <v>4</v>
      </c>
      <c r="J700" t="s">
        <v>2884</v>
      </c>
      <c r="K700">
        <v>78</v>
      </c>
      <c r="L700" t="s">
        <v>3099</v>
      </c>
      <c r="M700" t="s">
        <v>3100</v>
      </c>
      <c r="N700" t="s">
        <v>354</v>
      </c>
      <c r="O700" t="s">
        <v>6368</v>
      </c>
      <c r="P700" t="s">
        <v>3101</v>
      </c>
      <c r="Q700" t="s">
        <v>3102</v>
      </c>
      <c r="R700" t="s">
        <v>3103</v>
      </c>
      <c r="S700" s="2">
        <v>45611</v>
      </c>
      <c r="T700">
        <v>0</v>
      </c>
      <c r="U700" t="s">
        <v>359</v>
      </c>
      <c r="V700">
        <v>1</v>
      </c>
      <c r="W700">
        <v>7</v>
      </c>
      <c r="X700">
        <v>206066</v>
      </c>
      <c r="Y700" t="s">
        <v>824</v>
      </c>
      <c r="Z700" t="s">
        <v>3102</v>
      </c>
      <c r="AA700" t="s">
        <v>6369</v>
      </c>
      <c r="AB700" t="s">
        <v>45</v>
      </c>
      <c r="AC700" t="s">
        <v>6370</v>
      </c>
    </row>
    <row r="701" spans="1:29">
      <c r="A701" t="s">
        <v>2651</v>
      </c>
      <c r="B701" s="1">
        <v>124053</v>
      </c>
      <c r="C701" t="s">
        <v>143</v>
      </c>
      <c r="D701" t="s">
        <v>31</v>
      </c>
      <c r="E701" t="s">
        <v>6435</v>
      </c>
      <c r="F701" t="s">
        <v>366</v>
      </c>
      <c r="G701" t="s">
        <v>983</v>
      </c>
      <c r="H701" t="s">
        <v>6436</v>
      </c>
      <c r="I701">
        <v>4</v>
      </c>
      <c r="J701" t="s">
        <v>645</v>
      </c>
      <c r="K701">
        <v>90</v>
      </c>
      <c r="L701" t="s">
        <v>6437</v>
      </c>
      <c r="M701" t="s">
        <v>6438</v>
      </c>
      <c r="N701" t="s">
        <v>6439</v>
      </c>
      <c r="O701" t="s">
        <v>6368</v>
      </c>
      <c r="P701" t="s">
        <v>6440</v>
      </c>
      <c r="Q701" t="s">
        <v>6441</v>
      </c>
      <c r="R701" t="s">
        <v>6442</v>
      </c>
      <c r="S701" s="2">
        <v>41386</v>
      </c>
      <c r="T701" t="s">
        <v>6443</v>
      </c>
      <c r="U701" t="s">
        <v>6444</v>
      </c>
      <c r="V701">
        <v>1</v>
      </c>
      <c r="W701">
        <v>10</v>
      </c>
      <c r="X701">
        <v>240400</v>
      </c>
      <c r="Y701" t="s">
        <v>6445</v>
      </c>
      <c r="Z701" t="s">
        <v>6441</v>
      </c>
      <c r="AA701" t="s">
        <v>6369</v>
      </c>
      <c r="AB701" t="s">
        <v>45</v>
      </c>
      <c r="AC701" t="s">
        <v>6370</v>
      </c>
    </row>
    <row r="702" spans="1:29">
      <c r="A702" t="s">
        <v>2196</v>
      </c>
      <c r="B702" s="1">
        <v>67528</v>
      </c>
      <c r="C702" t="s">
        <v>771</v>
      </c>
      <c r="D702" t="s">
        <v>31</v>
      </c>
      <c r="E702" s="1">
        <v>-9345</v>
      </c>
      <c r="F702" t="s">
        <v>3044</v>
      </c>
      <c r="G702" t="s">
        <v>5559</v>
      </c>
      <c r="H702" t="s">
        <v>3458</v>
      </c>
      <c r="I702">
        <v>4</v>
      </c>
      <c r="J702" t="s">
        <v>6446</v>
      </c>
      <c r="K702">
        <v>90</v>
      </c>
      <c r="L702" t="s">
        <v>6447</v>
      </c>
      <c r="M702" t="s">
        <v>6448</v>
      </c>
      <c r="N702" t="s">
        <v>6449</v>
      </c>
      <c r="O702" t="s">
        <v>6368</v>
      </c>
      <c r="P702" t="s">
        <v>6450</v>
      </c>
      <c r="Q702" t="s">
        <v>6451</v>
      </c>
      <c r="R702" t="s">
        <v>6452</v>
      </c>
      <c r="S702" s="2">
        <v>41526</v>
      </c>
      <c r="T702" t="s">
        <v>6453</v>
      </c>
      <c r="U702" t="s">
        <v>6454</v>
      </c>
      <c r="V702">
        <v>0</v>
      </c>
      <c r="W702">
        <v>0</v>
      </c>
      <c r="X702">
        <v>183956</v>
      </c>
      <c r="Y702" t="s">
        <v>1812</v>
      </c>
      <c r="Z702" t="s">
        <v>6451</v>
      </c>
      <c r="AA702" t="s">
        <v>6369</v>
      </c>
      <c r="AB702" t="s">
        <v>45</v>
      </c>
      <c r="AC702" t="s">
        <v>6370</v>
      </c>
    </row>
    <row r="703" spans="1:29">
      <c r="A703" t="s">
        <v>215</v>
      </c>
      <c r="B703" t="s">
        <v>514</v>
      </c>
      <c r="C703" t="s">
        <v>118</v>
      </c>
      <c r="D703" t="s">
        <v>31</v>
      </c>
      <c r="E703" s="1">
        <v>-4409</v>
      </c>
      <c r="F703" t="s">
        <v>189</v>
      </c>
      <c r="G703" t="s">
        <v>515</v>
      </c>
      <c r="H703" t="s">
        <v>516</v>
      </c>
      <c r="I703">
        <v>3</v>
      </c>
      <c r="J703" t="s">
        <v>517</v>
      </c>
      <c r="K703">
        <v>89</v>
      </c>
      <c r="L703" t="s">
        <v>518</v>
      </c>
      <c r="M703" t="s">
        <v>519</v>
      </c>
      <c r="N703" t="s">
        <v>520</v>
      </c>
      <c r="O703" t="s">
        <v>6368</v>
      </c>
      <c r="P703" t="s">
        <v>521</v>
      </c>
      <c r="Q703" t="s">
        <v>522</v>
      </c>
      <c r="R703" t="s">
        <v>523</v>
      </c>
      <c r="S703" s="2">
        <v>45184</v>
      </c>
      <c r="T703" t="s">
        <v>524</v>
      </c>
      <c r="U703" t="s">
        <v>525</v>
      </c>
      <c r="V703">
        <v>1</v>
      </c>
      <c r="W703">
        <v>9</v>
      </c>
      <c r="X703">
        <v>210689</v>
      </c>
      <c r="Y703" t="s">
        <v>526</v>
      </c>
      <c r="Z703" t="s">
        <v>522</v>
      </c>
      <c r="AA703" t="s">
        <v>6369</v>
      </c>
      <c r="AB703" t="s">
        <v>45</v>
      </c>
      <c r="AC703" t="s">
        <v>6370</v>
      </c>
    </row>
    <row r="704" spans="1:29">
      <c r="A704" t="s">
        <v>879</v>
      </c>
      <c r="B704" s="1">
        <v>78558</v>
      </c>
      <c r="C704" t="s">
        <v>5062</v>
      </c>
      <c r="D704" t="s">
        <v>31</v>
      </c>
      <c r="E704" s="1">
        <v>-9222</v>
      </c>
      <c r="F704" t="s">
        <v>1528</v>
      </c>
      <c r="G704" t="s">
        <v>391</v>
      </c>
      <c r="H704" t="s">
        <v>6455</v>
      </c>
      <c r="I704">
        <v>4</v>
      </c>
      <c r="J704" t="s">
        <v>6456</v>
      </c>
      <c r="K704">
        <v>90</v>
      </c>
      <c r="L704" t="s">
        <v>6457</v>
      </c>
      <c r="M704" t="s">
        <v>6458</v>
      </c>
      <c r="N704" t="s">
        <v>6459</v>
      </c>
      <c r="O704" t="s">
        <v>6368</v>
      </c>
      <c r="P704" t="s">
        <v>6460</v>
      </c>
      <c r="Q704" t="s">
        <v>6461</v>
      </c>
      <c r="R704" t="s">
        <v>6462</v>
      </c>
      <c r="S704" s="2">
        <v>42937</v>
      </c>
      <c r="T704" t="s">
        <v>6463</v>
      </c>
      <c r="U704" t="s">
        <v>6464</v>
      </c>
      <c r="V704">
        <v>1</v>
      </c>
      <c r="W704">
        <v>6</v>
      </c>
      <c r="X704">
        <v>180387</v>
      </c>
      <c r="Y704" t="s">
        <v>3144</v>
      </c>
      <c r="Z704" t="s">
        <v>6461</v>
      </c>
      <c r="AA704" t="s">
        <v>6369</v>
      </c>
      <c r="AB704" t="s">
        <v>45</v>
      </c>
      <c r="AC704" t="s">
        <v>6370</v>
      </c>
    </row>
    <row r="705" spans="1:29">
      <c r="A705" t="s">
        <v>1131</v>
      </c>
      <c r="B705" s="1">
        <v>173372</v>
      </c>
      <c r="C705" t="s">
        <v>2938</v>
      </c>
      <c r="D705" t="s">
        <v>31</v>
      </c>
      <c r="E705" s="1">
        <v>-7227</v>
      </c>
      <c r="F705" t="s">
        <v>1550</v>
      </c>
      <c r="G705" t="s">
        <v>318</v>
      </c>
      <c r="H705" t="s">
        <v>6465</v>
      </c>
      <c r="I705">
        <v>4</v>
      </c>
      <c r="J705" t="s">
        <v>3606</v>
      </c>
      <c r="K705">
        <v>89</v>
      </c>
      <c r="L705" t="s">
        <v>6466</v>
      </c>
      <c r="M705" t="s">
        <v>6467</v>
      </c>
      <c r="N705" t="s">
        <v>6468</v>
      </c>
      <c r="O705" t="s">
        <v>6368</v>
      </c>
      <c r="P705" t="s">
        <v>6469</v>
      </c>
      <c r="Q705" t="s">
        <v>6470</v>
      </c>
      <c r="R705" t="s">
        <v>6471</v>
      </c>
      <c r="S705" s="2">
        <v>36717</v>
      </c>
      <c r="T705" t="s">
        <v>6472</v>
      </c>
      <c r="U705" t="s">
        <v>6473</v>
      </c>
      <c r="V705">
        <v>1</v>
      </c>
      <c r="W705">
        <v>11</v>
      </c>
      <c r="X705">
        <v>266773</v>
      </c>
      <c r="Y705" t="s">
        <v>6474</v>
      </c>
      <c r="Z705" t="s">
        <v>6470</v>
      </c>
      <c r="AA705" t="s">
        <v>6369</v>
      </c>
      <c r="AB705" t="s">
        <v>45</v>
      </c>
      <c r="AC705" t="s">
        <v>6370</v>
      </c>
    </row>
    <row r="706" spans="1:29">
      <c r="A706" t="s">
        <v>304</v>
      </c>
      <c r="B706" t="s">
        <v>305</v>
      </c>
      <c r="C706" t="s">
        <v>306</v>
      </c>
      <c r="D706" t="s">
        <v>31</v>
      </c>
      <c r="E706" s="1">
        <v>-3986</v>
      </c>
      <c r="F706" t="s">
        <v>307</v>
      </c>
      <c r="G706" t="s">
        <v>308</v>
      </c>
      <c r="H706" t="s">
        <v>309</v>
      </c>
      <c r="I706">
        <v>4</v>
      </c>
      <c r="J706" t="s">
        <v>310</v>
      </c>
      <c r="K706">
        <v>88</v>
      </c>
      <c r="L706" t="s">
        <v>311</v>
      </c>
      <c r="M706" t="s">
        <v>312</v>
      </c>
      <c r="N706" t="s">
        <v>313</v>
      </c>
      <c r="O706" t="s">
        <v>6368</v>
      </c>
      <c r="P706" t="s">
        <v>314</v>
      </c>
      <c r="Q706" t="s">
        <v>315</v>
      </c>
      <c r="R706" t="s">
        <v>316</v>
      </c>
      <c r="S706" s="2">
        <v>45593</v>
      </c>
      <c r="T706">
        <v>0</v>
      </c>
      <c r="U706" t="s">
        <v>317</v>
      </c>
      <c r="V706">
        <v>1</v>
      </c>
      <c r="W706">
        <v>1</v>
      </c>
      <c r="X706">
        <v>255916</v>
      </c>
      <c r="Y706" t="s">
        <v>318</v>
      </c>
      <c r="Z706" t="s">
        <v>315</v>
      </c>
      <c r="AA706" t="s">
        <v>6369</v>
      </c>
      <c r="AB706" t="s">
        <v>45</v>
      </c>
      <c r="AC706" t="s">
        <v>6370</v>
      </c>
    </row>
    <row r="707" spans="1:29">
      <c r="A707" t="s">
        <v>581</v>
      </c>
      <c r="B707" s="1">
        <v>134066</v>
      </c>
      <c r="C707" t="s">
        <v>1938</v>
      </c>
      <c r="D707" t="s">
        <v>31</v>
      </c>
      <c r="E707" s="1">
        <v>-4961</v>
      </c>
      <c r="F707" t="s">
        <v>6475</v>
      </c>
      <c r="G707" t="s">
        <v>3257</v>
      </c>
      <c r="H707" t="s">
        <v>6476</v>
      </c>
      <c r="I707">
        <v>4</v>
      </c>
      <c r="J707" t="s">
        <v>6477</v>
      </c>
      <c r="K707">
        <v>88</v>
      </c>
      <c r="L707" t="s">
        <v>6478</v>
      </c>
      <c r="M707" t="s">
        <v>6479</v>
      </c>
      <c r="N707" t="s">
        <v>6480</v>
      </c>
      <c r="O707" t="s">
        <v>6368</v>
      </c>
      <c r="P707" t="s">
        <v>6481</v>
      </c>
      <c r="Q707" t="s">
        <v>6482</v>
      </c>
      <c r="R707" t="s">
        <v>6483</v>
      </c>
      <c r="S707" s="2">
        <v>42691</v>
      </c>
      <c r="T707">
        <v>0</v>
      </c>
      <c r="U707" t="s">
        <v>6484</v>
      </c>
      <c r="V707">
        <v>1</v>
      </c>
      <c r="W707">
        <v>1</v>
      </c>
      <c r="X707">
        <v>206693</v>
      </c>
      <c r="Y707" t="s">
        <v>1322</v>
      </c>
      <c r="Z707" t="s">
        <v>6482</v>
      </c>
      <c r="AA707" t="s">
        <v>6369</v>
      </c>
      <c r="AB707" t="s">
        <v>45</v>
      </c>
      <c r="AC707" t="s">
        <v>6370</v>
      </c>
    </row>
    <row r="708" spans="1:29">
      <c r="A708" t="s">
        <v>3974</v>
      </c>
      <c r="B708" s="1">
        <v>143994</v>
      </c>
      <c r="C708" t="s">
        <v>2151</v>
      </c>
      <c r="D708" t="s">
        <v>31</v>
      </c>
      <c r="E708" s="1">
        <v>-4165</v>
      </c>
      <c r="F708" t="s">
        <v>4712</v>
      </c>
      <c r="G708" t="s">
        <v>2116</v>
      </c>
      <c r="H708" t="s">
        <v>6476</v>
      </c>
      <c r="I708">
        <v>4</v>
      </c>
      <c r="J708" t="s">
        <v>136</v>
      </c>
      <c r="K708">
        <v>89</v>
      </c>
      <c r="L708" t="s">
        <v>6485</v>
      </c>
      <c r="M708" t="s">
        <v>6486</v>
      </c>
      <c r="N708" t="s">
        <v>6487</v>
      </c>
      <c r="O708" t="s">
        <v>6368</v>
      </c>
      <c r="P708" t="s">
        <v>6488</v>
      </c>
      <c r="Q708" t="s">
        <v>6489</v>
      </c>
      <c r="R708" t="s">
        <v>6490</v>
      </c>
      <c r="S708" s="2">
        <v>41250</v>
      </c>
      <c r="T708">
        <v>0</v>
      </c>
      <c r="U708" t="s">
        <v>6491</v>
      </c>
      <c r="V708">
        <v>1</v>
      </c>
      <c r="W708">
        <v>5</v>
      </c>
      <c r="X708">
        <v>233478</v>
      </c>
      <c r="Y708" t="s">
        <v>5255</v>
      </c>
      <c r="Z708" t="s">
        <v>6489</v>
      </c>
      <c r="AA708" t="s">
        <v>6369</v>
      </c>
      <c r="AB708" t="s">
        <v>45</v>
      </c>
      <c r="AC708" t="s">
        <v>6370</v>
      </c>
    </row>
    <row r="709" spans="1:29">
      <c r="A709" t="s">
        <v>291</v>
      </c>
      <c r="B709" t="s">
        <v>6492</v>
      </c>
      <c r="C709" t="s">
        <v>501</v>
      </c>
      <c r="D709" t="s">
        <v>31</v>
      </c>
      <c r="E709" s="1">
        <v>-5968</v>
      </c>
      <c r="F709" t="s">
        <v>189</v>
      </c>
      <c r="G709" t="s">
        <v>1278</v>
      </c>
      <c r="H709" t="s">
        <v>81</v>
      </c>
      <c r="I709">
        <v>4</v>
      </c>
      <c r="J709" t="s">
        <v>4403</v>
      </c>
      <c r="K709">
        <v>90</v>
      </c>
      <c r="L709" t="s">
        <v>6493</v>
      </c>
      <c r="M709" t="s">
        <v>6494</v>
      </c>
      <c r="N709" t="s">
        <v>85</v>
      </c>
      <c r="O709" t="s">
        <v>6368</v>
      </c>
      <c r="P709" t="s">
        <v>6495</v>
      </c>
      <c r="Q709" t="s">
        <v>6496</v>
      </c>
      <c r="R709" t="s">
        <v>6497</v>
      </c>
      <c r="S709" s="2">
        <v>45527</v>
      </c>
      <c r="T709">
        <v>0</v>
      </c>
      <c r="U709" t="s">
        <v>6388</v>
      </c>
      <c r="V709">
        <v>0</v>
      </c>
      <c r="W709">
        <v>11</v>
      </c>
      <c r="X709">
        <v>171870</v>
      </c>
      <c r="Y709" t="s">
        <v>540</v>
      </c>
      <c r="Z709" t="s">
        <v>6496</v>
      </c>
      <c r="AA709" t="s">
        <v>6369</v>
      </c>
      <c r="AB709" t="s">
        <v>45</v>
      </c>
      <c r="AC709" t="s">
        <v>6370</v>
      </c>
    </row>
    <row r="710" spans="1:29">
      <c r="A710" t="s">
        <v>2304</v>
      </c>
      <c r="B710" s="1">
        <v>96063</v>
      </c>
      <c r="C710" t="s">
        <v>2571</v>
      </c>
      <c r="D710" t="s">
        <v>31</v>
      </c>
      <c r="E710" s="1">
        <v>-6707</v>
      </c>
      <c r="F710" t="s">
        <v>1241</v>
      </c>
      <c r="G710" t="s">
        <v>201</v>
      </c>
      <c r="H710" t="s">
        <v>6498</v>
      </c>
      <c r="I710">
        <v>3</v>
      </c>
      <c r="J710" t="s">
        <v>1291</v>
      </c>
      <c r="K710">
        <v>87</v>
      </c>
      <c r="L710" t="s">
        <v>6499</v>
      </c>
      <c r="M710" t="s">
        <v>6500</v>
      </c>
      <c r="N710" t="s">
        <v>313</v>
      </c>
      <c r="O710" t="s">
        <v>6368</v>
      </c>
      <c r="P710" t="s">
        <v>6501</v>
      </c>
      <c r="Q710" t="s">
        <v>6502</v>
      </c>
      <c r="R710" t="s">
        <v>6503</v>
      </c>
      <c r="S710" s="2">
        <v>45593</v>
      </c>
      <c r="T710" t="s">
        <v>6504</v>
      </c>
      <c r="U710" t="s">
        <v>317</v>
      </c>
      <c r="V710">
        <v>0</v>
      </c>
      <c r="W710">
        <v>4</v>
      </c>
      <c r="X710">
        <v>278015</v>
      </c>
      <c r="Y710" t="s">
        <v>3643</v>
      </c>
      <c r="Z710" t="s">
        <v>6502</v>
      </c>
      <c r="AA710" t="s">
        <v>6369</v>
      </c>
      <c r="AB710" t="s">
        <v>45</v>
      </c>
      <c r="AC710" t="s">
        <v>6370</v>
      </c>
    </row>
    <row r="711" spans="1:29">
      <c r="A711" t="s">
        <v>4078</v>
      </c>
      <c r="B711" s="1">
        <v>120001</v>
      </c>
      <c r="C711" t="s">
        <v>253</v>
      </c>
      <c r="D711" t="s">
        <v>31</v>
      </c>
      <c r="E711" s="1">
        <v>-7747</v>
      </c>
      <c r="F711" t="s">
        <v>1211</v>
      </c>
      <c r="G711" t="s">
        <v>2908</v>
      </c>
      <c r="H711" t="s">
        <v>6505</v>
      </c>
      <c r="I711">
        <v>4</v>
      </c>
      <c r="J711" t="s">
        <v>1064</v>
      </c>
      <c r="K711">
        <v>89</v>
      </c>
      <c r="L711" t="s">
        <v>6506</v>
      </c>
      <c r="M711" t="s">
        <v>6507</v>
      </c>
      <c r="N711" t="s">
        <v>6508</v>
      </c>
      <c r="O711" t="s">
        <v>6368</v>
      </c>
      <c r="P711" t="s">
        <v>6509</v>
      </c>
      <c r="Q711" t="s">
        <v>6510</v>
      </c>
      <c r="R711" t="s">
        <v>6511</v>
      </c>
      <c r="S711" s="2">
        <v>41960</v>
      </c>
      <c r="T711">
        <v>0</v>
      </c>
      <c r="U711" t="s">
        <v>6512</v>
      </c>
      <c r="V711">
        <v>1</v>
      </c>
      <c r="W711">
        <v>8</v>
      </c>
      <c r="X711">
        <v>226600</v>
      </c>
      <c r="Y711" t="s">
        <v>2079</v>
      </c>
      <c r="Z711" t="s">
        <v>6510</v>
      </c>
      <c r="AA711" t="s">
        <v>6369</v>
      </c>
      <c r="AB711" t="s">
        <v>45</v>
      </c>
      <c r="AC711" t="s">
        <v>6370</v>
      </c>
    </row>
    <row r="712" spans="1:29">
      <c r="A712" t="s">
        <v>3097</v>
      </c>
      <c r="B712" s="1">
        <v>67086</v>
      </c>
      <c r="C712" t="s">
        <v>3597</v>
      </c>
      <c r="D712" t="s">
        <v>31</v>
      </c>
      <c r="E712" s="1">
        <v>-8744</v>
      </c>
      <c r="F712" t="s">
        <v>306</v>
      </c>
      <c r="G712" t="s">
        <v>6513</v>
      </c>
      <c r="H712" t="s">
        <v>6514</v>
      </c>
      <c r="I712">
        <v>4</v>
      </c>
      <c r="J712" t="s">
        <v>4358</v>
      </c>
      <c r="K712">
        <v>83</v>
      </c>
      <c r="L712" t="s">
        <v>6515</v>
      </c>
      <c r="M712" t="s">
        <v>6516</v>
      </c>
      <c r="N712" t="s">
        <v>6517</v>
      </c>
      <c r="O712" t="s">
        <v>6368</v>
      </c>
      <c r="P712" t="s">
        <v>6518</v>
      </c>
      <c r="Q712" t="s">
        <v>6519</v>
      </c>
      <c r="R712" t="s">
        <v>6520</v>
      </c>
      <c r="S712" s="2">
        <v>23669</v>
      </c>
      <c r="T712">
        <v>0</v>
      </c>
      <c r="U712" t="s">
        <v>6521</v>
      </c>
      <c r="V712">
        <v>1</v>
      </c>
      <c r="W712">
        <v>8</v>
      </c>
      <c r="X712">
        <v>126267</v>
      </c>
      <c r="Y712" t="s">
        <v>4005</v>
      </c>
      <c r="Z712" t="s">
        <v>6519</v>
      </c>
      <c r="AA712" t="s">
        <v>6369</v>
      </c>
      <c r="AB712" t="s">
        <v>45</v>
      </c>
      <c r="AC712" t="s">
        <v>6370</v>
      </c>
    </row>
    <row r="713" spans="1:29">
      <c r="A713" t="s">
        <v>529</v>
      </c>
      <c r="B713" s="1">
        <v>84828</v>
      </c>
      <c r="C713" t="s">
        <v>2033</v>
      </c>
      <c r="D713" t="s">
        <v>31</v>
      </c>
      <c r="E713" s="1">
        <v>-6221</v>
      </c>
      <c r="F713" t="s">
        <v>486</v>
      </c>
      <c r="G713" t="s">
        <v>2488</v>
      </c>
      <c r="H713" t="s">
        <v>6522</v>
      </c>
      <c r="I713">
        <v>4</v>
      </c>
      <c r="J713" t="s">
        <v>505</v>
      </c>
      <c r="K713">
        <v>89</v>
      </c>
      <c r="L713" t="s">
        <v>6523</v>
      </c>
      <c r="M713" t="s">
        <v>6524</v>
      </c>
      <c r="N713" t="s">
        <v>6525</v>
      </c>
      <c r="O713" t="s">
        <v>6368</v>
      </c>
      <c r="P713" t="s">
        <v>6526</v>
      </c>
      <c r="Q713" t="s">
        <v>6527</v>
      </c>
      <c r="R713" t="s">
        <v>6528</v>
      </c>
      <c r="S713" s="2">
        <v>45100</v>
      </c>
      <c r="T713" t="s">
        <v>6529</v>
      </c>
      <c r="U713" t="s">
        <v>6530</v>
      </c>
      <c r="V713">
        <v>1</v>
      </c>
      <c r="W713">
        <v>8</v>
      </c>
      <c r="X713">
        <v>244685</v>
      </c>
      <c r="Y713" t="s">
        <v>1470</v>
      </c>
      <c r="Z713" t="s">
        <v>6527</v>
      </c>
      <c r="AA713" t="s">
        <v>6369</v>
      </c>
      <c r="AB713" t="s">
        <v>45</v>
      </c>
      <c r="AC713" t="s">
        <v>6370</v>
      </c>
    </row>
    <row r="714" spans="1:29">
      <c r="A714" t="s">
        <v>121</v>
      </c>
      <c r="B714" s="1">
        <v>109021</v>
      </c>
      <c r="C714" t="s">
        <v>436</v>
      </c>
      <c r="D714" t="s">
        <v>31</v>
      </c>
      <c r="E714" s="1">
        <v>-5379</v>
      </c>
      <c r="F714" t="s">
        <v>4697</v>
      </c>
      <c r="G714" t="s">
        <v>6531</v>
      </c>
      <c r="H714" t="s">
        <v>6476</v>
      </c>
      <c r="I714">
        <v>4</v>
      </c>
      <c r="J714" t="s">
        <v>1575</v>
      </c>
      <c r="K714">
        <v>85</v>
      </c>
      <c r="L714" t="s">
        <v>6532</v>
      </c>
      <c r="M714" t="s">
        <v>6533</v>
      </c>
      <c r="N714" t="s">
        <v>6534</v>
      </c>
      <c r="O714" t="s">
        <v>6368</v>
      </c>
      <c r="P714" t="s">
        <v>6535</v>
      </c>
      <c r="Q714" t="s">
        <v>6536</v>
      </c>
      <c r="R714" t="s">
        <v>6537</v>
      </c>
      <c r="S714" s="2">
        <v>40309</v>
      </c>
      <c r="T714">
        <v>0</v>
      </c>
      <c r="U714" t="s">
        <v>6538</v>
      </c>
      <c r="V714">
        <v>1</v>
      </c>
      <c r="W714">
        <v>5</v>
      </c>
      <c r="X714">
        <v>220734</v>
      </c>
      <c r="Y714" t="s">
        <v>901</v>
      </c>
      <c r="Z714" t="s">
        <v>6536</v>
      </c>
      <c r="AA714" t="s">
        <v>6369</v>
      </c>
      <c r="AB714" t="s">
        <v>45</v>
      </c>
      <c r="AC714" t="s">
        <v>6370</v>
      </c>
    </row>
    <row r="715" spans="1:29">
      <c r="A715" t="s">
        <v>1537</v>
      </c>
      <c r="B715" s="1">
        <v>80969</v>
      </c>
      <c r="C715" t="s">
        <v>158</v>
      </c>
      <c r="D715" t="s">
        <v>31</v>
      </c>
      <c r="E715" s="1">
        <v>-4857</v>
      </c>
      <c r="F715" t="s">
        <v>6539</v>
      </c>
      <c r="G715" t="s">
        <v>4781</v>
      </c>
      <c r="H715" t="s">
        <v>216</v>
      </c>
      <c r="I715">
        <v>4</v>
      </c>
      <c r="J715" t="s">
        <v>3238</v>
      </c>
      <c r="K715">
        <v>84</v>
      </c>
      <c r="L715" t="s">
        <v>6540</v>
      </c>
      <c r="M715" t="s">
        <v>6541</v>
      </c>
      <c r="N715" t="s">
        <v>6542</v>
      </c>
      <c r="O715" t="s">
        <v>6368</v>
      </c>
      <c r="P715" t="s">
        <v>6543</v>
      </c>
      <c r="Q715" t="s">
        <v>6544</v>
      </c>
      <c r="R715" t="s">
        <v>220</v>
      </c>
      <c r="S715" s="2">
        <v>45443</v>
      </c>
      <c r="T715">
        <v>0</v>
      </c>
      <c r="U715" t="s">
        <v>6545</v>
      </c>
      <c r="V715">
        <v>1</v>
      </c>
      <c r="W715">
        <v>9</v>
      </c>
      <c r="X715">
        <v>171292</v>
      </c>
      <c r="Y715" t="s">
        <v>1857</v>
      </c>
      <c r="Z715" t="s">
        <v>6544</v>
      </c>
      <c r="AA715" t="s">
        <v>6369</v>
      </c>
      <c r="AB715" t="s">
        <v>45</v>
      </c>
      <c r="AC715" t="s">
        <v>6370</v>
      </c>
    </row>
    <row r="716" spans="1:29">
      <c r="A716" t="s">
        <v>225</v>
      </c>
      <c r="B716" s="1">
        <v>142579</v>
      </c>
      <c r="C716" t="s">
        <v>1152</v>
      </c>
      <c r="D716" t="s">
        <v>31</v>
      </c>
      <c r="E716" s="1">
        <v>-4586</v>
      </c>
      <c r="F716" t="s">
        <v>1799</v>
      </c>
      <c r="G716" t="s">
        <v>408</v>
      </c>
      <c r="H716" t="s">
        <v>6546</v>
      </c>
      <c r="I716">
        <v>4</v>
      </c>
      <c r="J716" t="s">
        <v>2630</v>
      </c>
      <c r="K716">
        <v>88</v>
      </c>
      <c r="L716" t="s">
        <v>6547</v>
      </c>
      <c r="M716" t="s">
        <v>6548</v>
      </c>
      <c r="N716" t="s">
        <v>6549</v>
      </c>
      <c r="O716" t="s">
        <v>6368</v>
      </c>
      <c r="P716" t="s">
        <v>6550</v>
      </c>
      <c r="Q716" t="s">
        <v>6551</v>
      </c>
      <c r="R716" t="s">
        <v>6552</v>
      </c>
      <c r="S716" s="2">
        <v>45240</v>
      </c>
      <c r="T716" t="s">
        <v>6553</v>
      </c>
      <c r="U716" t="s">
        <v>6554</v>
      </c>
      <c r="V716">
        <v>1</v>
      </c>
      <c r="W716">
        <v>6</v>
      </c>
      <c r="X716">
        <v>86984</v>
      </c>
      <c r="Y716" t="s">
        <v>6555</v>
      </c>
      <c r="Z716" t="s">
        <v>6551</v>
      </c>
      <c r="AA716" t="s">
        <v>6369</v>
      </c>
      <c r="AB716" t="s">
        <v>45</v>
      </c>
      <c r="AC716" t="s">
        <v>6370</v>
      </c>
    </row>
    <row r="717" spans="1:29">
      <c r="A717" t="s">
        <v>4222</v>
      </c>
      <c r="B717" s="1">
        <v>155925</v>
      </c>
      <c r="C717" t="s">
        <v>2437</v>
      </c>
      <c r="D717" t="s">
        <v>31</v>
      </c>
      <c r="E717" s="1">
        <v>-8072</v>
      </c>
      <c r="F717" t="s">
        <v>6556</v>
      </c>
      <c r="G717" t="s">
        <v>2753</v>
      </c>
      <c r="H717" t="s">
        <v>6557</v>
      </c>
      <c r="I717">
        <v>3</v>
      </c>
      <c r="J717" t="s">
        <v>6558</v>
      </c>
      <c r="K717">
        <v>87</v>
      </c>
      <c r="L717" t="s">
        <v>6559</v>
      </c>
      <c r="M717" t="s">
        <v>6560</v>
      </c>
      <c r="N717" t="s">
        <v>6561</v>
      </c>
      <c r="O717" t="s">
        <v>6368</v>
      </c>
      <c r="P717" t="s">
        <v>6562</v>
      </c>
      <c r="Q717" t="s">
        <v>6563</v>
      </c>
      <c r="R717" t="s">
        <v>6564</v>
      </c>
      <c r="S717">
        <v>1998</v>
      </c>
      <c r="T717" t="s">
        <v>4289</v>
      </c>
      <c r="U717" t="s">
        <v>6565</v>
      </c>
      <c r="V717">
        <v>0</v>
      </c>
      <c r="W717">
        <v>11</v>
      </c>
      <c r="X717">
        <v>289533</v>
      </c>
      <c r="Y717" t="s">
        <v>1522</v>
      </c>
      <c r="Z717" t="s">
        <v>6563</v>
      </c>
      <c r="AA717" t="s">
        <v>6369</v>
      </c>
      <c r="AB717" t="s">
        <v>45</v>
      </c>
      <c r="AC717" t="s">
        <v>6370</v>
      </c>
    </row>
    <row r="718" spans="1:29">
      <c r="A718" t="s">
        <v>1443</v>
      </c>
      <c r="B718" s="1">
        <v>105143</v>
      </c>
      <c r="C718" t="s">
        <v>3115</v>
      </c>
      <c r="D718" t="s">
        <v>31</v>
      </c>
      <c r="E718" t="s">
        <v>6566</v>
      </c>
      <c r="F718" t="s">
        <v>1980</v>
      </c>
      <c r="G718" t="s">
        <v>1958</v>
      </c>
      <c r="H718" t="s">
        <v>644</v>
      </c>
      <c r="I718">
        <v>4</v>
      </c>
      <c r="J718" t="s">
        <v>172</v>
      </c>
      <c r="K718">
        <v>88</v>
      </c>
      <c r="L718" t="s">
        <v>6567</v>
      </c>
      <c r="M718" t="s">
        <v>6568</v>
      </c>
      <c r="N718" t="s">
        <v>6569</v>
      </c>
      <c r="O718" t="s">
        <v>6368</v>
      </c>
      <c r="P718" t="s">
        <v>6570</v>
      </c>
      <c r="Q718" t="s">
        <v>6571</v>
      </c>
      <c r="R718" t="s">
        <v>6572</v>
      </c>
      <c r="S718">
        <v>2000</v>
      </c>
      <c r="T718">
        <v>0</v>
      </c>
      <c r="U718" t="s">
        <v>6573</v>
      </c>
      <c r="V718">
        <v>0</v>
      </c>
      <c r="W718">
        <v>3</v>
      </c>
      <c r="X718">
        <v>216880</v>
      </c>
      <c r="Y718" t="s">
        <v>5912</v>
      </c>
      <c r="Z718" t="s">
        <v>6571</v>
      </c>
      <c r="AA718" t="s">
        <v>6369</v>
      </c>
      <c r="AB718" t="s">
        <v>45</v>
      </c>
      <c r="AC718" t="s">
        <v>6370</v>
      </c>
    </row>
    <row r="719" spans="1:29">
      <c r="A719" t="s">
        <v>3543</v>
      </c>
      <c r="B719" s="1">
        <v>117025</v>
      </c>
      <c r="C719" t="s">
        <v>3227</v>
      </c>
      <c r="D719" t="s">
        <v>31</v>
      </c>
      <c r="E719" s="1">
        <v>-5446</v>
      </c>
      <c r="F719" t="s">
        <v>5602</v>
      </c>
      <c r="G719" t="s">
        <v>6147</v>
      </c>
      <c r="H719" t="s">
        <v>395</v>
      </c>
      <c r="I719">
        <v>4</v>
      </c>
      <c r="J719" t="s">
        <v>3412</v>
      </c>
      <c r="K719">
        <v>84</v>
      </c>
      <c r="L719" t="s">
        <v>6574</v>
      </c>
      <c r="M719" t="s">
        <v>6575</v>
      </c>
      <c r="N719" t="s">
        <v>6576</v>
      </c>
      <c r="O719" t="s">
        <v>6368</v>
      </c>
      <c r="P719" t="s">
        <v>6577</v>
      </c>
      <c r="Q719" t="s">
        <v>6578</v>
      </c>
      <c r="R719" t="s">
        <v>402</v>
      </c>
      <c r="S719" s="2">
        <v>45523</v>
      </c>
      <c r="T719" t="s">
        <v>6579</v>
      </c>
      <c r="U719" t="s">
        <v>6580</v>
      </c>
      <c r="V719">
        <v>1</v>
      </c>
      <c r="W719">
        <v>10</v>
      </c>
      <c r="X719">
        <v>251424</v>
      </c>
      <c r="Y719" t="s">
        <v>1254</v>
      </c>
      <c r="Z719" t="s">
        <v>6578</v>
      </c>
      <c r="AA719" t="s">
        <v>6369</v>
      </c>
      <c r="AB719" t="s">
        <v>45</v>
      </c>
      <c r="AC719" t="s">
        <v>6370</v>
      </c>
    </row>
    <row r="720" spans="1:29">
      <c r="A720" t="s">
        <v>332</v>
      </c>
      <c r="B720" s="1">
        <v>130504</v>
      </c>
      <c r="C720" t="s">
        <v>3544</v>
      </c>
      <c r="D720" t="s">
        <v>31</v>
      </c>
      <c r="E720" s="1">
        <v>-4257</v>
      </c>
      <c r="F720" t="s">
        <v>1538</v>
      </c>
      <c r="G720" t="s">
        <v>529</v>
      </c>
      <c r="H720" t="s">
        <v>81</v>
      </c>
      <c r="I720">
        <v>4</v>
      </c>
      <c r="J720" t="s">
        <v>465</v>
      </c>
      <c r="K720">
        <v>87</v>
      </c>
      <c r="L720" t="s">
        <v>6581</v>
      </c>
      <c r="M720" t="s">
        <v>6582</v>
      </c>
      <c r="N720" t="s">
        <v>85</v>
      </c>
      <c r="O720" t="s">
        <v>6368</v>
      </c>
      <c r="P720" t="s">
        <v>6583</v>
      </c>
      <c r="Q720" t="s">
        <v>6584</v>
      </c>
      <c r="R720" t="s">
        <v>6585</v>
      </c>
      <c r="S720" s="2">
        <v>45527</v>
      </c>
      <c r="T720">
        <v>0</v>
      </c>
      <c r="U720" t="s">
        <v>6388</v>
      </c>
      <c r="V720">
        <v>1</v>
      </c>
      <c r="W720">
        <v>5</v>
      </c>
      <c r="X720">
        <v>223192</v>
      </c>
      <c r="Y720" t="s">
        <v>1541</v>
      </c>
      <c r="Z720" t="s">
        <v>6584</v>
      </c>
      <c r="AA720" t="s">
        <v>6369</v>
      </c>
      <c r="AB720" t="s">
        <v>45</v>
      </c>
      <c r="AC720" t="s">
        <v>6370</v>
      </c>
    </row>
    <row r="721" spans="1:29">
      <c r="A721" t="s">
        <v>380</v>
      </c>
      <c r="B721" s="1">
        <v>101654</v>
      </c>
      <c r="C721" t="s">
        <v>2570</v>
      </c>
      <c r="D721" t="s">
        <v>31</v>
      </c>
      <c r="E721" s="1">
        <v>-6696</v>
      </c>
      <c r="F721" t="s">
        <v>486</v>
      </c>
      <c r="G721" t="s">
        <v>1919</v>
      </c>
      <c r="H721" t="s">
        <v>6586</v>
      </c>
      <c r="I721">
        <v>4</v>
      </c>
      <c r="J721" t="s">
        <v>6587</v>
      </c>
      <c r="K721">
        <v>85</v>
      </c>
      <c r="L721" t="s">
        <v>6588</v>
      </c>
      <c r="M721" t="s">
        <v>6589</v>
      </c>
      <c r="N721" t="s">
        <v>6590</v>
      </c>
      <c r="O721" t="s">
        <v>6368</v>
      </c>
      <c r="P721" t="s">
        <v>6591</v>
      </c>
      <c r="Q721" t="s">
        <v>6592</v>
      </c>
      <c r="R721" t="s">
        <v>6593</v>
      </c>
      <c r="S721" s="2">
        <v>41856</v>
      </c>
      <c r="T721">
        <v>0</v>
      </c>
      <c r="U721" t="s">
        <v>6594</v>
      </c>
      <c r="V721">
        <v>1</v>
      </c>
      <c r="W721">
        <v>1</v>
      </c>
      <c r="X721">
        <v>204280</v>
      </c>
      <c r="Y721" t="s">
        <v>3780</v>
      </c>
      <c r="Z721" t="s">
        <v>6592</v>
      </c>
      <c r="AA721" t="s">
        <v>6369</v>
      </c>
      <c r="AB721" t="s">
        <v>45</v>
      </c>
      <c r="AC721" t="s">
        <v>6370</v>
      </c>
    </row>
    <row r="722" spans="1:29">
      <c r="A722" t="s">
        <v>2710</v>
      </c>
      <c r="B722" s="1">
        <v>127939</v>
      </c>
      <c r="C722" t="s">
        <v>4404</v>
      </c>
      <c r="D722" t="s">
        <v>31</v>
      </c>
      <c r="E722" s="1">
        <v>-3725</v>
      </c>
      <c r="F722" t="s">
        <v>147</v>
      </c>
      <c r="G722" t="s">
        <v>240</v>
      </c>
      <c r="H722" t="s">
        <v>644</v>
      </c>
      <c r="I722">
        <v>4</v>
      </c>
      <c r="J722" t="s">
        <v>6195</v>
      </c>
      <c r="K722">
        <v>78</v>
      </c>
      <c r="L722" t="s">
        <v>6595</v>
      </c>
      <c r="M722" t="s">
        <v>6596</v>
      </c>
      <c r="N722" t="s">
        <v>6417</v>
      </c>
      <c r="O722" t="s">
        <v>6368</v>
      </c>
      <c r="P722" t="s">
        <v>6597</v>
      </c>
      <c r="Q722" t="s">
        <v>6598</v>
      </c>
      <c r="R722" t="s">
        <v>6599</v>
      </c>
      <c r="S722" s="2">
        <v>45611</v>
      </c>
      <c r="T722">
        <v>0</v>
      </c>
      <c r="U722" t="s">
        <v>6420</v>
      </c>
      <c r="V722">
        <v>0</v>
      </c>
      <c r="W722">
        <v>4</v>
      </c>
      <c r="X722">
        <v>167012</v>
      </c>
      <c r="Y722" t="s">
        <v>6600</v>
      </c>
      <c r="Z722" t="s">
        <v>6598</v>
      </c>
      <c r="AA722" t="s">
        <v>6369</v>
      </c>
      <c r="AB722" t="s">
        <v>45</v>
      </c>
      <c r="AC722" t="s">
        <v>6370</v>
      </c>
    </row>
    <row r="723" spans="1:29">
      <c r="A723" t="s">
        <v>2661</v>
      </c>
      <c r="B723" s="1">
        <v>109935</v>
      </c>
      <c r="C723" t="s">
        <v>2375</v>
      </c>
      <c r="D723" t="s">
        <v>31</v>
      </c>
      <c r="E723" s="1">
        <v>-9116</v>
      </c>
      <c r="F723" t="s">
        <v>3331</v>
      </c>
      <c r="G723" t="s">
        <v>3301</v>
      </c>
      <c r="H723" t="s">
        <v>3332</v>
      </c>
      <c r="I723">
        <v>3</v>
      </c>
      <c r="J723" t="s">
        <v>3228</v>
      </c>
      <c r="K723">
        <v>88</v>
      </c>
      <c r="L723" t="s">
        <v>3333</v>
      </c>
      <c r="M723" t="s">
        <v>3334</v>
      </c>
      <c r="N723" t="s">
        <v>3221</v>
      </c>
      <c r="O723" t="s">
        <v>6368</v>
      </c>
      <c r="P723" t="s">
        <v>3335</v>
      </c>
      <c r="Q723" t="s">
        <v>3336</v>
      </c>
      <c r="R723" t="s">
        <v>3337</v>
      </c>
      <c r="S723" s="2">
        <v>45526</v>
      </c>
      <c r="T723">
        <v>0</v>
      </c>
      <c r="U723" t="s">
        <v>3226</v>
      </c>
      <c r="V723">
        <v>1</v>
      </c>
      <c r="W723">
        <v>1</v>
      </c>
      <c r="X723">
        <v>154620</v>
      </c>
      <c r="Y723" t="s">
        <v>91</v>
      </c>
      <c r="Z723" t="s">
        <v>3336</v>
      </c>
      <c r="AA723" t="s">
        <v>6369</v>
      </c>
      <c r="AB723" t="s">
        <v>45</v>
      </c>
      <c r="AC723" t="s">
        <v>6370</v>
      </c>
    </row>
    <row r="724" spans="1:29">
      <c r="A724" t="s">
        <v>552</v>
      </c>
      <c r="B724" s="1">
        <v>120208</v>
      </c>
      <c r="C724" t="s">
        <v>3114</v>
      </c>
      <c r="D724" t="s">
        <v>31</v>
      </c>
      <c r="E724" s="1">
        <v>-7174</v>
      </c>
      <c r="F724" t="s">
        <v>2896</v>
      </c>
      <c r="G724" t="s">
        <v>1597</v>
      </c>
      <c r="H724" t="s">
        <v>3217</v>
      </c>
      <c r="I724">
        <v>3</v>
      </c>
      <c r="J724" t="s">
        <v>3218</v>
      </c>
      <c r="K724">
        <v>89</v>
      </c>
      <c r="L724" t="s">
        <v>3219</v>
      </c>
      <c r="M724" t="s">
        <v>3220</v>
      </c>
      <c r="N724" t="s">
        <v>3221</v>
      </c>
      <c r="O724" t="s">
        <v>6368</v>
      </c>
      <c r="P724" t="s">
        <v>3222</v>
      </c>
      <c r="Q724" t="s">
        <v>3223</v>
      </c>
      <c r="R724" t="s">
        <v>3224</v>
      </c>
      <c r="S724" s="2">
        <v>45526</v>
      </c>
      <c r="T724" t="s">
        <v>3225</v>
      </c>
      <c r="U724" t="s">
        <v>3226</v>
      </c>
      <c r="V724">
        <v>0</v>
      </c>
      <c r="W724">
        <v>7</v>
      </c>
      <c r="X724">
        <v>146141</v>
      </c>
      <c r="Y724" t="s">
        <v>1737</v>
      </c>
      <c r="Z724" t="s">
        <v>3223</v>
      </c>
      <c r="AA724" t="s">
        <v>6369</v>
      </c>
      <c r="AB724" t="s">
        <v>45</v>
      </c>
      <c r="AC724" t="s">
        <v>6370</v>
      </c>
    </row>
    <row r="725" spans="1:29">
      <c r="A725" t="s">
        <v>3613</v>
      </c>
      <c r="B725" s="1">
        <v>191868</v>
      </c>
      <c r="C725" t="s">
        <v>2041</v>
      </c>
      <c r="D725" t="s">
        <v>31</v>
      </c>
      <c r="E725" s="1">
        <v>-7364</v>
      </c>
      <c r="F725" t="s">
        <v>4095</v>
      </c>
      <c r="G725" t="s">
        <v>29</v>
      </c>
      <c r="H725" t="s">
        <v>464</v>
      </c>
      <c r="I725">
        <v>4</v>
      </c>
      <c r="J725" t="s">
        <v>49</v>
      </c>
      <c r="K725">
        <v>82</v>
      </c>
      <c r="L725" t="s">
        <v>6601</v>
      </c>
      <c r="M725" t="s">
        <v>6602</v>
      </c>
      <c r="N725" t="s">
        <v>6603</v>
      </c>
      <c r="O725" t="s">
        <v>6368</v>
      </c>
      <c r="P725" t="s">
        <v>6604</v>
      </c>
      <c r="Q725" t="s">
        <v>6605</v>
      </c>
      <c r="R725" t="s">
        <v>6603</v>
      </c>
      <c r="S725" s="2">
        <v>41967</v>
      </c>
      <c r="T725">
        <v>0</v>
      </c>
      <c r="U725" t="s">
        <v>6606</v>
      </c>
      <c r="V725">
        <v>1</v>
      </c>
      <c r="W725">
        <v>7</v>
      </c>
      <c r="X725">
        <v>204093</v>
      </c>
      <c r="Y725" t="s">
        <v>6607</v>
      </c>
      <c r="Z725" t="s">
        <v>6605</v>
      </c>
      <c r="AA725" t="s">
        <v>6369</v>
      </c>
      <c r="AB725" t="s">
        <v>45</v>
      </c>
      <c r="AC725" t="s">
        <v>6370</v>
      </c>
    </row>
    <row r="726" spans="1:29">
      <c r="A726" t="s">
        <v>6531</v>
      </c>
      <c r="B726" s="1">
        <v>119705</v>
      </c>
      <c r="C726" t="s">
        <v>1949</v>
      </c>
      <c r="D726" t="s">
        <v>31</v>
      </c>
      <c r="E726" s="1">
        <v>-8463</v>
      </c>
      <c r="F726" t="s">
        <v>6608</v>
      </c>
      <c r="G726" t="s">
        <v>199</v>
      </c>
      <c r="H726" t="s">
        <v>6609</v>
      </c>
      <c r="I726">
        <v>4</v>
      </c>
      <c r="J726" t="s">
        <v>1515</v>
      </c>
      <c r="K726">
        <v>80</v>
      </c>
      <c r="L726" t="s">
        <v>6610</v>
      </c>
      <c r="M726" t="s">
        <v>6611</v>
      </c>
      <c r="N726" t="s">
        <v>6612</v>
      </c>
      <c r="O726" t="s">
        <v>6368</v>
      </c>
      <c r="P726" t="s">
        <v>6613</v>
      </c>
      <c r="Q726" t="s">
        <v>6614</v>
      </c>
      <c r="R726" t="s">
        <v>6615</v>
      </c>
      <c r="S726" s="2">
        <v>21156</v>
      </c>
      <c r="T726">
        <v>0</v>
      </c>
      <c r="U726" t="s">
        <v>6616</v>
      </c>
      <c r="V726">
        <v>1</v>
      </c>
      <c r="W726">
        <v>2</v>
      </c>
      <c r="X726">
        <v>130973</v>
      </c>
      <c r="Y726" t="s">
        <v>3543</v>
      </c>
      <c r="Z726" t="s">
        <v>6614</v>
      </c>
      <c r="AA726" t="s">
        <v>6369</v>
      </c>
      <c r="AB726" t="s">
        <v>45</v>
      </c>
      <c r="AC726" t="s">
        <v>6370</v>
      </c>
    </row>
    <row r="727" spans="1:29">
      <c r="A727" t="s">
        <v>460</v>
      </c>
      <c r="B727" s="1">
        <v>115842</v>
      </c>
      <c r="C727" t="s">
        <v>461</v>
      </c>
      <c r="D727" t="s">
        <v>31</v>
      </c>
      <c r="E727" s="1">
        <v>-8334</v>
      </c>
      <c r="F727" t="s">
        <v>462</v>
      </c>
      <c r="G727" t="s">
        <v>463</v>
      </c>
      <c r="H727" t="s">
        <v>464</v>
      </c>
      <c r="I727">
        <v>4</v>
      </c>
      <c r="J727" t="s">
        <v>465</v>
      </c>
      <c r="K727">
        <v>86</v>
      </c>
      <c r="L727" t="s">
        <v>6617</v>
      </c>
      <c r="M727" t="s">
        <v>6618</v>
      </c>
      <c r="N727" t="s">
        <v>468</v>
      </c>
      <c r="O727" t="s">
        <v>6368</v>
      </c>
      <c r="P727" t="s">
        <v>6619</v>
      </c>
      <c r="Q727" t="s">
        <v>6620</v>
      </c>
      <c r="R727" t="s">
        <v>471</v>
      </c>
      <c r="S727" s="2">
        <v>45359</v>
      </c>
      <c r="T727" t="s">
        <v>472</v>
      </c>
      <c r="U727" t="s">
        <v>6621</v>
      </c>
      <c r="V727">
        <v>1</v>
      </c>
      <c r="W727">
        <v>5</v>
      </c>
      <c r="X727">
        <v>228639</v>
      </c>
      <c r="Y727" t="s">
        <v>474</v>
      </c>
      <c r="Z727" t="s">
        <v>6620</v>
      </c>
      <c r="AA727" t="s">
        <v>6369</v>
      </c>
      <c r="AB727" t="s">
        <v>45</v>
      </c>
      <c r="AC727" t="s">
        <v>6370</v>
      </c>
    </row>
    <row r="728" spans="1:29">
      <c r="A728" t="s">
        <v>786</v>
      </c>
      <c r="B728" s="1">
        <v>91911</v>
      </c>
      <c r="C728" t="s">
        <v>225</v>
      </c>
      <c r="D728" t="s">
        <v>3029</v>
      </c>
      <c r="E728" t="s">
        <v>6622</v>
      </c>
      <c r="F728" t="s">
        <v>3514</v>
      </c>
      <c r="G728" t="s">
        <v>771</v>
      </c>
      <c r="H728" t="s">
        <v>6623</v>
      </c>
      <c r="I728">
        <v>4</v>
      </c>
      <c r="J728" t="s">
        <v>6624</v>
      </c>
      <c r="K728">
        <v>78</v>
      </c>
      <c r="L728" t="s">
        <v>6625</v>
      </c>
      <c r="M728" t="s">
        <v>6626</v>
      </c>
      <c r="N728" t="s">
        <v>6627</v>
      </c>
      <c r="O728" t="s">
        <v>6628</v>
      </c>
      <c r="P728" t="s">
        <v>6629</v>
      </c>
      <c r="Q728" t="s">
        <v>6630</v>
      </c>
      <c r="R728" t="s">
        <v>6631</v>
      </c>
      <c r="S728" s="2">
        <v>44652</v>
      </c>
      <c r="T728">
        <v>0</v>
      </c>
      <c r="U728" t="s">
        <v>6632</v>
      </c>
      <c r="V728">
        <v>0</v>
      </c>
      <c r="W728">
        <v>5</v>
      </c>
      <c r="X728">
        <v>202174</v>
      </c>
      <c r="Y728" t="s">
        <v>3053</v>
      </c>
      <c r="Z728" t="s">
        <v>6630</v>
      </c>
      <c r="AA728" t="s">
        <v>6633</v>
      </c>
      <c r="AB728" t="s">
        <v>45</v>
      </c>
      <c r="AC728" t="s">
        <v>6634</v>
      </c>
    </row>
    <row r="729" spans="1:29">
      <c r="A729" t="s">
        <v>4626</v>
      </c>
      <c r="B729" s="1">
        <v>96057</v>
      </c>
      <c r="C729" t="s">
        <v>1825</v>
      </c>
      <c r="D729" t="s">
        <v>3029</v>
      </c>
      <c r="E729" s="1">
        <v>-2248</v>
      </c>
      <c r="F729" t="s">
        <v>2776</v>
      </c>
      <c r="G729" t="s">
        <v>878</v>
      </c>
      <c r="H729" t="s">
        <v>6635</v>
      </c>
      <c r="I729">
        <v>4</v>
      </c>
      <c r="J729" t="s">
        <v>1667</v>
      </c>
      <c r="K729">
        <v>84</v>
      </c>
      <c r="L729" t="s">
        <v>6636</v>
      </c>
      <c r="M729" t="s">
        <v>6637</v>
      </c>
      <c r="N729" t="s">
        <v>6638</v>
      </c>
      <c r="O729" t="s">
        <v>6628</v>
      </c>
      <c r="P729" t="s">
        <v>6639</v>
      </c>
      <c r="Q729" t="s">
        <v>6640</v>
      </c>
      <c r="R729" t="s">
        <v>6641</v>
      </c>
      <c r="S729" s="2">
        <v>45212</v>
      </c>
      <c r="T729" t="s">
        <v>6642</v>
      </c>
      <c r="U729" t="s">
        <v>6643</v>
      </c>
      <c r="V729">
        <v>1</v>
      </c>
      <c r="W729">
        <v>5</v>
      </c>
      <c r="X729">
        <v>162768</v>
      </c>
      <c r="Y729" t="s">
        <v>4185</v>
      </c>
      <c r="Z729" t="s">
        <v>6640</v>
      </c>
      <c r="AA729" t="s">
        <v>6633</v>
      </c>
      <c r="AB729" t="s">
        <v>45</v>
      </c>
      <c r="AC729" t="s">
        <v>6634</v>
      </c>
    </row>
    <row r="730" spans="1:29">
      <c r="A730" t="s">
        <v>80</v>
      </c>
      <c r="B730" s="1">
        <v>111989</v>
      </c>
      <c r="C730" t="s">
        <v>866</v>
      </c>
      <c r="D730" t="s">
        <v>3029</v>
      </c>
      <c r="E730" s="1">
        <v>-5211</v>
      </c>
      <c r="F730" t="s">
        <v>331</v>
      </c>
      <c r="G730" t="s">
        <v>6644</v>
      </c>
      <c r="H730" t="s">
        <v>6645</v>
      </c>
      <c r="I730">
        <v>4</v>
      </c>
      <c r="J730" t="s">
        <v>6646</v>
      </c>
      <c r="K730">
        <v>68</v>
      </c>
      <c r="L730" t="s">
        <v>6647</v>
      </c>
      <c r="M730" t="s">
        <v>6648</v>
      </c>
      <c r="N730" t="s">
        <v>6649</v>
      </c>
      <c r="O730" t="s">
        <v>6628</v>
      </c>
      <c r="P730" t="s">
        <v>6650</v>
      </c>
      <c r="Q730" t="s">
        <v>6651</v>
      </c>
      <c r="R730" t="s">
        <v>6649</v>
      </c>
      <c r="S730" s="2">
        <v>45191</v>
      </c>
      <c r="T730" t="s">
        <v>6652</v>
      </c>
      <c r="U730" t="s">
        <v>6653</v>
      </c>
      <c r="V730">
        <v>0</v>
      </c>
      <c r="W730">
        <v>6</v>
      </c>
      <c r="X730">
        <v>228253</v>
      </c>
      <c r="Y730" t="s">
        <v>1211</v>
      </c>
      <c r="Z730" t="s">
        <v>6651</v>
      </c>
      <c r="AA730" t="s">
        <v>6633</v>
      </c>
      <c r="AB730" t="s">
        <v>45</v>
      </c>
      <c r="AC730" t="s">
        <v>6634</v>
      </c>
    </row>
    <row r="731" spans="1:29">
      <c r="A731" t="s">
        <v>1214</v>
      </c>
      <c r="B731" s="1">
        <v>169934</v>
      </c>
      <c r="C731" t="s">
        <v>985</v>
      </c>
      <c r="D731" t="s">
        <v>3029</v>
      </c>
      <c r="E731" s="1">
        <v>-7147</v>
      </c>
      <c r="F731" t="s">
        <v>6654</v>
      </c>
      <c r="G731" t="s">
        <v>945</v>
      </c>
      <c r="H731" t="s">
        <v>2907</v>
      </c>
      <c r="I731">
        <v>4</v>
      </c>
      <c r="J731" t="s">
        <v>6655</v>
      </c>
      <c r="K731">
        <v>71</v>
      </c>
      <c r="L731" t="s">
        <v>6656</v>
      </c>
      <c r="M731" t="s">
        <v>6657</v>
      </c>
      <c r="N731" t="s">
        <v>2911</v>
      </c>
      <c r="O731" t="s">
        <v>6628</v>
      </c>
      <c r="P731" t="s">
        <v>6658</v>
      </c>
      <c r="Q731" t="s">
        <v>6659</v>
      </c>
      <c r="R731" t="s">
        <v>6660</v>
      </c>
      <c r="S731" s="2">
        <v>44162</v>
      </c>
      <c r="T731" t="s">
        <v>6661</v>
      </c>
      <c r="U731" t="s">
        <v>2916</v>
      </c>
      <c r="V731">
        <v>0</v>
      </c>
      <c r="W731">
        <v>10</v>
      </c>
      <c r="X731">
        <v>217769</v>
      </c>
      <c r="Y731" t="s">
        <v>1289</v>
      </c>
      <c r="Z731" t="s">
        <v>6659</v>
      </c>
      <c r="AA731" t="s">
        <v>6633</v>
      </c>
      <c r="AB731" t="s">
        <v>45</v>
      </c>
      <c r="AC731" t="s">
        <v>6634</v>
      </c>
    </row>
    <row r="732" spans="1:29">
      <c r="A732" t="s">
        <v>2374</v>
      </c>
      <c r="B732" s="1">
        <v>110982</v>
      </c>
      <c r="C732" t="s">
        <v>1190</v>
      </c>
      <c r="D732" t="s">
        <v>3029</v>
      </c>
      <c r="E732" s="1">
        <v>-7226</v>
      </c>
      <c r="F732" t="s">
        <v>1223</v>
      </c>
      <c r="G732" t="s">
        <v>6662</v>
      </c>
      <c r="H732" t="s">
        <v>6663</v>
      </c>
      <c r="I732">
        <v>4</v>
      </c>
      <c r="J732" t="s">
        <v>6664</v>
      </c>
      <c r="K732">
        <v>68</v>
      </c>
      <c r="L732" t="s">
        <v>6665</v>
      </c>
      <c r="M732" t="s">
        <v>6666</v>
      </c>
      <c r="N732" t="s">
        <v>6667</v>
      </c>
      <c r="O732" t="s">
        <v>6628</v>
      </c>
      <c r="P732" t="s">
        <v>6668</v>
      </c>
      <c r="Q732" t="s">
        <v>6669</v>
      </c>
      <c r="R732" t="s">
        <v>6670</v>
      </c>
      <c r="S732" s="2">
        <v>44273</v>
      </c>
      <c r="T732" t="s">
        <v>6671</v>
      </c>
      <c r="U732" t="s">
        <v>6672</v>
      </c>
      <c r="V732">
        <v>1</v>
      </c>
      <c r="W732">
        <v>9</v>
      </c>
      <c r="X732">
        <v>211998</v>
      </c>
      <c r="Y732" t="s">
        <v>2457</v>
      </c>
      <c r="Z732" t="s">
        <v>6669</v>
      </c>
      <c r="AA732" t="s">
        <v>6633</v>
      </c>
      <c r="AB732" t="s">
        <v>45</v>
      </c>
      <c r="AC732" t="s">
        <v>6634</v>
      </c>
    </row>
    <row r="733" spans="1:29">
      <c r="A733" t="s">
        <v>4956</v>
      </c>
      <c r="B733" s="1">
        <v>110427</v>
      </c>
      <c r="C733" t="s">
        <v>3312</v>
      </c>
      <c r="D733" t="s">
        <v>3029</v>
      </c>
      <c r="E733" s="1">
        <v>-7018</v>
      </c>
      <c r="F733" t="s">
        <v>6673</v>
      </c>
      <c r="G733" t="s">
        <v>435</v>
      </c>
      <c r="H733" t="s">
        <v>6674</v>
      </c>
      <c r="I733">
        <v>4</v>
      </c>
      <c r="J733" t="s">
        <v>6283</v>
      </c>
      <c r="K733">
        <v>78</v>
      </c>
      <c r="L733" t="s">
        <v>6675</v>
      </c>
      <c r="M733" t="s">
        <v>6676</v>
      </c>
      <c r="N733" t="s">
        <v>6677</v>
      </c>
      <c r="O733" t="s">
        <v>6628</v>
      </c>
      <c r="P733" t="s">
        <v>6678</v>
      </c>
      <c r="Q733" t="s">
        <v>6679</v>
      </c>
      <c r="R733" t="s">
        <v>6680</v>
      </c>
      <c r="S733" s="2">
        <v>44287</v>
      </c>
      <c r="T733">
        <v>0</v>
      </c>
      <c r="U733" t="s">
        <v>6681</v>
      </c>
      <c r="V733">
        <v>1</v>
      </c>
      <c r="W733">
        <v>9</v>
      </c>
      <c r="X733">
        <v>321556</v>
      </c>
      <c r="Y733" t="s">
        <v>449</v>
      </c>
      <c r="Z733" t="s">
        <v>6679</v>
      </c>
      <c r="AA733" t="s">
        <v>6633</v>
      </c>
      <c r="AB733" t="s">
        <v>45</v>
      </c>
      <c r="AC733" t="s">
        <v>6634</v>
      </c>
    </row>
    <row r="734" spans="1:29">
      <c r="A734" t="s">
        <v>6682</v>
      </c>
      <c r="B734" t="s">
        <v>6683</v>
      </c>
      <c r="C734" t="s">
        <v>4005</v>
      </c>
      <c r="D734" t="s">
        <v>3029</v>
      </c>
      <c r="E734" s="1">
        <v>-4567</v>
      </c>
      <c r="F734" t="s">
        <v>3291</v>
      </c>
      <c r="G734" t="s">
        <v>5013</v>
      </c>
      <c r="H734" t="s">
        <v>6684</v>
      </c>
      <c r="I734">
        <v>4</v>
      </c>
      <c r="J734" t="s">
        <v>2976</v>
      </c>
      <c r="K734">
        <v>72</v>
      </c>
      <c r="L734" t="s">
        <v>6685</v>
      </c>
      <c r="M734" t="s">
        <v>6686</v>
      </c>
      <c r="N734" t="s">
        <v>6687</v>
      </c>
      <c r="O734" t="s">
        <v>6628</v>
      </c>
      <c r="P734" t="s">
        <v>6688</v>
      </c>
      <c r="Q734" t="s">
        <v>6689</v>
      </c>
      <c r="R734" t="s">
        <v>6690</v>
      </c>
      <c r="S734" s="2">
        <v>42538</v>
      </c>
      <c r="T734">
        <v>0</v>
      </c>
      <c r="U734" t="s">
        <v>6691</v>
      </c>
      <c r="V734">
        <v>1</v>
      </c>
      <c r="W734">
        <v>4</v>
      </c>
      <c r="X734">
        <v>240560</v>
      </c>
      <c r="Y734" t="s">
        <v>5644</v>
      </c>
      <c r="Z734" t="s">
        <v>6689</v>
      </c>
      <c r="AA734" t="s">
        <v>6633</v>
      </c>
      <c r="AB734" t="s">
        <v>45</v>
      </c>
      <c r="AC734" t="s">
        <v>6634</v>
      </c>
    </row>
    <row r="735" spans="1:29">
      <c r="A735" t="s">
        <v>2569</v>
      </c>
      <c r="B735" s="1">
        <v>123031</v>
      </c>
      <c r="C735" t="s">
        <v>1501</v>
      </c>
      <c r="D735" t="s">
        <v>3029</v>
      </c>
      <c r="E735" s="1">
        <v>-3517</v>
      </c>
      <c r="F735" t="s">
        <v>2117</v>
      </c>
      <c r="G735" t="s">
        <v>1407</v>
      </c>
      <c r="H735" t="s">
        <v>6692</v>
      </c>
      <c r="I735">
        <v>4</v>
      </c>
      <c r="J735" t="s">
        <v>3339</v>
      </c>
      <c r="K735">
        <v>68</v>
      </c>
      <c r="L735" t="s">
        <v>6693</v>
      </c>
      <c r="M735" t="s">
        <v>6694</v>
      </c>
      <c r="N735" t="s">
        <v>6695</v>
      </c>
      <c r="O735" t="s">
        <v>6628</v>
      </c>
      <c r="P735" t="s">
        <v>6696</v>
      </c>
      <c r="Q735" t="s">
        <v>6697</v>
      </c>
      <c r="R735" t="s">
        <v>6695</v>
      </c>
      <c r="S735" s="2">
        <v>44491</v>
      </c>
      <c r="T735">
        <v>0</v>
      </c>
      <c r="U735" t="s">
        <v>6698</v>
      </c>
      <c r="V735">
        <v>0</v>
      </c>
      <c r="W735">
        <v>11</v>
      </c>
      <c r="X735">
        <v>189320</v>
      </c>
      <c r="Y735" t="s">
        <v>6699</v>
      </c>
      <c r="Z735" t="s">
        <v>6697</v>
      </c>
      <c r="AA735" t="s">
        <v>6633</v>
      </c>
      <c r="AB735" t="s">
        <v>45</v>
      </c>
      <c r="AC735" t="s">
        <v>6634</v>
      </c>
    </row>
    <row r="736" spans="1:29">
      <c r="A736" t="s">
        <v>892</v>
      </c>
      <c r="B736" t="s">
        <v>6700</v>
      </c>
      <c r="C736" t="s">
        <v>4858</v>
      </c>
      <c r="D736" t="s">
        <v>3029</v>
      </c>
      <c r="E736" s="1">
        <v>-5649</v>
      </c>
      <c r="F736" t="s">
        <v>956</v>
      </c>
      <c r="G736" t="s">
        <v>1972</v>
      </c>
      <c r="H736" t="s">
        <v>6701</v>
      </c>
      <c r="I736">
        <v>4</v>
      </c>
      <c r="J736" t="s">
        <v>1347</v>
      </c>
      <c r="K736">
        <v>76</v>
      </c>
      <c r="L736" t="s">
        <v>6702</v>
      </c>
      <c r="M736" t="s">
        <v>6703</v>
      </c>
      <c r="N736" t="s">
        <v>6704</v>
      </c>
      <c r="O736" t="s">
        <v>6628</v>
      </c>
      <c r="P736" t="s">
        <v>6705</v>
      </c>
      <c r="Q736" t="s">
        <v>6706</v>
      </c>
      <c r="R736" t="s">
        <v>6707</v>
      </c>
      <c r="S736" s="2">
        <v>44609</v>
      </c>
      <c r="T736">
        <v>0</v>
      </c>
      <c r="U736" t="s">
        <v>6708</v>
      </c>
      <c r="V736">
        <v>1</v>
      </c>
      <c r="W736">
        <v>8</v>
      </c>
      <c r="X736">
        <v>159849</v>
      </c>
      <c r="Y736" t="s">
        <v>1961</v>
      </c>
      <c r="Z736" t="s">
        <v>6706</v>
      </c>
      <c r="AA736" t="s">
        <v>6633</v>
      </c>
      <c r="AB736" t="s">
        <v>45</v>
      </c>
      <c r="AC736" t="s">
        <v>6634</v>
      </c>
    </row>
    <row r="737" spans="1:29">
      <c r="A737" t="s">
        <v>157</v>
      </c>
      <c r="B737" s="1">
        <v>79928</v>
      </c>
      <c r="C737" t="s">
        <v>1239</v>
      </c>
      <c r="D737" t="s">
        <v>3029</v>
      </c>
      <c r="E737" s="1">
        <v>-5745</v>
      </c>
      <c r="F737" t="s">
        <v>360</v>
      </c>
      <c r="G737" t="s">
        <v>5958</v>
      </c>
      <c r="H737" t="s">
        <v>6709</v>
      </c>
      <c r="I737">
        <v>4</v>
      </c>
      <c r="J737" t="s">
        <v>3412</v>
      </c>
      <c r="K737">
        <v>80</v>
      </c>
      <c r="L737" t="s">
        <v>6710</v>
      </c>
      <c r="M737" t="s">
        <v>6711</v>
      </c>
      <c r="N737" t="s">
        <v>6712</v>
      </c>
      <c r="O737" t="s">
        <v>6628</v>
      </c>
      <c r="P737" t="s">
        <v>6713</v>
      </c>
      <c r="Q737" t="s">
        <v>6714</v>
      </c>
      <c r="R737" t="s">
        <v>6715</v>
      </c>
      <c r="S737" s="2">
        <v>44687</v>
      </c>
      <c r="T737" t="s">
        <v>6716</v>
      </c>
      <c r="U737" t="s">
        <v>6717</v>
      </c>
      <c r="V737">
        <v>0</v>
      </c>
      <c r="W737">
        <v>3</v>
      </c>
      <c r="X737">
        <v>258299</v>
      </c>
      <c r="Y737" t="s">
        <v>2650</v>
      </c>
      <c r="Z737" t="s">
        <v>6714</v>
      </c>
      <c r="AA737" t="s">
        <v>6633</v>
      </c>
      <c r="AB737" t="s">
        <v>45</v>
      </c>
      <c r="AC737" t="s">
        <v>6634</v>
      </c>
    </row>
    <row r="738" spans="1:29">
      <c r="A738" t="s">
        <v>1574</v>
      </c>
      <c r="B738" t="s">
        <v>6718</v>
      </c>
      <c r="C738" t="s">
        <v>92</v>
      </c>
      <c r="D738" t="s">
        <v>3029</v>
      </c>
      <c r="E738" t="s">
        <v>6719</v>
      </c>
      <c r="F738" t="s">
        <v>6720</v>
      </c>
      <c r="G738" t="s">
        <v>4636</v>
      </c>
      <c r="H738" t="s">
        <v>6721</v>
      </c>
      <c r="I738">
        <v>4</v>
      </c>
      <c r="J738" t="s">
        <v>6722</v>
      </c>
      <c r="K738">
        <v>75</v>
      </c>
      <c r="L738" t="s">
        <v>6723</v>
      </c>
      <c r="M738" t="s">
        <v>6724</v>
      </c>
      <c r="N738" t="s">
        <v>6712</v>
      </c>
      <c r="O738" t="s">
        <v>6628</v>
      </c>
      <c r="P738" t="s">
        <v>6725</v>
      </c>
      <c r="Q738" t="s">
        <v>6726</v>
      </c>
      <c r="R738" t="s">
        <v>6727</v>
      </c>
      <c r="S738" s="2">
        <v>44687</v>
      </c>
      <c r="T738" t="s">
        <v>6728</v>
      </c>
      <c r="U738" t="s">
        <v>6717</v>
      </c>
      <c r="V738">
        <v>1</v>
      </c>
      <c r="W738">
        <v>2</v>
      </c>
      <c r="X738">
        <v>244444</v>
      </c>
      <c r="Y738" t="s">
        <v>2641</v>
      </c>
      <c r="Z738" t="s">
        <v>6726</v>
      </c>
      <c r="AA738" t="s">
        <v>6633</v>
      </c>
      <c r="AB738" t="s">
        <v>45</v>
      </c>
      <c r="AC738" t="s">
        <v>6634</v>
      </c>
    </row>
    <row r="739" spans="1:29">
      <c r="A739" t="s">
        <v>4079</v>
      </c>
      <c r="B739" s="1">
        <v>142004</v>
      </c>
      <c r="C739" t="s">
        <v>642</v>
      </c>
      <c r="D739" t="s">
        <v>3029</v>
      </c>
      <c r="E739" s="1">
        <v>-6276</v>
      </c>
      <c r="F739" t="s">
        <v>134</v>
      </c>
      <c r="G739" t="s">
        <v>2895</v>
      </c>
      <c r="H739" t="s">
        <v>2907</v>
      </c>
      <c r="I739">
        <v>4</v>
      </c>
      <c r="J739" t="s">
        <v>6729</v>
      </c>
      <c r="K739">
        <v>70</v>
      </c>
      <c r="L739" t="s">
        <v>6730</v>
      </c>
      <c r="M739" t="s">
        <v>6731</v>
      </c>
      <c r="N739" t="s">
        <v>6712</v>
      </c>
      <c r="O739" t="s">
        <v>6628</v>
      </c>
      <c r="P739" t="s">
        <v>6732</v>
      </c>
      <c r="Q739" t="s">
        <v>6733</v>
      </c>
      <c r="R739" t="s">
        <v>6734</v>
      </c>
      <c r="S739" s="2">
        <v>44687</v>
      </c>
      <c r="T739">
        <v>0</v>
      </c>
      <c r="U739" t="s">
        <v>6717</v>
      </c>
      <c r="V739">
        <v>1</v>
      </c>
      <c r="W739">
        <v>0</v>
      </c>
      <c r="X739">
        <v>230704</v>
      </c>
      <c r="Y739" t="s">
        <v>2083</v>
      </c>
      <c r="Z739" t="s">
        <v>6733</v>
      </c>
      <c r="AA739" t="s">
        <v>6633</v>
      </c>
      <c r="AB739" t="s">
        <v>45</v>
      </c>
      <c r="AC739" t="s">
        <v>6634</v>
      </c>
    </row>
    <row r="740" spans="1:29">
      <c r="A740" t="s">
        <v>3798</v>
      </c>
      <c r="B740" s="1">
        <v>122016</v>
      </c>
      <c r="C740" t="s">
        <v>4112</v>
      </c>
      <c r="D740" t="s">
        <v>3029</v>
      </c>
      <c r="E740" s="1">
        <v>-7511</v>
      </c>
      <c r="F740" t="s">
        <v>1799</v>
      </c>
      <c r="G740" t="s">
        <v>4017</v>
      </c>
      <c r="H740" t="s">
        <v>2907</v>
      </c>
      <c r="I740">
        <v>4</v>
      </c>
      <c r="J740" t="s">
        <v>6735</v>
      </c>
      <c r="K740">
        <v>75</v>
      </c>
      <c r="L740" t="s">
        <v>6736</v>
      </c>
      <c r="M740" t="s">
        <v>6737</v>
      </c>
      <c r="N740" t="s">
        <v>6712</v>
      </c>
      <c r="O740" t="s">
        <v>6628</v>
      </c>
      <c r="P740" t="s">
        <v>6738</v>
      </c>
      <c r="Q740" t="s">
        <v>6739</v>
      </c>
      <c r="R740" t="s">
        <v>6740</v>
      </c>
      <c r="S740" s="2">
        <v>44687</v>
      </c>
      <c r="T740">
        <v>0</v>
      </c>
      <c r="U740" t="s">
        <v>6717</v>
      </c>
      <c r="V740">
        <v>1</v>
      </c>
      <c r="W740">
        <v>10</v>
      </c>
      <c r="X740">
        <v>173119</v>
      </c>
      <c r="Y740" t="s">
        <v>6741</v>
      </c>
      <c r="Z740" t="s">
        <v>6739</v>
      </c>
      <c r="AA740" t="s">
        <v>6633</v>
      </c>
      <c r="AB740" t="s">
        <v>45</v>
      </c>
      <c r="AC740" t="s">
        <v>6634</v>
      </c>
    </row>
    <row r="741" spans="1:29">
      <c r="A741" t="s">
        <v>322</v>
      </c>
      <c r="B741" s="1">
        <v>151991</v>
      </c>
      <c r="C741" t="s">
        <v>6742</v>
      </c>
      <c r="D741" t="s">
        <v>3029</v>
      </c>
      <c r="E741" s="1">
        <v>-4464</v>
      </c>
      <c r="F741" t="s">
        <v>4308</v>
      </c>
      <c r="G741" t="s">
        <v>487</v>
      </c>
      <c r="H741" t="s">
        <v>2907</v>
      </c>
      <c r="I741">
        <v>4</v>
      </c>
      <c r="J741" t="s">
        <v>474</v>
      </c>
      <c r="K741">
        <v>76</v>
      </c>
      <c r="L741" t="s">
        <v>6743</v>
      </c>
      <c r="M741" t="s">
        <v>6744</v>
      </c>
      <c r="N741" t="s">
        <v>6712</v>
      </c>
      <c r="O741" t="s">
        <v>6628</v>
      </c>
      <c r="P741" t="s">
        <v>6745</v>
      </c>
      <c r="Q741" t="s">
        <v>6746</v>
      </c>
      <c r="R741" t="s">
        <v>6747</v>
      </c>
      <c r="S741" s="2">
        <v>44687</v>
      </c>
      <c r="T741" t="s">
        <v>6748</v>
      </c>
      <c r="U741" t="s">
        <v>6717</v>
      </c>
      <c r="V741">
        <v>1</v>
      </c>
      <c r="W741">
        <v>11</v>
      </c>
      <c r="X741">
        <v>196413</v>
      </c>
      <c r="Y741" t="s">
        <v>1882</v>
      </c>
      <c r="Z741" t="s">
        <v>6746</v>
      </c>
      <c r="AA741" t="s">
        <v>6633</v>
      </c>
      <c r="AB741" t="s">
        <v>45</v>
      </c>
      <c r="AC741" t="s">
        <v>6634</v>
      </c>
    </row>
    <row r="742" spans="1:29">
      <c r="A742" t="s">
        <v>2711</v>
      </c>
      <c r="B742" s="1">
        <v>103071</v>
      </c>
      <c r="C742" t="s">
        <v>2631</v>
      </c>
      <c r="D742" t="s">
        <v>3029</v>
      </c>
      <c r="E742" s="1">
        <v>-10229</v>
      </c>
      <c r="F742" t="s">
        <v>3658</v>
      </c>
      <c r="G742" t="s">
        <v>1762</v>
      </c>
      <c r="H742" t="s">
        <v>6749</v>
      </c>
      <c r="I742">
        <v>4</v>
      </c>
      <c r="J742" t="s">
        <v>1727</v>
      </c>
      <c r="K742">
        <v>74</v>
      </c>
      <c r="L742" t="s">
        <v>6750</v>
      </c>
      <c r="M742" t="s">
        <v>6751</v>
      </c>
      <c r="N742" t="s">
        <v>6712</v>
      </c>
      <c r="O742" t="s">
        <v>6628</v>
      </c>
      <c r="P742" t="s">
        <v>6752</v>
      </c>
      <c r="Q742" t="s">
        <v>6753</v>
      </c>
      <c r="R742" t="s">
        <v>6754</v>
      </c>
      <c r="S742" s="2">
        <v>44687</v>
      </c>
      <c r="T742" t="s">
        <v>6755</v>
      </c>
      <c r="U742" t="s">
        <v>6717</v>
      </c>
      <c r="V742">
        <v>0</v>
      </c>
      <c r="W742">
        <v>1</v>
      </c>
      <c r="X742">
        <v>339612</v>
      </c>
      <c r="Y742" t="s">
        <v>3073</v>
      </c>
      <c r="Z742" t="s">
        <v>6753</v>
      </c>
      <c r="AA742" t="s">
        <v>6633</v>
      </c>
      <c r="AB742" t="s">
        <v>45</v>
      </c>
      <c r="AC742" t="s">
        <v>6634</v>
      </c>
    </row>
    <row r="743" spans="1:29">
      <c r="A743" t="s">
        <v>1618</v>
      </c>
      <c r="B743" s="1">
        <v>111005</v>
      </c>
      <c r="C743" t="s">
        <v>6756</v>
      </c>
      <c r="D743" t="s">
        <v>3029</v>
      </c>
      <c r="E743" s="1">
        <v>-8006</v>
      </c>
      <c r="F743" t="s">
        <v>437</v>
      </c>
      <c r="G743" t="s">
        <v>278</v>
      </c>
      <c r="H743" t="s">
        <v>541</v>
      </c>
      <c r="I743">
        <v>4</v>
      </c>
      <c r="J743" t="s">
        <v>6757</v>
      </c>
      <c r="K743">
        <v>71</v>
      </c>
      <c r="L743" t="s">
        <v>6758</v>
      </c>
      <c r="M743" t="s">
        <v>6759</v>
      </c>
      <c r="N743" t="s">
        <v>6760</v>
      </c>
      <c r="O743" t="s">
        <v>6628</v>
      </c>
      <c r="P743" t="s">
        <v>6761</v>
      </c>
      <c r="Q743" t="s">
        <v>6762</v>
      </c>
      <c r="R743" t="s">
        <v>6760</v>
      </c>
      <c r="S743" s="2">
        <v>44673</v>
      </c>
      <c r="T743" t="s">
        <v>6763</v>
      </c>
      <c r="U743" t="s">
        <v>6764</v>
      </c>
      <c r="V743">
        <v>1</v>
      </c>
      <c r="W743">
        <v>1</v>
      </c>
      <c r="X743">
        <v>210200</v>
      </c>
      <c r="Y743" t="s">
        <v>289</v>
      </c>
      <c r="Z743" t="s">
        <v>6762</v>
      </c>
      <c r="AA743" t="s">
        <v>6633</v>
      </c>
      <c r="AB743" t="s">
        <v>45</v>
      </c>
      <c r="AC743" t="s">
        <v>6634</v>
      </c>
    </row>
    <row r="744" spans="1:29">
      <c r="A744" t="s">
        <v>1641</v>
      </c>
      <c r="B744" s="1">
        <v>139929</v>
      </c>
      <c r="C744" t="s">
        <v>6765</v>
      </c>
      <c r="D744" t="s">
        <v>3029</v>
      </c>
      <c r="E744" s="1">
        <v>-4941</v>
      </c>
      <c r="F744" t="s">
        <v>785</v>
      </c>
      <c r="G744" t="s">
        <v>3227</v>
      </c>
      <c r="H744" t="s">
        <v>6766</v>
      </c>
      <c r="I744">
        <v>4</v>
      </c>
      <c r="J744" t="s">
        <v>3459</v>
      </c>
      <c r="K744">
        <v>70</v>
      </c>
      <c r="L744" t="s">
        <v>6767</v>
      </c>
      <c r="M744" t="s">
        <v>6768</v>
      </c>
      <c r="N744" t="s">
        <v>6769</v>
      </c>
      <c r="O744" t="s">
        <v>6628</v>
      </c>
      <c r="P744" t="s">
        <v>6770</v>
      </c>
      <c r="Q744" t="s">
        <v>6771</v>
      </c>
      <c r="R744" t="s">
        <v>6769</v>
      </c>
      <c r="S744" s="2">
        <v>43845</v>
      </c>
      <c r="T744">
        <v>0</v>
      </c>
      <c r="U744" t="s">
        <v>6772</v>
      </c>
      <c r="V744">
        <v>1</v>
      </c>
      <c r="W744">
        <v>0</v>
      </c>
      <c r="X744">
        <v>225812</v>
      </c>
      <c r="Y744" t="s">
        <v>6773</v>
      </c>
      <c r="Z744" t="s">
        <v>6771</v>
      </c>
      <c r="AA744" t="s">
        <v>6633</v>
      </c>
      <c r="AB744" t="s">
        <v>45</v>
      </c>
      <c r="AC744" t="s">
        <v>6634</v>
      </c>
    </row>
    <row r="745" spans="1:29">
      <c r="A745" t="s">
        <v>1736</v>
      </c>
      <c r="B745" s="1">
        <v>130037</v>
      </c>
      <c r="C745" t="s">
        <v>1665</v>
      </c>
      <c r="D745" t="s">
        <v>3029</v>
      </c>
      <c r="E745" s="1">
        <v>-6521</v>
      </c>
      <c r="F745" t="s">
        <v>6774</v>
      </c>
      <c r="G745" t="s">
        <v>3482</v>
      </c>
      <c r="H745" t="s">
        <v>6775</v>
      </c>
      <c r="I745">
        <v>4</v>
      </c>
      <c r="J745" t="s">
        <v>6776</v>
      </c>
      <c r="K745">
        <v>71</v>
      </c>
      <c r="L745" t="s">
        <v>6777</v>
      </c>
      <c r="M745" t="s">
        <v>6778</v>
      </c>
      <c r="N745" t="s">
        <v>6779</v>
      </c>
      <c r="O745" t="s">
        <v>6628</v>
      </c>
      <c r="P745" t="s">
        <v>6780</v>
      </c>
      <c r="Q745" t="s">
        <v>6781</v>
      </c>
      <c r="R745" t="s">
        <v>6779</v>
      </c>
      <c r="S745" s="2">
        <v>44770</v>
      </c>
      <c r="T745" t="s">
        <v>2982</v>
      </c>
      <c r="U745" t="s">
        <v>6782</v>
      </c>
      <c r="V745">
        <v>1</v>
      </c>
      <c r="W745">
        <v>7</v>
      </c>
      <c r="X745">
        <v>157018</v>
      </c>
      <c r="Y745" t="s">
        <v>1619</v>
      </c>
      <c r="Z745" t="s">
        <v>6781</v>
      </c>
      <c r="AA745" t="s">
        <v>6633</v>
      </c>
      <c r="AB745" t="s">
        <v>45</v>
      </c>
      <c r="AC745" t="s">
        <v>6634</v>
      </c>
    </row>
    <row r="746" spans="1:29">
      <c r="A746" t="s">
        <v>290</v>
      </c>
      <c r="B746" s="1">
        <v>128033</v>
      </c>
      <c r="C746" t="s">
        <v>3613</v>
      </c>
      <c r="D746" t="s">
        <v>3029</v>
      </c>
      <c r="E746" s="1">
        <v>-5548</v>
      </c>
      <c r="F746" t="s">
        <v>2498</v>
      </c>
      <c r="G746" t="s">
        <v>959</v>
      </c>
      <c r="H746" t="s">
        <v>6783</v>
      </c>
      <c r="I746">
        <v>4</v>
      </c>
      <c r="J746" t="s">
        <v>6784</v>
      </c>
      <c r="K746">
        <v>80</v>
      </c>
      <c r="L746" t="s">
        <v>6785</v>
      </c>
      <c r="M746" t="s">
        <v>6786</v>
      </c>
      <c r="N746" t="s">
        <v>6787</v>
      </c>
      <c r="O746" t="s">
        <v>6628</v>
      </c>
      <c r="P746" t="s">
        <v>6788</v>
      </c>
      <c r="Q746" t="s">
        <v>6789</v>
      </c>
      <c r="R746" t="s">
        <v>6787</v>
      </c>
      <c r="S746" s="2">
        <v>44748</v>
      </c>
      <c r="T746" t="s">
        <v>281</v>
      </c>
      <c r="U746" t="s">
        <v>6790</v>
      </c>
      <c r="V746">
        <v>1</v>
      </c>
      <c r="W746">
        <v>2</v>
      </c>
      <c r="X746">
        <v>198938</v>
      </c>
      <c r="Y746" t="s">
        <v>6791</v>
      </c>
      <c r="Z746" t="s">
        <v>6789</v>
      </c>
      <c r="AA746" t="s">
        <v>6633</v>
      </c>
      <c r="AB746" t="s">
        <v>45</v>
      </c>
      <c r="AC746" t="s">
        <v>6634</v>
      </c>
    </row>
    <row r="747" spans="1:29">
      <c r="A747" t="s">
        <v>3779</v>
      </c>
      <c r="B747" t="s">
        <v>6792</v>
      </c>
      <c r="C747" t="s">
        <v>1226</v>
      </c>
      <c r="D747" t="s">
        <v>3029</v>
      </c>
      <c r="E747" s="1">
        <v>-9016</v>
      </c>
      <c r="F747" t="s">
        <v>146</v>
      </c>
      <c r="G747" t="s">
        <v>6212</v>
      </c>
      <c r="H747" t="s">
        <v>6793</v>
      </c>
      <c r="I747">
        <v>4</v>
      </c>
      <c r="J747" t="s">
        <v>117</v>
      </c>
      <c r="K747">
        <v>81</v>
      </c>
      <c r="L747" t="s">
        <v>6794</v>
      </c>
      <c r="M747" t="s">
        <v>6795</v>
      </c>
      <c r="N747" t="s">
        <v>6796</v>
      </c>
      <c r="O747" t="s">
        <v>6628</v>
      </c>
      <c r="P747" t="s">
        <v>6797</v>
      </c>
      <c r="Q747" t="s">
        <v>6798</v>
      </c>
      <c r="R747" t="s">
        <v>6799</v>
      </c>
      <c r="S747" s="2">
        <v>44169</v>
      </c>
      <c r="T747">
        <v>0</v>
      </c>
      <c r="U747" t="s">
        <v>6800</v>
      </c>
      <c r="V747">
        <v>0</v>
      </c>
      <c r="W747">
        <v>11</v>
      </c>
      <c r="X747">
        <v>160191</v>
      </c>
      <c r="Y747" t="s">
        <v>757</v>
      </c>
      <c r="Z747" t="s">
        <v>6798</v>
      </c>
      <c r="AA747" t="s">
        <v>6633</v>
      </c>
      <c r="AB747" t="s">
        <v>45</v>
      </c>
      <c r="AC747" t="s">
        <v>6634</v>
      </c>
    </row>
    <row r="748" spans="1:29">
      <c r="A748" t="s">
        <v>188</v>
      </c>
      <c r="B748" s="1">
        <v>189978</v>
      </c>
      <c r="C748" t="s">
        <v>824</v>
      </c>
      <c r="D748" t="s">
        <v>3029</v>
      </c>
      <c r="E748" s="1">
        <v>-7966</v>
      </c>
      <c r="F748" t="s">
        <v>423</v>
      </c>
      <c r="G748" t="s">
        <v>463</v>
      </c>
      <c r="H748" t="s">
        <v>3249</v>
      </c>
      <c r="I748">
        <v>4</v>
      </c>
      <c r="J748" t="s">
        <v>6801</v>
      </c>
      <c r="K748">
        <v>71</v>
      </c>
      <c r="L748" t="s">
        <v>6802</v>
      </c>
      <c r="M748" t="s">
        <v>6803</v>
      </c>
      <c r="N748" t="s">
        <v>6804</v>
      </c>
      <c r="O748" t="s">
        <v>6628</v>
      </c>
      <c r="P748" t="s">
        <v>6805</v>
      </c>
      <c r="Q748" t="s">
        <v>6806</v>
      </c>
      <c r="R748" t="s">
        <v>6807</v>
      </c>
      <c r="S748" s="2">
        <v>44511</v>
      </c>
      <c r="T748">
        <v>0</v>
      </c>
      <c r="U748" t="s">
        <v>6808</v>
      </c>
      <c r="V748">
        <v>1</v>
      </c>
      <c r="W748">
        <v>6</v>
      </c>
      <c r="X748">
        <v>262309</v>
      </c>
      <c r="Y748" t="s">
        <v>2774</v>
      </c>
      <c r="Z748" t="s">
        <v>6806</v>
      </c>
      <c r="AA748" t="s">
        <v>6633</v>
      </c>
      <c r="AB748" t="s">
        <v>45</v>
      </c>
      <c r="AC748" t="s">
        <v>6634</v>
      </c>
    </row>
    <row r="749" spans="1:29">
      <c r="A749" t="s">
        <v>1584</v>
      </c>
      <c r="B749" s="1">
        <v>93976</v>
      </c>
      <c r="C749" t="s">
        <v>6809</v>
      </c>
      <c r="D749" t="s">
        <v>3029</v>
      </c>
      <c r="E749" s="1">
        <v>-3894</v>
      </c>
      <c r="F749" t="s">
        <v>452</v>
      </c>
      <c r="G749" t="s">
        <v>2853</v>
      </c>
      <c r="H749" t="s">
        <v>6810</v>
      </c>
      <c r="I749">
        <v>4</v>
      </c>
      <c r="J749" t="s">
        <v>3291</v>
      </c>
      <c r="K749">
        <v>68</v>
      </c>
      <c r="L749" t="s">
        <v>6811</v>
      </c>
      <c r="M749" t="s">
        <v>6812</v>
      </c>
      <c r="N749" t="s">
        <v>6813</v>
      </c>
      <c r="O749" t="s">
        <v>6628</v>
      </c>
      <c r="P749" t="s">
        <v>6814</v>
      </c>
      <c r="Q749" t="s">
        <v>6815</v>
      </c>
      <c r="R749" t="s">
        <v>6813</v>
      </c>
      <c r="S749" s="2">
        <v>44917</v>
      </c>
      <c r="T749" t="s">
        <v>6816</v>
      </c>
      <c r="U749" t="s">
        <v>6817</v>
      </c>
      <c r="V749">
        <v>1</v>
      </c>
      <c r="W749">
        <v>8</v>
      </c>
      <c r="X749">
        <v>227013</v>
      </c>
      <c r="Y749" t="s">
        <v>1320</v>
      </c>
      <c r="Z749" t="s">
        <v>6815</v>
      </c>
      <c r="AA749" t="s">
        <v>6633</v>
      </c>
      <c r="AB749" t="s">
        <v>45</v>
      </c>
      <c r="AC749" t="s">
        <v>6634</v>
      </c>
    </row>
    <row r="750" spans="1:29">
      <c r="A750" t="s">
        <v>3114</v>
      </c>
      <c r="B750" s="1">
        <v>83118</v>
      </c>
      <c r="C750" t="s">
        <v>4813</v>
      </c>
      <c r="D750" t="s">
        <v>3029</v>
      </c>
      <c r="E750" s="1">
        <v>-4076</v>
      </c>
      <c r="F750" t="s">
        <v>1785</v>
      </c>
      <c r="G750" t="s">
        <v>239</v>
      </c>
      <c r="H750" t="s">
        <v>6818</v>
      </c>
      <c r="I750">
        <v>4</v>
      </c>
      <c r="J750" t="s">
        <v>6819</v>
      </c>
      <c r="K750">
        <v>75</v>
      </c>
      <c r="L750" t="s">
        <v>6820</v>
      </c>
      <c r="M750" t="s">
        <v>6821</v>
      </c>
      <c r="N750" t="s">
        <v>6822</v>
      </c>
      <c r="O750" t="s">
        <v>6628</v>
      </c>
      <c r="P750" t="s">
        <v>6823</v>
      </c>
      <c r="Q750" t="s">
        <v>6824</v>
      </c>
      <c r="R750" t="s">
        <v>6822</v>
      </c>
      <c r="S750" s="2">
        <v>45033</v>
      </c>
      <c r="T750">
        <v>0</v>
      </c>
      <c r="U750" t="s">
        <v>6825</v>
      </c>
      <c r="V750">
        <v>0</v>
      </c>
      <c r="W750">
        <v>6</v>
      </c>
      <c r="X750">
        <v>194563</v>
      </c>
      <c r="Y750" t="s">
        <v>6826</v>
      </c>
      <c r="Z750" t="s">
        <v>6824</v>
      </c>
      <c r="AA750" t="s">
        <v>6633</v>
      </c>
      <c r="AB750" t="s">
        <v>45</v>
      </c>
      <c r="AC750" t="s">
        <v>6634</v>
      </c>
    </row>
    <row r="751" spans="1:29">
      <c r="A751" t="s">
        <v>1082</v>
      </c>
      <c r="B751" s="1">
        <v>98224</v>
      </c>
      <c r="C751" t="s">
        <v>1668</v>
      </c>
      <c r="D751" t="s">
        <v>3029</v>
      </c>
      <c r="E751" t="s">
        <v>6827</v>
      </c>
      <c r="F751" t="s">
        <v>2280</v>
      </c>
      <c r="G751" t="s">
        <v>3779</v>
      </c>
      <c r="H751" t="s">
        <v>6828</v>
      </c>
      <c r="I751">
        <v>4</v>
      </c>
      <c r="J751" t="s">
        <v>323</v>
      </c>
      <c r="K751">
        <v>80</v>
      </c>
      <c r="L751" t="s">
        <v>6829</v>
      </c>
      <c r="M751" t="s">
        <v>6830</v>
      </c>
      <c r="N751" t="s">
        <v>6831</v>
      </c>
      <c r="O751" t="s">
        <v>6628</v>
      </c>
      <c r="P751" t="s">
        <v>6832</v>
      </c>
      <c r="Q751" t="s">
        <v>6833</v>
      </c>
      <c r="R751" t="s">
        <v>6831</v>
      </c>
      <c r="S751" s="2">
        <v>44827</v>
      </c>
      <c r="T751">
        <v>0</v>
      </c>
      <c r="U751" t="s">
        <v>6834</v>
      </c>
      <c r="V751">
        <v>1</v>
      </c>
      <c r="W751">
        <v>5</v>
      </c>
      <c r="X751">
        <v>184061</v>
      </c>
      <c r="Y751" t="s">
        <v>6835</v>
      </c>
      <c r="Z751" t="s">
        <v>6833</v>
      </c>
      <c r="AA751" t="s">
        <v>6633</v>
      </c>
      <c r="AB751" t="s">
        <v>45</v>
      </c>
      <c r="AC751" t="s">
        <v>6634</v>
      </c>
    </row>
    <row r="752" spans="1:29">
      <c r="A752" t="s">
        <v>2610</v>
      </c>
      <c r="B752" t="s">
        <v>6836</v>
      </c>
      <c r="C752" t="s">
        <v>3724</v>
      </c>
      <c r="D752" t="s">
        <v>3029</v>
      </c>
      <c r="E752" s="1">
        <v>-4772</v>
      </c>
      <c r="F752" t="s">
        <v>1483</v>
      </c>
      <c r="G752" t="s">
        <v>814</v>
      </c>
      <c r="H752" t="s">
        <v>6837</v>
      </c>
      <c r="I752">
        <v>4</v>
      </c>
      <c r="J752" t="s">
        <v>608</v>
      </c>
      <c r="K752">
        <v>79</v>
      </c>
      <c r="L752" t="s">
        <v>6838</v>
      </c>
      <c r="M752" t="s">
        <v>6839</v>
      </c>
      <c r="N752" t="s">
        <v>6840</v>
      </c>
      <c r="O752" t="s">
        <v>6628</v>
      </c>
      <c r="P752" t="s">
        <v>6841</v>
      </c>
      <c r="Q752" t="s">
        <v>6842</v>
      </c>
      <c r="R752" t="s">
        <v>6843</v>
      </c>
      <c r="S752" s="2">
        <v>45261</v>
      </c>
      <c r="T752">
        <v>0</v>
      </c>
      <c r="U752" t="s">
        <v>6844</v>
      </c>
      <c r="V752">
        <v>1</v>
      </c>
      <c r="W752">
        <v>11</v>
      </c>
      <c r="X752">
        <v>195587</v>
      </c>
      <c r="Y752" t="s">
        <v>135</v>
      </c>
      <c r="Z752" t="s">
        <v>6842</v>
      </c>
      <c r="AA752" t="s">
        <v>6633</v>
      </c>
      <c r="AB752" t="s">
        <v>45</v>
      </c>
      <c r="AC752" t="s">
        <v>6634</v>
      </c>
    </row>
    <row r="753" spans="1:29">
      <c r="A753" t="s">
        <v>3085</v>
      </c>
      <c r="B753" s="1">
        <v>93924</v>
      </c>
      <c r="C753" t="s">
        <v>1726</v>
      </c>
      <c r="D753" t="s">
        <v>6845</v>
      </c>
      <c r="E753" s="1">
        <v>-7813</v>
      </c>
      <c r="F753" t="s">
        <v>2558</v>
      </c>
      <c r="G753" t="s">
        <v>255</v>
      </c>
      <c r="H753" t="s">
        <v>2366</v>
      </c>
      <c r="I753">
        <v>4</v>
      </c>
      <c r="J753" t="s">
        <v>2220</v>
      </c>
      <c r="K753">
        <v>78</v>
      </c>
      <c r="L753" t="s">
        <v>6846</v>
      </c>
      <c r="M753" t="s">
        <v>6847</v>
      </c>
      <c r="N753" t="s">
        <v>6848</v>
      </c>
      <c r="O753" t="s">
        <v>6849</v>
      </c>
      <c r="P753" t="s">
        <v>6850</v>
      </c>
      <c r="Q753" t="s">
        <v>6851</v>
      </c>
      <c r="R753" t="s">
        <v>6852</v>
      </c>
      <c r="S753" s="2">
        <v>43966</v>
      </c>
      <c r="T753">
        <v>0</v>
      </c>
      <c r="U753" t="s">
        <v>6853</v>
      </c>
      <c r="V753">
        <v>0</v>
      </c>
      <c r="W753">
        <v>1</v>
      </c>
      <c r="X753">
        <v>132833</v>
      </c>
      <c r="Y753" t="s">
        <v>878</v>
      </c>
      <c r="Z753" t="s">
        <v>6851</v>
      </c>
      <c r="AA753" t="s">
        <v>1853</v>
      </c>
      <c r="AB753" t="s">
        <v>45</v>
      </c>
      <c r="AC753" t="s">
        <v>6854</v>
      </c>
    </row>
    <row r="754" spans="1:29">
      <c r="A754" t="s">
        <v>2721</v>
      </c>
      <c r="B754" t="s">
        <v>2722</v>
      </c>
      <c r="C754" t="s">
        <v>2672</v>
      </c>
      <c r="D754" t="s">
        <v>6845</v>
      </c>
      <c r="E754" s="1">
        <v>-5064</v>
      </c>
      <c r="F754" t="s">
        <v>2723</v>
      </c>
      <c r="G754" t="s">
        <v>1025</v>
      </c>
      <c r="H754" t="s">
        <v>2724</v>
      </c>
      <c r="I754">
        <v>4</v>
      </c>
      <c r="J754" t="s">
        <v>2725</v>
      </c>
      <c r="K754">
        <v>70</v>
      </c>
      <c r="L754" t="s">
        <v>2726</v>
      </c>
      <c r="M754" t="s">
        <v>2727</v>
      </c>
      <c r="N754" t="s">
        <v>2728</v>
      </c>
      <c r="O754" t="s">
        <v>6849</v>
      </c>
      <c r="P754" t="s">
        <v>2729</v>
      </c>
      <c r="Q754" t="s">
        <v>2730</v>
      </c>
      <c r="R754" t="s">
        <v>2731</v>
      </c>
      <c r="S754" s="2">
        <v>43952</v>
      </c>
      <c r="T754">
        <v>0</v>
      </c>
      <c r="U754" t="s">
        <v>2732</v>
      </c>
      <c r="V754">
        <v>1</v>
      </c>
      <c r="W754">
        <v>1</v>
      </c>
      <c r="X754">
        <v>181929</v>
      </c>
      <c r="Y754" t="s">
        <v>2022</v>
      </c>
      <c r="Z754" t="s">
        <v>2730</v>
      </c>
      <c r="AA754" t="s">
        <v>1853</v>
      </c>
      <c r="AB754" t="s">
        <v>45</v>
      </c>
      <c r="AC754" t="s">
        <v>6854</v>
      </c>
    </row>
    <row r="755" spans="1:29">
      <c r="A755" t="s">
        <v>1085</v>
      </c>
      <c r="B755" s="1">
        <v>155008</v>
      </c>
      <c r="C755" t="s">
        <v>2918</v>
      </c>
      <c r="D755" t="s">
        <v>6845</v>
      </c>
      <c r="E755" s="1">
        <v>-3714</v>
      </c>
      <c r="F755" t="s">
        <v>2101</v>
      </c>
      <c r="G755" t="s">
        <v>550</v>
      </c>
      <c r="H755" t="s">
        <v>2919</v>
      </c>
      <c r="I755">
        <v>4</v>
      </c>
      <c r="J755" t="s">
        <v>2920</v>
      </c>
      <c r="K755">
        <v>81</v>
      </c>
      <c r="L755" t="s">
        <v>2921</v>
      </c>
      <c r="M755" t="s">
        <v>2922</v>
      </c>
      <c r="N755" t="s">
        <v>2923</v>
      </c>
      <c r="O755" t="s">
        <v>6849</v>
      </c>
      <c r="P755" t="s">
        <v>2924</v>
      </c>
      <c r="Q755" t="s">
        <v>2925</v>
      </c>
      <c r="R755" t="s">
        <v>2926</v>
      </c>
      <c r="S755" s="2">
        <v>43315</v>
      </c>
      <c r="T755">
        <v>0</v>
      </c>
      <c r="U755" t="s">
        <v>2927</v>
      </c>
      <c r="V755">
        <v>1</v>
      </c>
      <c r="W755">
        <v>8</v>
      </c>
      <c r="X755">
        <v>312820</v>
      </c>
      <c r="Y755" t="s">
        <v>2928</v>
      </c>
      <c r="Z755" t="s">
        <v>2925</v>
      </c>
      <c r="AA755" t="s">
        <v>1853</v>
      </c>
      <c r="AB755" t="s">
        <v>45</v>
      </c>
      <c r="AC755" t="s">
        <v>6854</v>
      </c>
    </row>
    <row r="756" spans="1:29">
      <c r="A756" t="s">
        <v>1025</v>
      </c>
      <c r="B756" s="1">
        <v>77972</v>
      </c>
      <c r="C756" t="s">
        <v>2569</v>
      </c>
      <c r="D756" t="s">
        <v>6845</v>
      </c>
      <c r="E756" s="1">
        <v>-6295</v>
      </c>
      <c r="F756" t="s">
        <v>2001</v>
      </c>
      <c r="G756" t="s">
        <v>2570</v>
      </c>
      <c r="H756" t="s">
        <v>1909</v>
      </c>
      <c r="I756">
        <v>4</v>
      </c>
      <c r="J756" t="s">
        <v>2571</v>
      </c>
      <c r="K756">
        <v>70</v>
      </c>
      <c r="L756" t="s">
        <v>2572</v>
      </c>
      <c r="M756" t="s">
        <v>2573</v>
      </c>
      <c r="N756" t="s">
        <v>2574</v>
      </c>
      <c r="O756" t="s">
        <v>6849</v>
      </c>
      <c r="P756" t="s">
        <v>2575</v>
      </c>
      <c r="Q756" t="s">
        <v>2576</v>
      </c>
      <c r="R756" t="s">
        <v>2574</v>
      </c>
      <c r="S756" s="2">
        <v>44169</v>
      </c>
      <c r="T756">
        <v>0</v>
      </c>
      <c r="U756" t="s">
        <v>2577</v>
      </c>
      <c r="V756">
        <v>0</v>
      </c>
      <c r="W756">
        <v>6</v>
      </c>
      <c r="X756">
        <v>135960</v>
      </c>
      <c r="Y756" t="s">
        <v>2578</v>
      </c>
      <c r="Z756" t="s">
        <v>2576</v>
      </c>
      <c r="AA756" t="s">
        <v>1853</v>
      </c>
      <c r="AB756" t="s">
        <v>45</v>
      </c>
      <c r="AC756" t="s">
        <v>6854</v>
      </c>
    </row>
    <row r="757" spans="1:29">
      <c r="A757" t="s">
        <v>2487</v>
      </c>
      <c r="B757" s="1">
        <v>166162</v>
      </c>
      <c r="C757" t="s">
        <v>2081</v>
      </c>
      <c r="D757" t="s">
        <v>6845</v>
      </c>
      <c r="E757" s="1">
        <v>-11845</v>
      </c>
      <c r="F757" t="s">
        <v>2650</v>
      </c>
      <c r="G757" t="s">
        <v>801</v>
      </c>
      <c r="H757" t="s">
        <v>2366</v>
      </c>
      <c r="I757">
        <v>4</v>
      </c>
      <c r="J757" t="s">
        <v>406</v>
      </c>
      <c r="K757">
        <v>68</v>
      </c>
      <c r="L757" t="s">
        <v>6855</v>
      </c>
      <c r="M757" t="s">
        <v>6856</v>
      </c>
      <c r="N757" t="s">
        <v>6857</v>
      </c>
      <c r="O757" t="s">
        <v>6849</v>
      </c>
      <c r="P757" t="s">
        <v>6858</v>
      </c>
      <c r="Q757" t="s">
        <v>6859</v>
      </c>
      <c r="R757" t="s">
        <v>6860</v>
      </c>
      <c r="S757" s="2">
        <v>43623</v>
      </c>
      <c r="T757">
        <v>0</v>
      </c>
      <c r="U757" t="s">
        <v>6861</v>
      </c>
      <c r="V757">
        <v>0</v>
      </c>
      <c r="W757">
        <v>8</v>
      </c>
      <c r="X757">
        <v>127200</v>
      </c>
      <c r="Y757" t="s">
        <v>2280</v>
      </c>
      <c r="Z757" t="s">
        <v>6859</v>
      </c>
      <c r="AA757" t="s">
        <v>1853</v>
      </c>
      <c r="AB757" t="s">
        <v>45</v>
      </c>
      <c r="AC757" t="s">
        <v>6854</v>
      </c>
    </row>
    <row r="758" spans="1:29">
      <c r="A758" t="s">
        <v>813</v>
      </c>
      <c r="B758" s="1">
        <v>91007</v>
      </c>
      <c r="C758" t="s">
        <v>320</v>
      </c>
      <c r="D758" t="s">
        <v>6845</v>
      </c>
      <c r="E758" s="1">
        <v>-3671</v>
      </c>
      <c r="F758" t="s">
        <v>1640</v>
      </c>
      <c r="G758" t="s">
        <v>1396</v>
      </c>
      <c r="H758" t="s">
        <v>5099</v>
      </c>
      <c r="I758">
        <v>4</v>
      </c>
      <c r="J758" t="s">
        <v>2324</v>
      </c>
      <c r="K758">
        <v>80</v>
      </c>
      <c r="L758" t="s">
        <v>5100</v>
      </c>
      <c r="M758" t="s">
        <v>5101</v>
      </c>
      <c r="N758" t="s">
        <v>5102</v>
      </c>
      <c r="O758" t="s">
        <v>6849</v>
      </c>
      <c r="P758" t="s">
        <v>5103</v>
      </c>
      <c r="Q758" t="s">
        <v>5104</v>
      </c>
      <c r="R758" t="s">
        <v>5105</v>
      </c>
      <c r="S758" s="2">
        <v>44281</v>
      </c>
      <c r="T758">
        <v>0</v>
      </c>
      <c r="U758" t="s">
        <v>5106</v>
      </c>
      <c r="V758">
        <v>0</v>
      </c>
      <c r="W758">
        <v>7</v>
      </c>
      <c r="X758">
        <v>140533</v>
      </c>
      <c r="Y758" t="s">
        <v>2766</v>
      </c>
      <c r="Z758" t="s">
        <v>5104</v>
      </c>
      <c r="AA758" t="s">
        <v>1853</v>
      </c>
      <c r="AB758" t="s">
        <v>45</v>
      </c>
      <c r="AC758" t="s">
        <v>6854</v>
      </c>
    </row>
    <row r="759" spans="1:29">
      <c r="A759" t="s">
        <v>2325</v>
      </c>
      <c r="B759" s="1">
        <v>140042</v>
      </c>
      <c r="C759" t="s">
        <v>4735</v>
      </c>
      <c r="D759" t="s">
        <v>6845</v>
      </c>
      <c r="E759" s="1">
        <v>-6142</v>
      </c>
      <c r="F759" t="s">
        <v>160</v>
      </c>
      <c r="G759" t="s">
        <v>6040</v>
      </c>
      <c r="H759" t="s">
        <v>6862</v>
      </c>
      <c r="I759">
        <v>4</v>
      </c>
      <c r="J759" t="s">
        <v>6863</v>
      </c>
      <c r="K759">
        <v>77</v>
      </c>
      <c r="L759" t="s">
        <v>6864</v>
      </c>
      <c r="M759" t="s">
        <v>6865</v>
      </c>
      <c r="N759" t="s">
        <v>6866</v>
      </c>
      <c r="O759" t="s">
        <v>6849</v>
      </c>
      <c r="P759" t="s">
        <v>6867</v>
      </c>
      <c r="Q759" t="s">
        <v>6868</v>
      </c>
      <c r="R759" t="s">
        <v>6869</v>
      </c>
      <c r="S759" s="2">
        <v>44071</v>
      </c>
      <c r="T759">
        <v>0</v>
      </c>
      <c r="U759" t="s">
        <v>6870</v>
      </c>
      <c r="V759">
        <v>0</v>
      </c>
      <c r="W759">
        <v>1</v>
      </c>
      <c r="X759">
        <v>195429</v>
      </c>
      <c r="Y759" t="s">
        <v>969</v>
      </c>
      <c r="Z759" t="s">
        <v>6868</v>
      </c>
      <c r="AA759" t="s">
        <v>1853</v>
      </c>
      <c r="AB759" t="s">
        <v>45</v>
      </c>
      <c r="AC759" t="s">
        <v>6854</v>
      </c>
    </row>
    <row r="760" spans="1:29">
      <c r="A760" t="s">
        <v>630</v>
      </c>
      <c r="B760" s="1">
        <v>148038</v>
      </c>
      <c r="C760" t="s">
        <v>4813</v>
      </c>
      <c r="D760" t="s">
        <v>6845</v>
      </c>
      <c r="E760" s="1">
        <v>-2777</v>
      </c>
      <c r="F760" t="s">
        <v>2117</v>
      </c>
      <c r="G760" t="s">
        <v>4814</v>
      </c>
      <c r="H760" t="s">
        <v>4815</v>
      </c>
      <c r="I760">
        <v>4</v>
      </c>
      <c r="J760" t="s">
        <v>4816</v>
      </c>
      <c r="K760">
        <v>88</v>
      </c>
      <c r="L760" t="s">
        <v>4817</v>
      </c>
      <c r="M760" t="s">
        <v>4818</v>
      </c>
      <c r="N760" t="s">
        <v>4819</v>
      </c>
      <c r="O760" t="s">
        <v>6849</v>
      </c>
      <c r="P760" t="s">
        <v>4820</v>
      </c>
      <c r="Q760" t="s">
        <v>4821</v>
      </c>
      <c r="R760" t="s">
        <v>4822</v>
      </c>
      <c r="S760" s="2">
        <v>45135</v>
      </c>
      <c r="T760">
        <v>0</v>
      </c>
      <c r="U760" t="s">
        <v>4823</v>
      </c>
      <c r="V760">
        <v>0</v>
      </c>
      <c r="W760">
        <v>3</v>
      </c>
      <c r="X760">
        <v>191701</v>
      </c>
      <c r="Y760" t="s">
        <v>1040</v>
      </c>
      <c r="Z760" t="s">
        <v>4821</v>
      </c>
      <c r="AA760" t="s">
        <v>1853</v>
      </c>
      <c r="AB760" t="s">
        <v>45</v>
      </c>
      <c r="AC760" t="s">
        <v>6854</v>
      </c>
    </row>
    <row r="761" spans="1:29">
      <c r="A761" t="s">
        <v>1584</v>
      </c>
      <c r="B761" s="1">
        <v>112509</v>
      </c>
      <c r="C761" t="s">
        <v>1513</v>
      </c>
      <c r="D761" t="s">
        <v>6845</v>
      </c>
      <c r="E761" s="1">
        <v>-6903</v>
      </c>
      <c r="F761" t="s">
        <v>3085</v>
      </c>
      <c r="G761" t="s">
        <v>903</v>
      </c>
      <c r="H761" t="s">
        <v>2427</v>
      </c>
      <c r="I761">
        <v>4</v>
      </c>
      <c r="J761" t="s">
        <v>5004</v>
      </c>
      <c r="K761">
        <v>79</v>
      </c>
      <c r="L761" t="s">
        <v>6871</v>
      </c>
      <c r="M761" t="s">
        <v>6872</v>
      </c>
      <c r="N761" t="s">
        <v>6873</v>
      </c>
      <c r="O761" t="s">
        <v>6849</v>
      </c>
      <c r="P761" t="s">
        <v>6874</v>
      </c>
      <c r="Q761" t="s">
        <v>6875</v>
      </c>
      <c r="R761" t="s">
        <v>6876</v>
      </c>
      <c r="S761" s="2">
        <v>43378</v>
      </c>
      <c r="T761">
        <v>0</v>
      </c>
      <c r="U761" t="s">
        <v>6877</v>
      </c>
      <c r="V761">
        <v>0</v>
      </c>
      <c r="W761">
        <v>1</v>
      </c>
      <c r="X761">
        <v>145543</v>
      </c>
      <c r="Y761" t="s">
        <v>1086</v>
      </c>
      <c r="Z761" t="s">
        <v>6875</v>
      </c>
      <c r="AA761" t="s">
        <v>1853</v>
      </c>
      <c r="AB761" t="s">
        <v>45</v>
      </c>
      <c r="AC761" t="s">
        <v>6854</v>
      </c>
    </row>
    <row r="762" spans="1:29">
      <c r="A762" t="s">
        <v>2365</v>
      </c>
      <c r="B762" s="1">
        <v>119957</v>
      </c>
      <c r="C762" t="s">
        <v>2621</v>
      </c>
      <c r="D762" t="s">
        <v>6845</v>
      </c>
      <c r="E762" s="1">
        <v>-9309</v>
      </c>
      <c r="F762" t="s">
        <v>1596</v>
      </c>
      <c r="G762" t="s">
        <v>239</v>
      </c>
      <c r="H762" t="s">
        <v>2622</v>
      </c>
      <c r="I762">
        <v>4</v>
      </c>
      <c r="J762" t="s">
        <v>278</v>
      </c>
      <c r="K762">
        <v>75</v>
      </c>
      <c r="L762" t="s">
        <v>2623</v>
      </c>
      <c r="M762" t="s">
        <v>2624</v>
      </c>
      <c r="N762" t="s">
        <v>2625</v>
      </c>
      <c r="O762" t="s">
        <v>6849</v>
      </c>
      <c r="P762" t="s">
        <v>2626</v>
      </c>
      <c r="Q762" t="s">
        <v>2627</v>
      </c>
      <c r="R762" t="s">
        <v>2628</v>
      </c>
      <c r="S762" s="2">
        <v>43238</v>
      </c>
      <c r="T762">
        <v>0</v>
      </c>
      <c r="U762" t="s">
        <v>2629</v>
      </c>
      <c r="V762">
        <v>0</v>
      </c>
      <c r="W762">
        <v>5</v>
      </c>
      <c r="X762">
        <v>142273</v>
      </c>
      <c r="Y762" t="s">
        <v>2630</v>
      </c>
      <c r="Z762" t="s">
        <v>2627</v>
      </c>
      <c r="AA762" t="s">
        <v>1853</v>
      </c>
      <c r="AB762" t="s">
        <v>45</v>
      </c>
      <c r="AC762" t="s">
        <v>6854</v>
      </c>
    </row>
    <row r="763" spans="1:29">
      <c r="A763" t="s">
        <v>3779</v>
      </c>
      <c r="B763" s="1">
        <v>140053</v>
      </c>
      <c r="C763" t="s">
        <v>48</v>
      </c>
      <c r="D763" t="s">
        <v>6845</v>
      </c>
      <c r="E763" s="1">
        <v>-6807</v>
      </c>
      <c r="F763" t="s">
        <v>61</v>
      </c>
      <c r="G763" t="s">
        <v>452</v>
      </c>
      <c r="H763" t="s">
        <v>6878</v>
      </c>
      <c r="I763">
        <v>4</v>
      </c>
      <c r="J763" t="s">
        <v>379</v>
      </c>
      <c r="K763">
        <v>71</v>
      </c>
      <c r="L763" t="s">
        <v>6879</v>
      </c>
      <c r="M763" t="s">
        <v>6880</v>
      </c>
      <c r="N763" t="s">
        <v>6881</v>
      </c>
      <c r="O763" t="s">
        <v>6849</v>
      </c>
      <c r="P763" t="s">
        <v>6882</v>
      </c>
      <c r="Q763" t="s">
        <v>6883</v>
      </c>
      <c r="R763" t="s">
        <v>6884</v>
      </c>
      <c r="S763" s="2">
        <v>42965</v>
      </c>
      <c r="T763">
        <v>0</v>
      </c>
      <c r="U763" t="s">
        <v>6885</v>
      </c>
      <c r="V763">
        <v>0</v>
      </c>
      <c r="W763">
        <v>10</v>
      </c>
      <c r="X763">
        <v>213132</v>
      </c>
      <c r="Y763" t="s">
        <v>5394</v>
      </c>
      <c r="Z763" t="s">
        <v>6883</v>
      </c>
      <c r="AA763" t="s">
        <v>1853</v>
      </c>
      <c r="AB763" t="s">
        <v>45</v>
      </c>
      <c r="AC763" t="s">
        <v>6854</v>
      </c>
    </row>
    <row r="764" spans="1:29">
      <c r="A764" t="s">
        <v>307</v>
      </c>
      <c r="B764" s="1">
        <v>140063</v>
      </c>
      <c r="C764" t="s">
        <v>4723</v>
      </c>
      <c r="D764" t="s">
        <v>6845</v>
      </c>
      <c r="E764" s="1">
        <v>-8692</v>
      </c>
      <c r="F764" t="s">
        <v>1238</v>
      </c>
      <c r="G764" t="s">
        <v>6773</v>
      </c>
      <c r="H764" t="s">
        <v>2391</v>
      </c>
      <c r="I764">
        <v>4</v>
      </c>
      <c r="J764" t="s">
        <v>1189</v>
      </c>
      <c r="K764">
        <v>68</v>
      </c>
      <c r="L764" t="s">
        <v>6886</v>
      </c>
      <c r="M764" t="s">
        <v>6887</v>
      </c>
      <c r="N764" t="s">
        <v>6888</v>
      </c>
      <c r="O764" t="s">
        <v>6849</v>
      </c>
      <c r="P764" t="s">
        <v>6889</v>
      </c>
      <c r="Q764" t="s">
        <v>6890</v>
      </c>
      <c r="R764" t="s">
        <v>6891</v>
      </c>
      <c r="S764" s="2">
        <v>42566</v>
      </c>
      <c r="T764" t="s">
        <v>6892</v>
      </c>
      <c r="U764" t="s">
        <v>6893</v>
      </c>
      <c r="V764">
        <v>0</v>
      </c>
      <c r="W764">
        <v>4</v>
      </c>
      <c r="X764">
        <v>235040</v>
      </c>
      <c r="Y764" t="s">
        <v>1812</v>
      </c>
      <c r="Z764" t="s">
        <v>6890</v>
      </c>
      <c r="AA764" t="s">
        <v>1853</v>
      </c>
      <c r="AB764" t="s">
        <v>45</v>
      </c>
      <c r="AC764" t="s">
        <v>6854</v>
      </c>
    </row>
    <row r="765" spans="1:29">
      <c r="A765" t="s">
        <v>5560</v>
      </c>
      <c r="B765" s="1">
        <v>168112</v>
      </c>
      <c r="C765" t="s">
        <v>2241</v>
      </c>
      <c r="D765" t="s">
        <v>6845</v>
      </c>
      <c r="E765" s="1">
        <v>-7119</v>
      </c>
      <c r="F765" t="s">
        <v>3847</v>
      </c>
      <c r="G765" t="s">
        <v>2470</v>
      </c>
      <c r="H765" t="s">
        <v>6894</v>
      </c>
      <c r="I765">
        <v>4</v>
      </c>
      <c r="J765" t="s">
        <v>133</v>
      </c>
      <c r="K765">
        <v>74</v>
      </c>
      <c r="L765" t="s">
        <v>6895</v>
      </c>
      <c r="M765" t="s">
        <v>6896</v>
      </c>
      <c r="N765" t="s">
        <v>6857</v>
      </c>
      <c r="O765" t="s">
        <v>6849</v>
      </c>
      <c r="P765" t="s">
        <v>6897</v>
      </c>
      <c r="Q765" t="s">
        <v>6898</v>
      </c>
      <c r="R765" t="s">
        <v>6899</v>
      </c>
      <c r="S765" s="2">
        <v>43623</v>
      </c>
      <c r="T765">
        <v>0</v>
      </c>
      <c r="U765" t="s">
        <v>6861</v>
      </c>
      <c r="V765">
        <v>1</v>
      </c>
      <c r="W765">
        <v>1</v>
      </c>
      <c r="X765">
        <v>166560</v>
      </c>
      <c r="Y765" t="s">
        <v>1442</v>
      </c>
      <c r="Z765" t="s">
        <v>6898</v>
      </c>
      <c r="AA765" t="s">
        <v>1853</v>
      </c>
      <c r="AB765" t="s">
        <v>45</v>
      </c>
      <c r="AC765" t="s">
        <v>6854</v>
      </c>
    </row>
    <row r="766" spans="1:29">
      <c r="A766" t="s">
        <v>606</v>
      </c>
      <c r="B766" t="s">
        <v>2479</v>
      </c>
      <c r="C766" t="s">
        <v>1422</v>
      </c>
      <c r="D766" t="s">
        <v>6845</v>
      </c>
      <c r="E766" s="1">
        <v>-6071</v>
      </c>
      <c r="F766" t="s">
        <v>1211</v>
      </c>
      <c r="G766" t="s">
        <v>1596</v>
      </c>
      <c r="H766" t="s">
        <v>1909</v>
      </c>
      <c r="I766">
        <v>4</v>
      </c>
      <c r="J766" t="s">
        <v>1082</v>
      </c>
      <c r="K766">
        <v>77</v>
      </c>
      <c r="L766" t="s">
        <v>2480</v>
      </c>
      <c r="M766" t="s">
        <v>2481</v>
      </c>
      <c r="N766" t="s">
        <v>2430</v>
      </c>
      <c r="O766" t="s">
        <v>6849</v>
      </c>
      <c r="P766" t="s">
        <v>2482</v>
      </c>
      <c r="Q766" t="s">
        <v>2483</v>
      </c>
      <c r="R766" t="s">
        <v>2484</v>
      </c>
      <c r="S766" s="2">
        <v>43434</v>
      </c>
      <c r="T766" t="s">
        <v>2485</v>
      </c>
      <c r="U766" t="s">
        <v>2435</v>
      </c>
      <c r="V766">
        <v>0</v>
      </c>
      <c r="W766">
        <v>10</v>
      </c>
      <c r="X766">
        <v>154024</v>
      </c>
      <c r="Y766" t="s">
        <v>2486</v>
      </c>
      <c r="Z766" t="s">
        <v>2483</v>
      </c>
      <c r="AA766" t="s">
        <v>1853</v>
      </c>
      <c r="AB766" t="s">
        <v>45</v>
      </c>
      <c r="AC766" t="s">
        <v>6854</v>
      </c>
    </row>
    <row r="767" spans="1:29">
      <c r="A767" t="s">
        <v>3284</v>
      </c>
      <c r="B767" s="1">
        <v>75016</v>
      </c>
      <c r="C767" t="s">
        <v>2011</v>
      </c>
      <c r="D767" t="s">
        <v>6845</v>
      </c>
      <c r="E767" s="1">
        <v>-8227</v>
      </c>
      <c r="F767" t="s">
        <v>6900</v>
      </c>
      <c r="G767" t="s">
        <v>1141</v>
      </c>
      <c r="H767" t="s">
        <v>4975</v>
      </c>
      <c r="I767">
        <v>4</v>
      </c>
      <c r="J767" t="s">
        <v>1250</v>
      </c>
      <c r="K767">
        <v>72</v>
      </c>
      <c r="L767" t="s">
        <v>6901</v>
      </c>
      <c r="M767" t="s">
        <v>6902</v>
      </c>
      <c r="N767" t="s">
        <v>6903</v>
      </c>
      <c r="O767" t="s">
        <v>6849</v>
      </c>
      <c r="P767" t="s">
        <v>6904</v>
      </c>
      <c r="Q767" t="s">
        <v>6905</v>
      </c>
      <c r="R767" t="s">
        <v>6906</v>
      </c>
      <c r="S767" s="2">
        <v>42922</v>
      </c>
      <c r="T767" s="3">
        <v>6.9999999999999999E-6</v>
      </c>
      <c r="U767" t="s">
        <v>6907</v>
      </c>
      <c r="V767">
        <v>0</v>
      </c>
      <c r="W767">
        <v>8</v>
      </c>
      <c r="X767">
        <v>220307</v>
      </c>
      <c r="Y767" t="s">
        <v>1357</v>
      </c>
      <c r="Z767" t="s">
        <v>6905</v>
      </c>
      <c r="AA767" t="s">
        <v>1853</v>
      </c>
      <c r="AB767" t="s">
        <v>45</v>
      </c>
      <c r="AC767" t="s">
        <v>6854</v>
      </c>
    </row>
    <row r="768" spans="1:29">
      <c r="A768" t="s">
        <v>263</v>
      </c>
      <c r="B768" s="1">
        <v>127956</v>
      </c>
      <c r="C768" t="s">
        <v>4930</v>
      </c>
      <c r="D768" t="s">
        <v>6845</v>
      </c>
      <c r="E768" s="1">
        <v>-5562</v>
      </c>
      <c r="F768" t="s">
        <v>6908</v>
      </c>
      <c r="G768" t="s">
        <v>1073</v>
      </c>
      <c r="H768" t="s">
        <v>1909</v>
      </c>
      <c r="I768">
        <v>4</v>
      </c>
      <c r="J768" t="s">
        <v>947</v>
      </c>
      <c r="K768">
        <v>72</v>
      </c>
      <c r="L768" t="s">
        <v>6909</v>
      </c>
      <c r="M768" t="s">
        <v>6910</v>
      </c>
      <c r="N768" t="s">
        <v>2728</v>
      </c>
      <c r="O768" t="s">
        <v>6849</v>
      </c>
      <c r="P768" t="s">
        <v>6911</v>
      </c>
      <c r="Q768" t="s">
        <v>6912</v>
      </c>
      <c r="R768" t="s">
        <v>6913</v>
      </c>
      <c r="S768" s="2">
        <v>43952</v>
      </c>
      <c r="T768">
        <v>0</v>
      </c>
      <c r="U768" t="s">
        <v>2732</v>
      </c>
      <c r="V768">
        <v>0</v>
      </c>
      <c r="W768">
        <v>10</v>
      </c>
      <c r="X768">
        <v>144652</v>
      </c>
      <c r="Y768" t="s">
        <v>6051</v>
      </c>
      <c r="Z768" t="s">
        <v>6912</v>
      </c>
      <c r="AA768" t="s">
        <v>1853</v>
      </c>
      <c r="AB768" t="s">
        <v>45</v>
      </c>
      <c r="AC768" t="s">
        <v>6854</v>
      </c>
    </row>
    <row r="769" spans="1:29">
      <c r="A769" t="s">
        <v>2426</v>
      </c>
      <c r="B769" s="1">
        <v>76984</v>
      </c>
      <c r="C769" t="s">
        <v>1153</v>
      </c>
      <c r="D769" t="s">
        <v>6845</v>
      </c>
      <c r="E769" s="1">
        <v>-5578</v>
      </c>
      <c r="F769" t="s">
        <v>1528</v>
      </c>
      <c r="G769" t="s">
        <v>785</v>
      </c>
      <c r="H769" t="s">
        <v>2427</v>
      </c>
      <c r="I769">
        <v>4</v>
      </c>
      <c r="J769" t="s">
        <v>1410</v>
      </c>
      <c r="K769">
        <v>69</v>
      </c>
      <c r="L769" t="s">
        <v>2428</v>
      </c>
      <c r="M769" t="s">
        <v>2429</v>
      </c>
      <c r="N769" t="s">
        <v>2430</v>
      </c>
      <c r="O769" t="s">
        <v>6849</v>
      </c>
      <c r="P769" t="s">
        <v>2431</v>
      </c>
      <c r="Q769" t="s">
        <v>2432</v>
      </c>
      <c r="R769" t="s">
        <v>2433</v>
      </c>
      <c r="S769" s="2">
        <v>43434</v>
      </c>
      <c r="T769" t="s">
        <v>2434</v>
      </c>
      <c r="U769" t="s">
        <v>2435</v>
      </c>
      <c r="V769">
        <v>1</v>
      </c>
      <c r="W769">
        <v>1</v>
      </c>
      <c r="X769">
        <v>213287</v>
      </c>
      <c r="Y769" t="s">
        <v>2012</v>
      </c>
      <c r="Z769" t="s">
        <v>2432</v>
      </c>
      <c r="AA769" t="s">
        <v>1853</v>
      </c>
      <c r="AB769" t="s">
        <v>45</v>
      </c>
      <c r="AC769" t="s">
        <v>6854</v>
      </c>
    </row>
    <row r="770" spans="1:29">
      <c r="A770" t="s">
        <v>5738</v>
      </c>
      <c r="B770" s="1">
        <v>87997</v>
      </c>
      <c r="C770" t="s">
        <v>2631</v>
      </c>
      <c r="D770" t="s">
        <v>6845</v>
      </c>
      <c r="E770" s="1">
        <v>-9931</v>
      </c>
      <c r="F770" t="s">
        <v>1643</v>
      </c>
      <c r="G770" t="s">
        <v>2142</v>
      </c>
      <c r="H770" t="s">
        <v>6914</v>
      </c>
      <c r="I770">
        <v>4</v>
      </c>
      <c r="J770" t="s">
        <v>6425</v>
      </c>
      <c r="K770">
        <v>73</v>
      </c>
      <c r="L770" t="s">
        <v>6915</v>
      </c>
      <c r="M770" t="s">
        <v>6916</v>
      </c>
      <c r="N770" t="s">
        <v>6917</v>
      </c>
      <c r="O770" t="s">
        <v>6849</v>
      </c>
      <c r="P770" t="s">
        <v>6918</v>
      </c>
      <c r="Q770" t="s">
        <v>6919</v>
      </c>
      <c r="R770" t="s">
        <v>6920</v>
      </c>
      <c r="S770" s="2">
        <v>43410</v>
      </c>
      <c r="T770">
        <v>0</v>
      </c>
      <c r="U770" t="s">
        <v>6921</v>
      </c>
      <c r="V770">
        <v>0</v>
      </c>
      <c r="W770">
        <v>6</v>
      </c>
      <c r="X770">
        <v>208293</v>
      </c>
      <c r="Y770" t="s">
        <v>2641</v>
      </c>
      <c r="Z770" t="s">
        <v>6919</v>
      </c>
      <c r="AA770" t="s">
        <v>1853</v>
      </c>
      <c r="AB770" t="s">
        <v>45</v>
      </c>
      <c r="AC770" t="s">
        <v>6854</v>
      </c>
    </row>
    <row r="771" spans="1:29">
      <c r="A771" t="s">
        <v>1618</v>
      </c>
      <c r="B771" s="1">
        <v>119996</v>
      </c>
      <c r="C771" t="s">
        <v>3578</v>
      </c>
      <c r="D771" t="s">
        <v>6845</v>
      </c>
      <c r="E771" s="1">
        <v>-5426</v>
      </c>
      <c r="F771" t="s">
        <v>1799</v>
      </c>
      <c r="G771" t="s">
        <v>1749</v>
      </c>
      <c r="H771" t="s">
        <v>1909</v>
      </c>
      <c r="I771">
        <v>4</v>
      </c>
      <c r="J771" t="s">
        <v>6741</v>
      </c>
      <c r="K771">
        <v>77</v>
      </c>
      <c r="L771" t="s">
        <v>6922</v>
      </c>
      <c r="M771" t="s">
        <v>6923</v>
      </c>
      <c r="N771" t="s">
        <v>6924</v>
      </c>
      <c r="O771" t="s">
        <v>6849</v>
      </c>
      <c r="P771" t="s">
        <v>6925</v>
      </c>
      <c r="Q771" t="s">
        <v>6926</v>
      </c>
      <c r="R771" t="s">
        <v>6927</v>
      </c>
      <c r="S771" s="2">
        <v>43070</v>
      </c>
      <c r="T771">
        <v>0</v>
      </c>
      <c r="U771" t="s">
        <v>6928</v>
      </c>
      <c r="V771">
        <v>0</v>
      </c>
      <c r="W771">
        <v>2</v>
      </c>
      <c r="X771">
        <v>162053</v>
      </c>
      <c r="Y771" t="s">
        <v>1700</v>
      </c>
      <c r="Z771" t="s">
        <v>6926</v>
      </c>
      <c r="AA771" t="s">
        <v>1853</v>
      </c>
      <c r="AB771" t="s">
        <v>45</v>
      </c>
      <c r="AC771" t="s">
        <v>6854</v>
      </c>
    </row>
    <row r="772" spans="1:29">
      <c r="A772" t="s">
        <v>487</v>
      </c>
      <c r="B772" s="1">
        <v>84005</v>
      </c>
      <c r="C772" t="s">
        <v>2116</v>
      </c>
      <c r="D772" t="s">
        <v>6845</v>
      </c>
      <c r="E772" s="1">
        <v>-5171</v>
      </c>
      <c r="F772" t="s">
        <v>6929</v>
      </c>
      <c r="G772" t="s">
        <v>461</v>
      </c>
      <c r="H772" t="s">
        <v>6930</v>
      </c>
      <c r="I772">
        <v>4</v>
      </c>
      <c r="J772" t="s">
        <v>2539</v>
      </c>
      <c r="K772">
        <v>71</v>
      </c>
      <c r="L772" t="s">
        <v>6931</v>
      </c>
      <c r="M772" t="s">
        <v>6932</v>
      </c>
      <c r="N772" t="s">
        <v>6933</v>
      </c>
      <c r="O772" t="s">
        <v>6849</v>
      </c>
      <c r="P772" t="s">
        <v>6934</v>
      </c>
      <c r="Q772" t="s">
        <v>6935</v>
      </c>
      <c r="R772" t="s">
        <v>6936</v>
      </c>
      <c r="S772" s="2">
        <v>44050</v>
      </c>
      <c r="T772">
        <v>0</v>
      </c>
      <c r="U772" t="s">
        <v>6937</v>
      </c>
      <c r="V772">
        <v>1</v>
      </c>
      <c r="W772">
        <v>2</v>
      </c>
      <c r="X772">
        <v>173288</v>
      </c>
      <c r="Y772" t="s">
        <v>5958</v>
      </c>
      <c r="Z772" t="s">
        <v>6935</v>
      </c>
      <c r="AA772" t="s">
        <v>1853</v>
      </c>
      <c r="AB772" t="s">
        <v>45</v>
      </c>
      <c r="AC772" t="s">
        <v>6854</v>
      </c>
    </row>
    <row r="773" spans="1:29">
      <c r="A773" t="s">
        <v>714</v>
      </c>
      <c r="B773" t="s">
        <v>6938</v>
      </c>
      <c r="C773" t="s">
        <v>2598</v>
      </c>
      <c r="D773" t="s">
        <v>6845</v>
      </c>
      <c r="E773" s="1">
        <v>-10265</v>
      </c>
      <c r="F773" t="s">
        <v>6319</v>
      </c>
      <c r="G773" t="s">
        <v>364</v>
      </c>
      <c r="H773" t="s">
        <v>6939</v>
      </c>
      <c r="I773">
        <v>1</v>
      </c>
      <c r="J773" t="s">
        <v>132</v>
      </c>
      <c r="K773">
        <v>73</v>
      </c>
      <c r="L773" t="s">
        <v>6940</v>
      </c>
      <c r="M773" t="s">
        <v>6941</v>
      </c>
      <c r="N773" t="s">
        <v>6942</v>
      </c>
      <c r="O773" t="s">
        <v>6849</v>
      </c>
      <c r="P773" t="s">
        <v>6943</v>
      </c>
      <c r="Q773" t="s">
        <v>6944</v>
      </c>
      <c r="R773" t="s">
        <v>6945</v>
      </c>
      <c r="S773" s="2">
        <v>43749</v>
      </c>
      <c r="T773">
        <v>0</v>
      </c>
      <c r="U773" t="s">
        <v>6946</v>
      </c>
      <c r="V773">
        <v>0</v>
      </c>
      <c r="W773">
        <v>6</v>
      </c>
      <c r="X773">
        <v>224000</v>
      </c>
      <c r="Y773" t="s">
        <v>2198</v>
      </c>
      <c r="Z773" t="s">
        <v>6944</v>
      </c>
      <c r="AA773" t="s">
        <v>1853</v>
      </c>
      <c r="AB773" t="s">
        <v>45</v>
      </c>
      <c r="AC773" t="s">
        <v>6854</v>
      </c>
    </row>
    <row r="774" spans="1:29">
      <c r="A774" t="s">
        <v>2611</v>
      </c>
      <c r="B774" s="1">
        <v>108003</v>
      </c>
      <c r="C774" t="s">
        <v>6947</v>
      </c>
      <c r="D774" t="s">
        <v>6845</v>
      </c>
      <c r="E774" s="1">
        <v>-7259</v>
      </c>
      <c r="F774" t="s">
        <v>486</v>
      </c>
      <c r="G774" t="s">
        <v>6948</v>
      </c>
      <c r="H774" t="s">
        <v>6949</v>
      </c>
      <c r="I774">
        <v>4</v>
      </c>
      <c r="J774" t="s">
        <v>1434</v>
      </c>
      <c r="K774">
        <v>72</v>
      </c>
      <c r="L774" t="s">
        <v>6950</v>
      </c>
      <c r="M774" t="s">
        <v>6951</v>
      </c>
      <c r="N774" t="s">
        <v>6952</v>
      </c>
      <c r="O774" t="s">
        <v>6849</v>
      </c>
      <c r="P774" t="s">
        <v>6953</v>
      </c>
      <c r="Q774" t="s">
        <v>6954</v>
      </c>
      <c r="R774" t="s">
        <v>6955</v>
      </c>
      <c r="S774" s="2">
        <v>43693</v>
      </c>
      <c r="T774">
        <v>0</v>
      </c>
      <c r="U774" t="s">
        <v>6956</v>
      </c>
      <c r="V774">
        <v>1</v>
      </c>
      <c r="W774">
        <v>10</v>
      </c>
      <c r="X774">
        <v>142417</v>
      </c>
      <c r="Y774" t="s">
        <v>6957</v>
      </c>
      <c r="Z774" t="s">
        <v>6954</v>
      </c>
      <c r="AA774" t="s">
        <v>1853</v>
      </c>
      <c r="AB774" t="s">
        <v>45</v>
      </c>
      <c r="AC774" t="s">
        <v>6854</v>
      </c>
    </row>
    <row r="775" spans="1:29">
      <c r="A775" t="s">
        <v>1584</v>
      </c>
      <c r="B775" s="1">
        <v>143943</v>
      </c>
      <c r="C775" t="s">
        <v>742</v>
      </c>
      <c r="D775" t="s">
        <v>6845</v>
      </c>
      <c r="E775" s="1">
        <v>-4856</v>
      </c>
      <c r="F775" t="s">
        <v>1723</v>
      </c>
      <c r="G775" t="s">
        <v>687</v>
      </c>
      <c r="H775" t="s">
        <v>1856</v>
      </c>
      <c r="I775">
        <v>4</v>
      </c>
      <c r="J775" t="s">
        <v>5872</v>
      </c>
      <c r="K775">
        <v>69</v>
      </c>
      <c r="L775" t="s">
        <v>6958</v>
      </c>
      <c r="M775" t="s">
        <v>6959</v>
      </c>
      <c r="N775" t="s">
        <v>4969</v>
      </c>
      <c r="O775" t="s">
        <v>6849</v>
      </c>
      <c r="P775" t="s">
        <v>6960</v>
      </c>
      <c r="Q775" t="s">
        <v>6961</v>
      </c>
      <c r="R775" t="s">
        <v>6962</v>
      </c>
      <c r="S775" s="2">
        <v>45093</v>
      </c>
      <c r="T775">
        <v>0</v>
      </c>
      <c r="U775" t="s">
        <v>4973</v>
      </c>
      <c r="V775">
        <v>0</v>
      </c>
      <c r="W775">
        <v>5</v>
      </c>
      <c r="X775">
        <v>193333</v>
      </c>
      <c r="Y775" t="s">
        <v>593</v>
      </c>
      <c r="Z775" t="s">
        <v>6961</v>
      </c>
      <c r="AA775" t="s">
        <v>1853</v>
      </c>
      <c r="AB775" t="s">
        <v>45</v>
      </c>
      <c r="AC775" t="s">
        <v>6854</v>
      </c>
    </row>
    <row r="776" spans="1:29">
      <c r="A776" t="s">
        <v>1267</v>
      </c>
      <c r="B776" s="1">
        <v>130001</v>
      </c>
      <c r="C776" t="s">
        <v>2509</v>
      </c>
      <c r="D776" t="s">
        <v>6845</v>
      </c>
      <c r="E776" s="1">
        <v>-6747</v>
      </c>
      <c r="F776" t="s">
        <v>318</v>
      </c>
      <c r="G776" t="s">
        <v>4007</v>
      </c>
      <c r="H776" t="s">
        <v>1856</v>
      </c>
      <c r="I776">
        <v>4</v>
      </c>
      <c r="J776" t="s">
        <v>3302</v>
      </c>
      <c r="K776">
        <v>82</v>
      </c>
      <c r="L776" t="s">
        <v>4967</v>
      </c>
      <c r="M776" t="s">
        <v>4968</v>
      </c>
      <c r="N776" t="s">
        <v>4969</v>
      </c>
      <c r="O776" t="s">
        <v>6849</v>
      </c>
      <c r="P776" t="s">
        <v>4970</v>
      </c>
      <c r="Q776" t="s">
        <v>4971</v>
      </c>
      <c r="R776" t="s">
        <v>4972</v>
      </c>
      <c r="S776" s="2">
        <v>45093</v>
      </c>
      <c r="T776">
        <v>0</v>
      </c>
      <c r="U776" t="s">
        <v>4973</v>
      </c>
      <c r="V776">
        <v>0</v>
      </c>
      <c r="W776">
        <v>1</v>
      </c>
      <c r="X776">
        <v>125040</v>
      </c>
      <c r="Y776" t="s">
        <v>1483</v>
      </c>
      <c r="Z776" t="s">
        <v>4971</v>
      </c>
      <c r="AA776" t="s">
        <v>1853</v>
      </c>
      <c r="AB776" t="s">
        <v>45</v>
      </c>
      <c r="AC776" t="s">
        <v>6854</v>
      </c>
    </row>
    <row r="777" spans="1:29">
      <c r="A777" t="s">
        <v>320</v>
      </c>
      <c r="B777" s="1">
        <v>134039</v>
      </c>
      <c r="C777" t="s">
        <v>2830</v>
      </c>
      <c r="D777" t="s">
        <v>6845</v>
      </c>
      <c r="E777" s="1">
        <v>-5415</v>
      </c>
      <c r="F777" t="s">
        <v>1800</v>
      </c>
      <c r="G777" t="s">
        <v>1025</v>
      </c>
      <c r="H777" t="s">
        <v>6963</v>
      </c>
      <c r="I777">
        <v>4</v>
      </c>
      <c r="J777" t="s">
        <v>926</v>
      </c>
      <c r="K777">
        <v>68</v>
      </c>
      <c r="L777" t="s">
        <v>6964</v>
      </c>
      <c r="M777" t="s">
        <v>6965</v>
      </c>
      <c r="N777" t="s">
        <v>6966</v>
      </c>
      <c r="O777" t="s">
        <v>6849</v>
      </c>
      <c r="P777" t="s">
        <v>6967</v>
      </c>
      <c r="Q777" t="s">
        <v>6968</v>
      </c>
      <c r="R777" t="s">
        <v>6969</v>
      </c>
      <c r="S777" s="2">
        <v>45072</v>
      </c>
      <c r="T777">
        <v>0</v>
      </c>
      <c r="U777" t="s">
        <v>6970</v>
      </c>
      <c r="V777">
        <v>1</v>
      </c>
      <c r="W777">
        <v>11</v>
      </c>
      <c r="X777">
        <v>219174</v>
      </c>
      <c r="Y777" t="s">
        <v>6971</v>
      </c>
      <c r="Z777" t="s">
        <v>6968</v>
      </c>
      <c r="AA777" t="s">
        <v>1853</v>
      </c>
      <c r="AB777" t="s">
        <v>45</v>
      </c>
      <c r="AC777" t="s">
        <v>6854</v>
      </c>
    </row>
    <row r="778" spans="1:29">
      <c r="A778" t="s">
        <v>291</v>
      </c>
      <c r="B778" s="1">
        <v>150062</v>
      </c>
      <c r="C778" t="s">
        <v>2538</v>
      </c>
      <c r="D778" t="s">
        <v>6845</v>
      </c>
      <c r="E778" s="1">
        <v>-4053</v>
      </c>
      <c r="F778" t="s">
        <v>1596</v>
      </c>
      <c r="G778" t="s">
        <v>2539</v>
      </c>
      <c r="H778" t="s">
        <v>2540</v>
      </c>
      <c r="I778">
        <v>4</v>
      </c>
      <c r="J778" t="s">
        <v>2060</v>
      </c>
      <c r="K778">
        <v>70</v>
      </c>
      <c r="L778" t="s">
        <v>2541</v>
      </c>
      <c r="M778" t="s">
        <v>2542</v>
      </c>
      <c r="N778" t="s">
        <v>2543</v>
      </c>
      <c r="O778" t="s">
        <v>6849</v>
      </c>
      <c r="P778" t="s">
        <v>2544</v>
      </c>
      <c r="Q778" t="s">
        <v>2545</v>
      </c>
      <c r="R778" t="s">
        <v>2546</v>
      </c>
      <c r="S778" s="2">
        <v>44316</v>
      </c>
      <c r="T778">
        <v>0</v>
      </c>
      <c r="U778" t="s">
        <v>2547</v>
      </c>
      <c r="V778">
        <v>1</v>
      </c>
      <c r="W778">
        <v>2</v>
      </c>
      <c r="X778">
        <v>236524</v>
      </c>
      <c r="Y778" t="s">
        <v>2548</v>
      </c>
      <c r="Z778" t="s">
        <v>2545</v>
      </c>
      <c r="AA778" t="s">
        <v>1853</v>
      </c>
      <c r="AB778" t="s">
        <v>45</v>
      </c>
      <c r="AC778" t="s">
        <v>6854</v>
      </c>
    </row>
    <row r="779" spans="1:29">
      <c r="A779" t="s">
        <v>2517</v>
      </c>
      <c r="B779" s="1">
        <v>143029</v>
      </c>
      <c r="C779" t="s">
        <v>2518</v>
      </c>
      <c r="D779" t="s">
        <v>6845</v>
      </c>
      <c r="E779" s="1">
        <v>-8618</v>
      </c>
      <c r="F779" t="s">
        <v>2519</v>
      </c>
      <c r="G779" t="s">
        <v>2520</v>
      </c>
      <c r="H779" t="s">
        <v>2521</v>
      </c>
      <c r="I779">
        <v>4</v>
      </c>
      <c r="J779" t="s">
        <v>1896</v>
      </c>
      <c r="K779">
        <v>68</v>
      </c>
      <c r="L779" t="s">
        <v>2522</v>
      </c>
      <c r="M779" t="s">
        <v>2523</v>
      </c>
      <c r="N779" t="s">
        <v>2524</v>
      </c>
      <c r="O779" t="s">
        <v>6849</v>
      </c>
      <c r="P779" t="s">
        <v>2525</v>
      </c>
      <c r="Q779" t="s">
        <v>2526</v>
      </c>
      <c r="R779" t="s">
        <v>2527</v>
      </c>
      <c r="S779" s="2">
        <v>43959</v>
      </c>
      <c r="T779">
        <v>0</v>
      </c>
      <c r="U779" t="s">
        <v>2528</v>
      </c>
      <c r="V779">
        <v>0</v>
      </c>
      <c r="W779">
        <v>8</v>
      </c>
      <c r="X779">
        <v>169532</v>
      </c>
      <c r="Y779" t="s">
        <v>2031</v>
      </c>
      <c r="Z779" t="s">
        <v>2526</v>
      </c>
      <c r="AA779" t="s">
        <v>1853</v>
      </c>
      <c r="AB779" t="s">
        <v>45</v>
      </c>
      <c r="AC779" t="s">
        <v>6854</v>
      </c>
    </row>
    <row r="780" spans="1:29">
      <c r="A780" t="s">
        <v>421</v>
      </c>
      <c r="B780" s="1">
        <v>163935</v>
      </c>
      <c r="C780" t="s">
        <v>2610</v>
      </c>
      <c r="D780" t="s">
        <v>6845</v>
      </c>
      <c r="E780" s="1">
        <v>-5515</v>
      </c>
      <c r="F780" t="s">
        <v>6972</v>
      </c>
      <c r="G780" t="s">
        <v>5956</v>
      </c>
      <c r="H780" t="s">
        <v>2153</v>
      </c>
      <c r="I780">
        <v>4</v>
      </c>
      <c r="J780" t="s">
        <v>1553</v>
      </c>
      <c r="K780">
        <v>77</v>
      </c>
      <c r="L780" t="s">
        <v>6973</v>
      </c>
      <c r="M780" t="s">
        <v>6974</v>
      </c>
      <c r="N780" t="s">
        <v>6975</v>
      </c>
      <c r="O780" t="s">
        <v>6849</v>
      </c>
      <c r="P780" t="s">
        <v>6976</v>
      </c>
      <c r="Q780" t="s">
        <v>6977</v>
      </c>
      <c r="R780" t="s">
        <v>6978</v>
      </c>
      <c r="S780" s="2">
        <v>43444</v>
      </c>
      <c r="T780">
        <v>0</v>
      </c>
      <c r="U780" t="s">
        <v>6979</v>
      </c>
      <c r="V780">
        <v>1</v>
      </c>
      <c r="W780">
        <v>1</v>
      </c>
      <c r="X780">
        <v>175755</v>
      </c>
      <c r="Y780" t="s">
        <v>1728</v>
      </c>
      <c r="Z780" t="s">
        <v>6977</v>
      </c>
      <c r="AA780" t="s">
        <v>1853</v>
      </c>
      <c r="AB780" t="s">
        <v>45</v>
      </c>
      <c r="AC780" t="s">
        <v>6854</v>
      </c>
    </row>
    <row r="781" spans="1:29">
      <c r="A781" t="s">
        <v>622</v>
      </c>
      <c r="B781" s="1">
        <v>79899</v>
      </c>
      <c r="C781" t="s">
        <v>1736</v>
      </c>
      <c r="D781" t="s">
        <v>6845</v>
      </c>
      <c r="E781" s="1">
        <v>-5122</v>
      </c>
      <c r="F781" t="s">
        <v>1599</v>
      </c>
      <c r="G781" t="s">
        <v>1750</v>
      </c>
      <c r="H781" t="s">
        <v>2153</v>
      </c>
      <c r="I781">
        <v>4</v>
      </c>
      <c r="J781" t="s">
        <v>3516</v>
      </c>
      <c r="K781">
        <v>78</v>
      </c>
      <c r="L781" t="s">
        <v>6980</v>
      </c>
      <c r="M781" t="s">
        <v>6981</v>
      </c>
      <c r="N781" t="s">
        <v>6982</v>
      </c>
      <c r="O781" t="s">
        <v>6849</v>
      </c>
      <c r="P781" t="s">
        <v>6983</v>
      </c>
      <c r="Q781" t="s">
        <v>6984</v>
      </c>
      <c r="R781" t="s">
        <v>6985</v>
      </c>
      <c r="S781" s="2">
        <v>43532</v>
      </c>
      <c r="T781">
        <v>0</v>
      </c>
      <c r="U781" t="s">
        <v>6986</v>
      </c>
      <c r="V781">
        <v>1</v>
      </c>
      <c r="W781">
        <v>2</v>
      </c>
      <c r="X781">
        <v>240051</v>
      </c>
      <c r="Y781" t="s">
        <v>744</v>
      </c>
      <c r="Z781" t="s">
        <v>6984</v>
      </c>
      <c r="AA781" t="s">
        <v>1853</v>
      </c>
      <c r="AB781" t="s">
        <v>45</v>
      </c>
      <c r="AC781" t="s">
        <v>6854</v>
      </c>
    </row>
    <row r="782" spans="1:29">
      <c r="A782" t="s">
        <v>3633</v>
      </c>
      <c r="B782" s="1">
        <v>141996</v>
      </c>
      <c r="C782" t="s">
        <v>2984</v>
      </c>
      <c r="D782" t="s">
        <v>6845</v>
      </c>
      <c r="E782" s="1">
        <v>-6067</v>
      </c>
      <c r="F782" t="s">
        <v>2099</v>
      </c>
      <c r="G782" t="s">
        <v>1655</v>
      </c>
      <c r="H782" t="s">
        <v>6987</v>
      </c>
      <c r="I782">
        <v>4</v>
      </c>
      <c r="J782" t="s">
        <v>2090</v>
      </c>
      <c r="K782">
        <v>69</v>
      </c>
      <c r="L782" t="s">
        <v>6988</v>
      </c>
      <c r="M782" t="s">
        <v>6989</v>
      </c>
      <c r="N782" t="s">
        <v>6990</v>
      </c>
      <c r="O782" t="s">
        <v>6849</v>
      </c>
      <c r="P782" t="s">
        <v>6991</v>
      </c>
      <c r="Q782" t="s">
        <v>6992</v>
      </c>
      <c r="R782" t="s">
        <v>6993</v>
      </c>
      <c r="S782" s="2">
        <v>43413</v>
      </c>
      <c r="T782">
        <v>0</v>
      </c>
      <c r="U782" t="s">
        <v>6994</v>
      </c>
      <c r="V782">
        <v>0</v>
      </c>
      <c r="W782">
        <v>6</v>
      </c>
      <c r="X782">
        <v>175954</v>
      </c>
      <c r="Y782" t="s">
        <v>6995</v>
      </c>
      <c r="Z782" t="s">
        <v>6992</v>
      </c>
      <c r="AA782" t="s">
        <v>1853</v>
      </c>
      <c r="AB782" t="s">
        <v>45</v>
      </c>
      <c r="AC782" t="s">
        <v>6854</v>
      </c>
    </row>
    <row r="783" spans="1:29">
      <c r="A783" t="s">
        <v>4347</v>
      </c>
      <c r="B783" s="1">
        <v>149972</v>
      </c>
      <c r="C783" t="s">
        <v>1906</v>
      </c>
      <c r="D783" t="s">
        <v>6845</v>
      </c>
      <c r="E783" t="s">
        <v>6996</v>
      </c>
      <c r="F783" t="s">
        <v>1653</v>
      </c>
      <c r="G783" t="s">
        <v>214</v>
      </c>
      <c r="H783" t="s">
        <v>2153</v>
      </c>
      <c r="I783">
        <v>4</v>
      </c>
      <c r="J783" t="s">
        <v>785</v>
      </c>
      <c r="K783">
        <v>76</v>
      </c>
      <c r="L783" t="s">
        <v>6997</v>
      </c>
      <c r="M783" t="s">
        <v>6998</v>
      </c>
      <c r="N783" t="s">
        <v>6999</v>
      </c>
      <c r="O783" t="s">
        <v>6849</v>
      </c>
      <c r="P783" t="s">
        <v>7000</v>
      </c>
      <c r="Q783" t="s">
        <v>7001</v>
      </c>
      <c r="R783" t="s">
        <v>7002</v>
      </c>
      <c r="S783" s="2">
        <v>44022</v>
      </c>
      <c r="T783">
        <v>0</v>
      </c>
      <c r="U783" t="s">
        <v>7003</v>
      </c>
      <c r="V783">
        <v>0</v>
      </c>
      <c r="W783">
        <v>9</v>
      </c>
      <c r="X783">
        <v>194621</v>
      </c>
      <c r="Y783" t="s">
        <v>7004</v>
      </c>
      <c r="Z783" t="s">
        <v>7001</v>
      </c>
      <c r="AA783" t="s">
        <v>1853</v>
      </c>
      <c r="AB783" t="s">
        <v>45</v>
      </c>
      <c r="AC783" t="s">
        <v>6854</v>
      </c>
    </row>
    <row r="784" spans="1:29">
      <c r="A784" t="s">
        <v>1492</v>
      </c>
      <c r="B784" s="1">
        <v>161989</v>
      </c>
      <c r="C784" t="s">
        <v>1394</v>
      </c>
      <c r="D784" t="s">
        <v>6845</v>
      </c>
      <c r="E784" s="1">
        <v>-7226</v>
      </c>
      <c r="F784" t="s">
        <v>4554</v>
      </c>
      <c r="G784" t="s">
        <v>146</v>
      </c>
      <c r="H784" t="s">
        <v>2153</v>
      </c>
      <c r="I784">
        <v>4</v>
      </c>
      <c r="J784" t="s">
        <v>3053</v>
      </c>
      <c r="K784">
        <v>83</v>
      </c>
      <c r="L784" t="s">
        <v>7005</v>
      </c>
      <c r="M784" t="s">
        <v>7006</v>
      </c>
      <c r="N784" t="s">
        <v>6975</v>
      </c>
      <c r="O784" t="s">
        <v>6849</v>
      </c>
      <c r="P784" t="s">
        <v>7007</v>
      </c>
      <c r="Q784" t="s">
        <v>7008</v>
      </c>
      <c r="R784" t="s">
        <v>7009</v>
      </c>
      <c r="S784" s="2">
        <v>43444</v>
      </c>
      <c r="T784" t="s">
        <v>7010</v>
      </c>
      <c r="U784" t="s">
        <v>6979</v>
      </c>
      <c r="V784">
        <v>1</v>
      </c>
      <c r="W784">
        <v>0</v>
      </c>
      <c r="X784">
        <v>165820</v>
      </c>
      <c r="Y784" t="s">
        <v>7011</v>
      </c>
      <c r="Z784" t="s">
        <v>7008</v>
      </c>
      <c r="AA784" t="s">
        <v>1853</v>
      </c>
      <c r="AB784" t="s">
        <v>45</v>
      </c>
      <c r="AC784" t="s">
        <v>6854</v>
      </c>
    </row>
    <row r="785" spans="1:29">
      <c r="A785" t="s">
        <v>4346</v>
      </c>
      <c r="B785" s="1">
        <v>147946</v>
      </c>
      <c r="C785" t="s">
        <v>174</v>
      </c>
      <c r="D785" t="s">
        <v>6845</v>
      </c>
      <c r="E785" s="1">
        <v>-4612</v>
      </c>
      <c r="F785" t="s">
        <v>64</v>
      </c>
      <c r="G785" t="s">
        <v>3896</v>
      </c>
      <c r="H785" t="s">
        <v>2153</v>
      </c>
      <c r="I785">
        <v>4</v>
      </c>
      <c r="J785" t="s">
        <v>132</v>
      </c>
      <c r="K785">
        <v>71</v>
      </c>
      <c r="L785" t="s">
        <v>7012</v>
      </c>
      <c r="M785" t="s">
        <v>7013</v>
      </c>
      <c r="N785" t="s">
        <v>6975</v>
      </c>
      <c r="O785" t="s">
        <v>6849</v>
      </c>
      <c r="P785" t="s">
        <v>7014</v>
      </c>
      <c r="Q785" t="s">
        <v>7015</v>
      </c>
      <c r="R785" t="s">
        <v>7016</v>
      </c>
      <c r="S785" s="2">
        <v>43444</v>
      </c>
      <c r="T785">
        <v>0</v>
      </c>
      <c r="U785" t="s">
        <v>6979</v>
      </c>
      <c r="V785">
        <v>1</v>
      </c>
      <c r="W785">
        <v>7</v>
      </c>
      <c r="X785">
        <v>186945</v>
      </c>
      <c r="Y785" t="s">
        <v>7017</v>
      </c>
      <c r="Z785" t="s">
        <v>7015</v>
      </c>
      <c r="AA785" t="s">
        <v>1853</v>
      </c>
      <c r="AB785" t="s">
        <v>45</v>
      </c>
      <c r="AC785" t="s">
        <v>6854</v>
      </c>
    </row>
    <row r="786" spans="1:29">
      <c r="A786" t="s">
        <v>1712</v>
      </c>
      <c r="B786" s="1">
        <v>104986</v>
      </c>
      <c r="C786" t="s">
        <v>4626</v>
      </c>
      <c r="D786" t="s">
        <v>6845</v>
      </c>
      <c r="E786" s="1">
        <v>-7326</v>
      </c>
      <c r="F786" t="s">
        <v>2253</v>
      </c>
      <c r="G786" t="s">
        <v>7018</v>
      </c>
      <c r="H786" t="s">
        <v>7019</v>
      </c>
      <c r="I786">
        <v>4</v>
      </c>
      <c r="J786" t="s">
        <v>582</v>
      </c>
      <c r="K786">
        <v>70</v>
      </c>
      <c r="L786" t="s">
        <v>7020</v>
      </c>
      <c r="M786" t="s">
        <v>7021</v>
      </c>
      <c r="N786" t="s">
        <v>7022</v>
      </c>
      <c r="O786" t="s">
        <v>6849</v>
      </c>
      <c r="P786" t="s">
        <v>7023</v>
      </c>
      <c r="Q786" t="s">
        <v>7024</v>
      </c>
      <c r="R786" t="s">
        <v>7025</v>
      </c>
      <c r="S786" s="2">
        <v>45092</v>
      </c>
      <c r="T786" t="s">
        <v>5662</v>
      </c>
      <c r="U786" t="s">
        <v>7026</v>
      </c>
      <c r="V786">
        <v>0</v>
      </c>
      <c r="W786">
        <v>6</v>
      </c>
      <c r="X786">
        <v>157714</v>
      </c>
      <c r="Y786" t="s">
        <v>622</v>
      </c>
      <c r="Z786" t="s">
        <v>7024</v>
      </c>
      <c r="AA786" t="s">
        <v>1853</v>
      </c>
      <c r="AB786" t="s">
        <v>45</v>
      </c>
      <c r="AC786" t="s">
        <v>6854</v>
      </c>
    </row>
    <row r="787" spans="1:29">
      <c r="A787" t="s">
        <v>2388</v>
      </c>
      <c r="B787" t="s">
        <v>5462</v>
      </c>
      <c r="C787" t="s">
        <v>2151</v>
      </c>
      <c r="D787" t="s">
        <v>6845</v>
      </c>
      <c r="E787" s="1">
        <v>-7094</v>
      </c>
      <c r="F787" t="s">
        <v>1785</v>
      </c>
      <c r="G787" t="s">
        <v>3634</v>
      </c>
      <c r="H787" t="s">
        <v>5463</v>
      </c>
      <c r="I787">
        <v>4</v>
      </c>
      <c r="J787" t="s">
        <v>582</v>
      </c>
      <c r="K787">
        <v>70</v>
      </c>
      <c r="L787" t="s">
        <v>5464</v>
      </c>
      <c r="M787" t="s">
        <v>5465</v>
      </c>
      <c r="N787" t="s">
        <v>5466</v>
      </c>
      <c r="O787" t="s">
        <v>6849</v>
      </c>
      <c r="P787" t="s">
        <v>5467</v>
      </c>
      <c r="Q787" t="s">
        <v>5468</v>
      </c>
      <c r="R787" t="s">
        <v>5469</v>
      </c>
      <c r="S787" s="2">
        <v>45394</v>
      </c>
      <c r="T787" t="s">
        <v>5470</v>
      </c>
      <c r="U787" t="s">
        <v>5471</v>
      </c>
      <c r="V787">
        <v>1</v>
      </c>
      <c r="W787">
        <v>8</v>
      </c>
      <c r="X787">
        <v>141818</v>
      </c>
      <c r="Y787" t="s">
        <v>2538</v>
      </c>
      <c r="Z787" t="s">
        <v>5468</v>
      </c>
      <c r="AA787" t="s">
        <v>1853</v>
      </c>
      <c r="AB787" t="s">
        <v>45</v>
      </c>
      <c r="AC787" t="s">
        <v>6854</v>
      </c>
    </row>
    <row r="788" spans="1:29">
      <c r="A788" t="s">
        <v>421</v>
      </c>
      <c r="B788" s="1">
        <v>67813</v>
      </c>
      <c r="C788" t="s">
        <v>1310</v>
      </c>
      <c r="D788" t="s">
        <v>6845</v>
      </c>
      <c r="E788" s="1">
        <v>-6259</v>
      </c>
      <c r="F788" t="s">
        <v>1596</v>
      </c>
      <c r="G788" t="s">
        <v>2598</v>
      </c>
      <c r="H788" t="s">
        <v>5519</v>
      </c>
      <c r="I788">
        <v>5</v>
      </c>
      <c r="J788" t="s">
        <v>2280</v>
      </c>
      <c r="K788">
        <v>68</v>
      </c>
      <c r="L788" t="s">
        <v>5520</v>
      </c>
      <c r="M788" t="s">
        <v>5521</v>
      </c>
      <c r="N788" t="s">
        <v>5522</v>
      </c>
      <c r="O788" t="s">
        <v>6849</v>
      </c>
      <c r="P788" t="s">
        <v>5523</v>
      </c>
      <c r="Q788" t="s">
        <v>5524</v>
      </c>
      <c r="R788" t="s">
        <v>5522</v>
      </c>
      <c r="S788" s="2">
        <v>45398</v>
      </c>
      <c r="T788" t="s">
        <v>5525</v>
      </c>
      <c r="U788" t="s">
        <v>5526</v>
      </c>
      <c r="V788">
        <v>1</v>
      </c>
      <c r="W788">
        <v>11</v>
      </c>
      <c r="X788">
        <v>180594</v>
      </c>
      <c r="Y788" t="s">
        <v>4326</v>
      </c>
      <c r="Z788" t="s">
        <v>5524</v>
      </c>
      <c r="AA788" t="s">
        <v>1853</v>
      </c>
      <c r="AB788" t="s">
        <v>45</v>
      </c>
      <c r="AC788" t="s">
        <v>6854</v>
      </c>
    </row>
    <row r="789" spans="1:29">
      <c r="A789" t="s">
        <v>1226</v>
      </c>
      <c r="B789" s="1">
        <v>150097</v>
      </c>
      <c r="C789" t="s">
        <v>2411</v>
      </c>
      <c r="D789" t="s">
        <v>6845</v>
      </c>
      <c r="E789" s="1">
        <v>-3875</v>
      </c>
      <c r="F789" t="s">
        <v>593</v>
      </c>
      <c r="G789" t="s">
        <v>1200</v>
      </c>
      <c r="H789" t="s">
        <v>7027</v>
      </c>
      <c r="I789">
        <v>4</v>
      </c>
      <c r="J789" t="s">
        <v>2796</v>
      </c>
      <c r="K789">
        <v>74</v>
      </c>
      <c r="L789" t="s">
        <v>7028</v>
      </c>
      <c r="M789" t="s">
        <v>7029</v>
      </c>
      <c r="N789" t="s">
        <v>4962</v>
      </c>
      <c r="O789" t="s">
        <v>6849</v>
      </c>
      <c r="P789" t="s">
        <v>7030</v>
      </c>
      <c r="Q789" t="s">
        <v>7031</v>
      </c>
      <c r="R789" t="s">
        <v>7032</v>
      </c>
      <c r="S789" s="2">
        <v>43714</v>
      </c>
      <c r="T789">
        <v>0</v>
      </c>
      <c r="U789" t="s">
        <v>4966</v>
      </c>
      <c r="V789">
        <v>1</v>
      </c>
      <c r="W789">
        <v>5</v>
      </c>
      <c r="X789">
        <v>174853</v>
      </c>
      <c r="Y789" t="s">
        <v>7033</v>
      </c>
      <c r="Z789" t="s">
        <v>7031</v>
      </c>
      <c r="AA789" t="s">
        <v>1853</v>
      </c>
      <c r="AB789" t="s">
        <v>45</v>
      </c>
      <c r="AC789" t="s">
        <v>6854</v>
      </c>
    </row>
    <row r="790" spans="1:29">
      <c r="A790" t="s">
        <v>420</v>
      </c>
      <c r="B790" s="1">
        <v>144941</v>
      </c>
      <c r="C790" t="s">
        <v>529</v>
      </c>
      <c r="D790" t="s">
        <v>6845</v>
      </c>
      <c r="E790" s="1">
        <v>-5679</v>
      </c>
      <c r="F790" t="s">
        <v>1483</v>
      </c>
      <c r="G790" t="s">
        <v>757</v>
      </c>
      <c r="H790" t="s">
        <v>2070</v>
      </c>
      <c r="I790">
        <v>4</v>
      </c>
      <c r="J790" t="s">
        <v>715</v>
      </c>
      <c r="K790">
        <v>84</v>
      </c>
      <c r="L790" t="s">
        <v>2071</v>
      </c>
      <c r="M790" t="s">
        <v>2072</v>
      </c>
      <c r="N790" t="s">
        <v>2073</v>
      </c>
      <c r="O790" t="s">
        <v>6849</v>
      </c>
      <c r="P790" t="s">
        <v>2074</v>
      </c>
      <c r="Q790" t="s">
        <v>2075</v>
      </c>
      <c r="R790" t="s">
        <v>2076</v>
      </c>
      <c r="S790" s="2">
        <v>45373</v>
      </c>
      <c r="T790">
        <v>0</v>
      </c>
      <c r="U790" t="s">
        <v>2077</v>
      </c>
      <c r="V790">
        <v>1</v>
      </c>
      <c r="W790">
        <v>2</v>
      </c>
      <c r="X790">
        <v>228267</v>
      </c>
      <c r="Y790" t="s">
        <v>2078</v>
      </c>
      <c r="Z790" t="s">
        <v>2075</v>
      </c>
      <c r="AA790" t="s">
        <v>1853</v>
      </c>
      <c r="AB790" t="s">
        <v>45</v>
      </c>
      <c r="AC790" t="s">
        <v>6854</v>
      </c>
    </row>
    <row r="791" spans="1:29">
      <c r="A791" t="s">
        <v>420</v>
      </c>
      <c r="B791" s="1">
        <v>119476</v>
      </c>
      <c r="C791" t="s">
        <v>5448</v>
      </c>
      <c r="D791" t="s">
        <v>6845</v>
      </c>
      <c r="E791" s="1">
        <v>-7524</v>
      </c>
      <c r="F791" t="s">
        <v>655</v>
      </c>
      <c r="G791" t="s">
        <v>145</v>
      </c>
      <c r="H791" t="s">
        <v>7034</v>
      </c>
      <c r="I791">
        <v>4</v>
      </c>
      <c r="J791" t="s">
        <v>4712</v>
      </c>
      <c r="K791">
        <v>82</v>
      </c>
      <c r="L791" t="s">
        <v>7035</v>
      </c>
      <c r="M791" t="s">
        <v>7036</v>
      </c>
      <c r="N791" t="s">
        <v>2274</v>
      </c>
      <c r="O791" t="s">
        <v>6849</v>
      </c>
      <c r="P791" t="s">
        <v>7037</v>
      </c>
      <c r="Q791" t="s">
        <v>7038</v>
      </c>
      <c r="R791" t="s">
        <v>7039</v>
      </c>
      <c r="S791" s="2">
        <v>44897</v>
      </c>
      <c r="T791">
        <v>0</v>
      </c>
      <c r="U791" t="s">
        <v>2279</v>
      </c>
      <c r="V791">
        <v>0</v>
      </c>
      <c r="W791">
        <v>1</v>
      </c>
      <c r="X791">
        <v>194787</v>
      </c>
      <c r="Y791" t="s">
        <v>2457</v>
      </c>
      <c r="Z791" t="s">
        <v>7038</v>
      </c>
      <c r="AA791" t="s">
        <v>1853</v>
      </c>
      <c r="AB791" t="s">
        <v>45</v>
      </c>
      <c r="AC791" t="s">
        <v>6854</v>
      </c>
    </row>
    <row r="792" spans="1:29">
      <c r="A792" t="s">
        <v>2210</v>
      </c>
      <c r="B792" s="1">
        <v>140113</v>
      </c>
      <c r="C792" t="s">
        <v>630</v>
      </c>
      <c r="D792" t="s">
        <v>6845</v>
      </c>
      <c r="E792" s="1">
        <v>-5241</v>
      </c>
      <c r="F792" t="s">
        <v>1483</v>
      </c>
      <c r="G792" t="s">
        <v>2211</v>
      </c>
      <c r="H792" t="s">
        <v>2212</v>
      </c>
      <c r="I792">
        <v>4</v>
      </c>
      <c r="J792" t="s">
        <v>351</v>
      </c>
      <c r="K792">
        <v>81</v>
      </c>
      <c r="L792" t="s">
        <v>2213</v>
      </c>
      <c r="M792" t="s">
        <v>2214</v>
      </c>
      <c r="N792" t="s">
        <v>2215</v>
      </c>
      <c r="O792" t="s">
        <v>6849</v>
      </c>
      <c r="P792" t="s">
        <v>2216</v>
      </c>
      <c r="Q792" t="s">
        <v>2217</v>
      </c>
      <c r="R792" t="s">
        <v>2215</v>
      </c>
      <c r="S792" s="2">
        <v>45435</v>
      </c>
      <c r="T792">
        <v>0</v>
      </c>
      <c r="U792" t="s">
        <v>2218</v>
      </c>
      <c r="V792">
        <v>1</v>
      </c>
      <c r="W792">
        <v>11</v>
      </c>
      <c r="X792">
        <v>140733</v>
      </c>
      <c r="Y792" t="s">
        <v>1896</v>
      </c>
      <c r="Z792" t="s">
        <v>2217</v>
      </c>
      <c r="AA792" t="s">
        <v>1853</v>
      </c>
      <c r="AB792" t="s">
        <v>45</v>
      </c>
      <c r="AC792" t="s">
        <v>6854</v>
      </c>
    </row>
    <row r="793" spans="1:29">
      <c r="A793" t="s">
        <v>2814</v>
      </c>
      <c r="B793" s="1">
        <v>101837</v>
      </c>
      <c r="C793" t="s">
        <v>579</v>
      </c>
      <c r="D793" t="s">
        <v>6845</v>
      </c>
      <c r="E793" s="1">
        <v>-3367</v>
      </c>
      <c r="F793" t="s">
        <v>1142</v>
      </c>
      <c r="G793" t="s">
        <v>461</v>
      </c>
      <c r="H793" t="s">
        <v>3019</v>
      </c>
      <c r="I793">
        <v>3</v>
      </c>
      <c r="J793" t="s">
        <v>1347</v>
      </c>
      <c r="K793">
        <v>72</v>
      </c>
      <c r="L793" t="s">
        <v>3020</v>
      </c>
      <c r="M793" t="s">
        <v>3021</v>
      </c>
      <c r="N793" t="s">
        <v>3022</v>
      </c>
      <c r="O793" t="s">
        <v>6849</v>
      </c>
      <c r="P793" t="s">
        <v>3023</v>
      </c>
      <c r="Q793" t="s">
        <v>3024</v>
      </c>
      <c r="R793" t="s">
        <v>3025</v>
      </c>
      <c r="S793" s="2">
        <v>45512</v>
      </c>
      <c r="T793" t="s">
        <v>3026</v>
      </c>
      <c r="U793" t="s">
        <v>3027</v>
      </c>
      <c r="V793">
        <v>0</v>
      </c>
      <c r="W793">
        <v>8</v>
      </c>
      <c r="X793">
        <v>219628</v>
      </c>
      <c r="Y793" t="s">
        <v>3028</v>
      </c>
      <c r="Z793" t="s">
        <v>3024</v>
      </c>
      <c r="AA793" t="s">
        <v>1853</v>
      </c>
      <c r="AB793" t="s">
        <v>45</v>
      </c>
      <c r="AC793" t="s">
        <v>6854</v>
      </c>
    </row>
    <row r="794" spans="1:29">
      <c r="A794" t="s">
        <v>529</v>
      </c>
      <c r="B794" s="1">
        <v>112984</v>
      </c>
      <c r="C794" t="s">
        <v>1289</v>
      </c>
      <c r="D794" t="s">
        <v>6845</v>
      </c>
      <c r="E794" s="1">
        <v>-7677</v>
      </c>
      <c r="F794" t="s">
        <v>7040</v>
      </c>
      <c r="G794" t="s">
        <v>33</v>
      </c>
      <c r="H794" t="s">
        <v>7041</v>
      </c>
      <c r="I794">
        <v>4</v>
      </c>
      <c r="J794" t="s">
        <v>5257</v>
      </c>
      <c r="K794">
        <v>68</v>
      </c>
      <c r="L794" t="s">
        <v>7042</v>
      </c>
      <c r="M794" t="s">
        <v>7043</v>
      </c>
      <c r="N794" t="s">
        <v>3022</v>
      </c>
      <c r="O794" t="s">
        <v>6849</v>
      </c>
      <c r="P794" t="s">
        <v>7044</v>
      </c>
      <c r="Q794" t="s">
        <v>7045</v>
      </c>
      <c r="R794" t="s">
        <v>7046</v>
      </c>
      <c r="S794" s="2">
        <v>45512</v>
      </c>
      <c r="T794" t="s">
        <v>3754</v>
      </c>
      <c r="U794" t="s">
        <v>3027</v>
      </c>
      <c r="V794">
        <v>0</v>
      </c>
      <c r="W794">
        <v>5</v>
      </c>
      <c r="X794">
        <v>172598</v>
      </c>
      <c r="Y794" t="s">
        <v>1345</v>
      </c>
      <c r="Z794" t="s">
        <v>7045</v>
      </c>
      <c r="AA794" t="s">
        <v>1853</v>
      </c>
      <c r="AB794" t="s">
        <v>45</v>
      </c>
      <c r="AC794" t="s">
        <v>6854</v>
      </c>
    </row>
    <row r="795" spans="1:29">
      <c r="A795" t="s">
        <v>3142</v>
      </c>
      <c r="B795" s="1">
        <v>113012</v>
      </c>
      <c r="C795" t="s">
        <v>1513</v>
      </c>
      <c r="D795" t="s">
        <v>6845</v>
      </c>
      <c r="E795" s="1">
        <v>-7164</v>
      </c>
      <c r="F795" t="s">
        <v>5501</v>
      </c>
      <c r="G795" t="s">
        <v>4636</v>
      </c>
      <c r="H795" t="s">
        <v>5502</v>
      </c>
      <c r="I795">
        <v>4</v>
      </c>
      <c r="J795" t="s">
        <v>2436</v>
      </c>
      <c r="K795">
        <v>71</v>
      </c>
      <c r="L795" t="s">
        <v>5503</v>
      </c>
      <c r="M795" t="s">
        <v>5504</v>
      </c>
      <c r="N795" t="s">
        <v>5505</v>
      </c>
      <c r="O795" t="s">
        <v>6849</v>
      </c>
      <c r="P795" t="s">
        <v>5506</v>
      </c>
      <c r="Q795" t="s">
        <v>5507</v>
      </c>
      <c r="R795" t="s">
        <v>5505</v>
      </c>
      <c r="S795" s="2">
        <v>45526</v>
      </c>
      <c r="T795" t="s">
        <v>5508</v>
      </c>
      <c r="U795" t="s">
        <v>5509</v>
      </c>
      <c r="V795">
        <v>0</v>
      </c>
      <c r="W795">
        <v>6</v>
      </c>
      <c r="X795">
        <v>157756</v>
      </c>
      <c r="Y795" t="s">
        <v>255</v>
      </c>
      <c r="Z795" t="s">
        <v>5507</v>
      </c>
      <c r="AA795" t="s">
        <v>1853</v>
      </c>
      <c r="AB795" t="s">
        <v>45</v>
      </c>
      <c r="AC795" t="s">
        <v>6854</v>
      </c>
    </row>
    <row r="796" spans="1:29">
      <c r="A796" t="s">
        <v>527</v>
      </c>
      <c r="B796" s="1">
        <v>87973</v>
      </c>
      <c r="C796" t="s">
        <v>1737</v>
      </c>
      <c r="D796" t="s">
        <v>6845</v>
      </c>
      <c r="E796" s="1">
        <v>-4356</v>
      </c>
      <c r="F796" t="s">
        <v>1528</v>
      </c>
      <c r="G796" t="s">
        <v>2929</v>
      </c>
      <c r="H796" t="s">
        <v>2930</v>
      </c>
      <c r="I796">
        <v>4</v>
      </c>
      <c r="J796" t="s">
        <v>2931</v>
      </c>
      <c r="K796">
        <v>82</v>
      </c>
      <c r="L796" t="s">
        <v>2932</v>
      </c>
      <c r="M796" t="s">
        <v>2933</v>
      </c>
      <c r="N796" t="s">
        <v>2274</v>
      </c>
      <c r="O796" t="s">
        <v>6849</v>
      </c>
      <c r="P796" t="s">
        <v>2934</v>
      </c>
      <c r="Q796" t="s">
        <v>2935</v>
      </c>
      <c r="R796" t="s">
        <v>2936</v>
      </c>
      <c r="S796" s="2">
        <v>44897</v>
      </c>
      <c r="T796" t="s">
        <v>2937</v>
      </c>
      <c r="U796" t="s">
        <v>2279</v>
      </c>
      <c r="V796">
        <v>0</v>
      </c>
      <c r="W796">
        <v>7</v>
      </c>
      <c r="X796">
        <v>199920</v>
      </c>
      <c r="Y796" t="s">
        <v>375</v>
      </c>
      <c r="Z796" t="s">
        <v>2935</v>
      </c>
      <c r="AA796" t="s">
        <v>1853</v>
      </c>
      <c r="AB796" t="s">
        <v>45</v>
      </c>
      <c r="AC796" t="s">
        <v>6854</v>
      </c>
    </row>
    <row r="797" spans="1:29">
      <c r="A797" t="s">
        <v>4078</v>
      </c>
      <c r="B797" s="1">
        <v>95865</v>
      </c>
      <c r="C797" t="s">
        <v>2098</v>
      </c>
      <c r="D797" t="s">
        <v>6845</v>
      </c>
      <c r="E797" s="1">
        <v>-8399</v>
      </c>
      <c r="F797" t="s">
        <v>2101</v>
      </c>
      <c r="G797" t="s">
        <v>4367</v>
      </c>
      <c r="H797" t="s">
        <v>5510</v>
      </c>
      <c r="I797">
        <v>4</v>
      </c>
      <c r="J797" t="s">
        <v>486</v>
      </c>
      <c r="K797">
        <v>68</v>
      </c>
      <c r="L797" t="s">
        <v>5511</v>
      </c>
      <c r="M797" t="s">
        <v>5512</v>
      </c>
      <c r="N797" t="s">
        <v>5513</v>
      </c>
      <c r="O797" t="s">
        <v>6849</v>
      </c>
      <c r="P797" t="s">
        <v>5514</v>
      </c>
      <c r="Q797" t="s">
        <v>5515</v>
      </c>
      <c r="R797" t="s">
        <v>5516</v>
      </c>
      <c r="S797" s="2">
        <v>45569</v>
      </c>
      <c r="T797" t="s">
        <v>5517</v>
      </c>
      <c r="U797" t="s">
        <v>5518</v>
      </c>
      <c r="V797">
        <v>0</v>
      </c>
      <c r="W797">
        <v>11</v>
      </c>
      <c r="X797">
        <v>154579</v>
      </c>
      <c r="Y797" t="s">
        <v>63</v>
      </c>
      <c r="Z797" t="s">
        <v>5515</v>
      </c>
      <c r="AA797" t="s">
        <v>1853</v>
      </c>
      <c r="AB797" t="s">
        <v>45</v>
      </c>
      <c r="AC797" t="s">
        <v>6854</v>
      </c>
    </row>
    <row r="798" spans="1:29">
      <c r="A798" t="s">
        <v>121</v>
      </c>
      <c r="B798" s="1">
        <v>147989</v>
      </c>
      <c r="C798" t="s">
        <v>1949</v>
      </c>
      <c r="D798" t="s">
        <v>6845</v>
      </c>
      <c r="E798" s="1">
        <v>-4563</v>
      </c>
      <c r="F798" t="s">
        <v>3302</v>
      </c>
      <c r="G798" t="s">
        <v>335</v>
      </c>
      <c r="H798" t="s">
        <v>5483</v>
      </c>
      <c r="I798">
        <v>4</v>
      </c>
      <c r="J798" t="s">
        <v>5484</v>
      </c>
      <c r="K798">
        <v>68</v>
      </c>
      <c r="L798" t="s">
        <v>5485</v>
      </c>
      <c r="M798" t="s">
        <v>5486</v>
      </c>
      <c r="N798" t="s">
        <v>5487</v>
      </c>
      <c r="O798" t="s">
        <v>6849</v>
      </c>
      <c r="P798" t="s">
        <v>5488</v>
      </c>
      <c r="Q798" t="s">
        <v>5489</v>
      </c>
      <c r="R798" t="s">
        <v>5490</v>
      </c>
      <c r="S798" s="2">
        <v>45483</v>
      </c>
      <c r="T798">
        <v>0</v>
      </c>
      <c r="U798" t="s">
        <v>5491</v>
      </c>
      <c r="V798">
        <v>1</v>
      </c>
      <c r="W798">
        <v>2</v>
      </c>
      <c r="X798">
        <v>137684</v>
      </c>
      <c r="Y798" t="s">
        <v>1812</v>
      </c>
      <c r="Z798" t="s">
        <v>5489</v>
      </c>
      <c r="AA798" t="s">
        <v>1853</v>
      </c>
      <c r="AB798" t="s">
        <v>45</v>
      </c>
      <c r="AC798" t="s">
        <v>6854</v>
      </c>
    </row>
    <row r="799" spans="1:29">
      <c r="A799" t="s">
        <v>1536</v>
      </c>
      <c r="B799" s="1">
        <v>145379</v>
      </c>
      <c r="C799" t="s">
        <v>241</v>
      </c>
      <c r="D799" t="s">
        <v>6845</v>
      </c>
      <c r="E799" s="1">
        <v>-7881</v>
      </c>
      <c r="F799" t="s">
        <v>3010</v>
      </c>
      <c r="G799" t="s">
        <v>1736</v>
      </c>
      <c r="H799" t="s">
        <v>3011</v>
      </c>
      <c r="I799">
        <v>5</v>
      </c>
      <c r="J799" t="s">
        <v>2314</v>
      </c>
      <c r="K799">
        <v>71</v>
      </c>
      <c r="L799" t="s">
        <v>3012</v>
      </c>
      <c r="M799" t="s">
        <v>3013</v>
      </c>
      <c r="N799" t="s">
        <v>3014</v>
      </c>
      <c r="O799" t="s">
        <v>6849</v>
      </c>
      <c r="P799" t="s">
        <v>3015</v>
      </c>
      <c r="Q799" t="s">
        <v>3016</v>
      </c>
      <c r="R799" t="s">
        <v>3014</v>
      </c>
      <c r="S799" s="2">
        <v>45580</v>
      </c>
      <c r="T799" t="s">
        <v>3017</v>
      </c>
      <c r="U799" t="s">
        <v>3018</v>
      </c>
      <c r="V799">
        <v>0</v>
      </c>
      <c r="W799">
        <v>6</v>
      </c>
      <c r="X799">
        <v>161379</v>
      </c>
      <c r="Y799" t="s">
        <v>1528</v>
      </c>
      <c r="Z799" t="s">
        <v>3016</v>
      </c>
      <c r="AA799" t="s">
        <v>1853</v>
      </c>
      <c r="AB799" t="s">
        <v>45</v>
      </c>
      <c r="AC799" t="s">
        <v>6854</v>
      </c>
    </row>
    <row r="800" spans="1:29">
      <c r="A800" t="s">
        <v>1608</v>
      </c>
      <c r="B800" t="s">
        <v>2992</v>
      </c>
      <c r="C800" t="s">
        <v>1583</v>
      </c>
      <c r="D800" t="s">
        <v>6845</v>
      </c>
      <c r="E800" s="1">
        <v>-5493</v>
      </c>
      <c r="F800" t="s">
        <v>2580</v>
      </c>
      <c r="G800" t="s">
        <v>265</v>
      </c>
      <c r="H800" t="s">
        <v>2993</v>
      </c>
      <c r="I800">
        <v>4</v>
      </c>
      <c r="J800" t="s">
        <v>2280</v>
      </c>
      <c r="K800">
        <v>77</v>
      </c>
      <c r="L800" t="s">
        <v>2994</v>
      </c>
      <c r="M800" t="s">
        <v>2995</v>
      </c>
      <c r="N800" t="s">
        <v>2996</v>
      </c>
      <c r="O800" t="s">
        <v>6849</v>
      </c>
      <c r="P800" t="s">
        <v>2997</v>
      </c>
      <c r="Q800" t="s">
        <v>2998</v>
      </c>
      <c r="R800" t="s">
        <v>2996</v>
      </c>
      <c r="S800" s="2">
        <v>45583</v>
      </c>
      <c r="T800" t="s">
        <v>2999</v>
      </c>
      <c r="U800" t="s">
        <v>3000</v>
      </c>
      <c r="V800">
        <v>1</v>
      </c>
      <c r="W800">
        <v>1</v>
      </c>
      <c r="X800">
        <v>259354</v>
      </c>
      <c r="Y800" t="s">
        <v>2802</v>
      </c>
      <c r="Z800" t="s">
        <v>2998</v>
      </c>
      <c r="AA800" t="s">
        <v>1853</v>
      </c>
      <c r="AB800" t="s">
        <v>45</v>
      </c>
      <c r="AC800" t="s">
        <v>6854</v>
      </c>
    </row>
    <row r="801" spans="1:29">
      <c r="A801" t="s">
        <v>6019</v>
      </c>
      <c r="B801" s="1">
        <v>139978</v>
      </c>
      <c r="C801" t="s">
        <v>813</v>
      </c>
      <c r="D801" t="s">
        <v>6845</v>
      </c>
      <c r="E801" s="1">
        <v>-7909</v>
      </c>
      <c r="F801" t="s">
        <v>1211</v>
      </c>
      <c r="G801" t="s">
        <v>826</v>
      </c>
      <c r="H801" t="s">
        <v>7047</v>
      </c>
      <c r="I801">
        <v>4</v>
      </c>
      <c r="J801" t="s">
        <v>2013</v>
      </c>
      <c r="K801">
        <v>72</v>
      </c>
      <c r="L801" t="s">
        <v>7048</v>
      </c>
      <c r="M801" t="s">
        <v>7049</v>
      </c>
      <c r="N801" t="s">
        <v>2625</v>
      </c>
      <c r="O801" t="s">
        <v>6849</v>
      </c>
      <c r="P801" t="s">
        <v>7050</v>
      </c>
      <c r="Q801" t="s">
        <v>7051</v>
      </c>
      <c r="R801" t="s">
        <v>7052</v>
      </c>
      <c r="S801" s="2">
        <v>43238</v>
      </c>
      <c r="T801">
        <v>0</v>
      </c>
      <c r="U801" t="s">
        <v>2629</v>
      </c>
      <c r="V801">
        <v>1</v>
      </c>
      <c r="W801">
        <v>1</v>
      </c>
      <c r="X801">
        <v>247055</v>
      </c>
      <c r="Y801" t="s">
        <v>754</v>
      </c>
      <c r="Z801" t="s">
        <v>7051</v>
      </c>
      <c r="AA801" t="s">
        <v>1853</v>
      </c>
      <c r="AB801" t="s">
        <v>45</v>
      </c>
      <c r="AC801" t="s">
        <v>6854</v>
      </c>
    </row>
    <row r="802" spans="1:29">
      <c r="A802" t="s">
        <v>2963</v>
      </c>
      <c r="B802" s="1">
        <v>118079</v>
      </c>
      <c r="C802" t="s">
        <v>1098</v>
      </c>
      <c r="D802" t="s">
        <v>6845</v>
      </c>
      <c r="E802" s="1">
        <v>-5641</v>
      </c>
      <c r="F802" t="s">
        <v>799</v>
      </c>
      <c r="G802" t="s">
        <v>1407</v>
      </c>
      <c r="H802" t="s">
        <v>2964</v>
      </c>
      <c r="I802">
        <v>4</v>
      </c>
      <c r="J802" t="s">
        <v>1775</v>
      </c>
      <c r="K802">
        <v>75</v>
      </c>
      <c r="L802" t="s">
        <v>2965</v>
      </c>
      <c r="M802" t="s">
        <v>2966</v>
      </c>
      <c r="N802" t="s">
        <v>2967</v>
      </c>
      <c r="O802" t="s">
        <v>6849</v>
      </c>
      <c r="P802" t="s">
        <v>2968</v>
      </c>
      <c r="Q802" t="s">
        <v>2969</v>
      </c>
      <c r="R802" t="s">
        <v>2967</v>
      </c>
      <c r="S802" s="2">
        <v>45611</v>
      </c>
      <c r="T802" t="s">
        <v>2970</v>
      </c>
      <c r="U802" t="s">
        <v>2971</v>
      </c>
      <c r="V802">
        <v>0</v>
      </c>
      <c r="W802">
        <v>5</v>
      </c>
      <c r="X802">
        <v>174053</v>
      </c>
      <c r="Y802" t="s">
        <v>2117</v>
      </c>
      <c r="Z802" t="s">
        <v>2969</v>
      </c>
      <c r="AA802" t="s">
        <v>1853</v>
      </c>
      <c r="AB802" t="s">
        <v>45</v>
      </c>
      <c r="AC802" t="s">
        <v>6854</v>
      </c>
    </row>
    <row r="803" spans="1:29">
      <c r="A803" t="s">
        <v>4078</v>
      </c>
      <c r="B803" s="1">
        <v>120001</v>
      </c>
      <c r="C803" t="s">
        <v>253</v>
      </c>
      <c r="D803" t="s">
        <v>31</v>
      </c>
      <c r="E803" s="1">
        <v>-7747</v>
      </c>
      <c r="F803" t="s">
        <v>1211</v>
      </c>
      <c r="G803" t="s">
        <v>2908</v>
      </c>
      <c r="H803" t="s">
        <v>6505</v>
      </c>
      <c r="I803">
        <v>4</v>
      </c>
      <c r="J803" t="s">
        <v>1064</v>
      </c>
      <c r="K803">
        <v>89</v>
      </c>
      <c r="L803" t="s">
        <v>6506</v>
      </c>
      <c r="M803" t="s">
        <v>6507</v>
      </c>
      <c r="N803" t="s">
        <v>6508</v>
      </c>
      <c r="O803" t="s">
        <v>7053</v>
      </c>
      <c r="P803" t="s">
        <v>6509</v>
      </c>
      <c r="Q803" t="s">
        <v>6510</v>
      </c>
      <c r="R803" t="s">
        <v>6511</v>
      </c>
      <c r="S803" s="2">
        <v>41960</v>
      </c>
      <c r="T803">
        <v>0</v>
      </c>
      <c r="U803" t="s">
        <v>6512</v>
      </c>
      <c r="V803">
        <v>1</v>
      </c>
      <c r="W803">
        <v>8</v>
      </c>
      <c r="X803">
        <v>226600</v>
      </c>
      <c r="Y803" t="s">
        <v>2079</v>
      </c>
      <c r="Z803" t="s">
        <v>6510</v>
      </c>
      <c r="AA803" t="s">
        <v>7054</v>
      </c>
      <c r="AB803" t="s">
        <v>45</v>
      </c>
      <c r="AC803" t="s">
        <v>7055</v>
      </c>
    </row>
    <row r="804" spans="1:29">
      <c r="A804" t="s">
        <v>1434</v>
      </c>
      <c r="B804" s="1">
        <v>141981</v>
      </c>
      <c r="C804" t="s">
        <v>215</v>
      </c>
      <c r="D804" t="s">
        <v>31</v>
      </c>
      <c r="E804" s="1">
        <v>-7519</v>
      </c>
      <c r="F804" t="s">
        <v>279</v>
      </c>
      <c r="G804" t="s">
        <v>1241</v>
      </c>
      <c r="H804" t="s">
        <v>7056</v>
      </c>
      <c r="I804">
        <v>4</v>
      </c>
      <c r="J804" t="s">
        <v>531</v>
      </c>
      <c r="K804">
        <v>77</v>
      </c>
      <c r="L804" t="s">
        <v>7057</v>
      </c>
      <c r="M804" t="s">
        <v>7058</v>
      </c>
      <c r="N804" t="s">
        <v>7059</v>
      </c>
      <c r="O804" t="s">
        <v>7053</v>
      </c>
      <c r="P804" t="s">
        <v>7060</v>
      </c>
      <c r="Q804" t="s">
        <v>7061</v>
      </c>
      <c r="R804" t="s">
        <v>7059</v>
      </c>
      <c r="S804" s="2">
        <v>44483</v>
      </c>
      <c r="T804">
        <v>0</v>
      </c>
      <c r="U804" t="s">
        <v>7062</v>
      </c>
      <c r="V804">
        <v>1</v>
      </c>
      <c r="W804">
        <v>5</v>
      </c>
      <c r="X804">
        <v>224695</v>
      </c>
      <c r="Y804" t="s">
        <v>2098</v>
      </c>
      <c r="Z804" t="s">
        <v>7061</v>
      </c>
      <c r="AA804" t="s">
        <v>7054</v>
      </c>
      <c r="AB804" t="s">
        <v>45</v>
      </c>
      <c r="AC804" t="s">
        <v>7055</v>
      </c>
    </row>
    <row r="805" spans="1:29">
      <c r="A805" t="s">
        <v>948</v>
      </c>
      <c r="B805" s="1">
        <v>119964</v>
      </c>
      <c r="C805" t="s">
        <v>278</v>
      </c>
      <c r="D805" t="s">
        <v>31</v>
      </c>
      <c r="E805" s="1">
        <v>-6262</v>
      </c>
      <c r="F805" t="s">
        <v>331</v>
      </c>
      <c r="G805" t="s">
        <v>1264</v>
      </c>
      <c r="H805" t="s">
        <v>7063</v>
      </c>
      <c r="I805">
        <v>4</v>
      </c>
      <c r="J805" t="s">
        <v>7064</v>
      </c>
      <c r="K805">
        <v>78</v>
      </c>
      <c r="L805" t="s">
        <v>7065</v>
      </c>
      <c r="M805" t="s">
        <v>7066</v>
      </c>
      <c r="N805" t="s">
        <v>7067</v>
      </c>
      <c r="O805" t="s">
        <v>7053</v>
      </c>
      <c r="P805" t="s">
        <v>7068</v>
      </c>
      <c r="Q805" t="s">
        <v>7069</v>
      </c>
      <c r="R805" t="s">
        <v>7070</v>
      </c>
      <c r="S805" s="2">
        <v>41551</v>
      </c>
      <c r="T805">
        <v>0</v>
      </c>
      <c r="U805" t="s">
        <v>7071</v>
      </c>
      <c r="V805">
        <v>1</v>
      </c>
      <c r="W805">
        <v>5</v>
      </c>
      <c r="X805">
        <v>221360</v>
      </c>
      <c r="Y805" t="s">
        <v>2660</v>
      </c>
      <c r="Z805" t="s">
        <v>7069</v>
      </c>
      <c r="AA805" t="s">
        <v>7054</v>
      </c>
      <c r="AB805" t="s">
        <v>45</v>
      </c>
      <c r="AC805" t="s">
        <v>7055</v>
      </c>
    </row>
    <row r="806" spans="1:29">
      <c r="A806" t="s">
        <v>2033</v>
      </c>
      <c r="B806" t="s">
        <v>7072</v>
      </c>
      <c r="C806" t="s">
        <v>948</v>
      </c>
      <c r="D806" t="s">
        <v>31</v>
      </c>
      <c r="E806" s="1">
        <v>-7064</v>
      </c>
      <c r="F806" t="s">
        <v>3808</v>
      </c>
      <c r="G806" t="s">
        <v>1062</v>
      </c>
      <c r="H806" t="s">
        <v>7073</v>
      </c>
      <c r="I806">
        <v>4</v>
      </c>
      <c r="J806" t="s">
        <v>611</v>
      </c>
      <c r="K806">
        <v>83</v>
      </c>
      <c r="L806" t="s">
        <v>7074</v>
      </c>
      <c r="M806" t="s">
        <v>7075</v>
      </c>
      <c r="N806" t="s">
        <v>7076</v>
      </c>
      <c r="O806" t="s">
        <v>7053</v>
      </c>
      <c r="P806" t="s">
        <v>7077</v>
      </c>
      <c r="Q806" t="s">
        <v>7078</v>
      </c>
      <c r="R806" t="s">
        <v>7079</v>
      </c>
      <c r="S806" s="2">
        <v>41516</v>
      </c>
      <c r="T806">
        <v>0</v>
      </c>
      <c r="U806" t="s">
        <v>7080</v>
      </c>
      <c r="V806">
        <v>1</v>
      </c>
      <c r="W806">
        <v>8</v>
      </c>
      <c r="X806">
        <v>269560</v>
      </c>
      <c r="Y806" t="s">
        <v>7081</v>
      </c>
      <c r="Z806" t="s">
        <v>7078</v>
      </c>
      <c r="AA806" t="s">
        <v>7054</v>
      </c>
      <c r="AB806" t="s">
        <v>45</v>
      </c>
      <c r="AC806" t="s">
        <v>7055</v>
      </c>
    </row>
    <row r="807" spans="1:29">
      <c r="A807" t="s">
        <v>2411</v>
      </c>
      <c r="B807" t="s">
        <v>5862</v>
      </c>
      <c r="C807" t="s">
        <v>4626</v>
      </c>
      <c r="D807" t="s">
        <v>31</v>
      </c>
      <c r="E807" s="1">
        <v>-7273</v>
      </c>
      <c r="F807" t="s">
        <v>3808</v>
      </c>
      <c r="G807" t="s">
        <v>864</v>
      </c>
      <c r="H807" t="s">
        <v>7082</v>
      </c>
      <c r="I807">
        <v>4</v>
      </c>
      <c r="J807" t="s">
        <v>6607</v>
      </c>
      <c r="K807">
        <v>83</v>
      </c>
      <c r="L807" t="s">
        <v>7083</v>
      </c>
      <c r="M807" t="s">
        <v>7084</v>
      </c>
      <c r="N807" t="s">
        <v>7085</v>
      </c>
      <c r="O807" t="s">
        <v>7053</v>
      </c>
      <c r="P807" t="s">
        <v>7086</v>
      </c>
      <c r="Q807" t="s">
        <v>7087</v>
      </c>
      <c r="R807" t="s">
        <v>7088</v>
      </c>
      <c r="S807" s="2">
        <v>41170</v>
      </c>
      <c r="T807" t="s">
        <v>7089</v>
      </c>
      <c r="U807" t="s">
        <v>7090</v>
      </c>
      <c r="V807">
        <v>1</v>
      </c>
      <c r="W807">
        <v>2</v>
      </c>
      <c r="X807">
        <v>242733</v>
      </c>
      <c r="Y807" t="s">
        <v>2345</v>
      </c>
      <c r="Z807" t="s">
        <v>7087</v>
      </c>
      <c r="AA807" t="s">
        <v>7054</v>
      </c>
      <c r="AB807" t="s">
        <v>45</v>
      </c>
      <c r="AC807" t="s">
        <v>7055</v>
      </c>
    </row>
    <row r="808" spans="1:29">
      <c r="A808" t="s">
        <v>1537</v>
      </c>
      <c r="B808" s="1">
        <v>122013</v>
      </c>
      <c r="C808" t="s">
        <v>1502</v>
      </c>
      <c r="D808" t="s">
        <v>31</v>
      </c>
      <c r="E808" s="1">
        <v>-4972</v>
      </c>
      <c r="F808" t="s">
        <v>1211</v>
      </c>
      <c r="G808" t="s">
        <v>7091</v>
      </c>
      <c r="H808" t="s">
        <v>5592</v>
      </c>
      <c r="I808">
        <v>4</v>
      </c>
      <c r="J808" t="s">
        <v>928</v>
      </c>
      <c r="K808">
        <v>71</v>
      </c>
      <c r="L808" t="s">
        <v>7092</v>
      </c>
      <c r="M808" t="s">
        <v>7093</v>
      </c>
      <c r="N808" t="s">
        <v>7094</v>
      </c>
      <c r="O808" t="s">
        <v>7053</v>
      </c>
      <c r="P808" t="s">
        <v>7095</v>
      </c>
      <c r="Q808" t="s">
        <v>7096</v>
      </c>
      <c r="R808" t="s">
        <v>7097</v>
      </c>
      <c r="S808" s="2">
        <v>41640</v>
      </c>
      <c r="T808">
        <v>0</v>
      </c>
      <c r="U808" t="s">
        <v>7098</v>
      </c>
      <c r="V808">
        <v>0</v>
      </c>
      <c r="W808">
        <v>1</v>
      </c>
      <c r="X808">
        <v>257840</v>
      </c>
      <c r="Y808" t="s">
        <v>7099</v>
      </c>
      <c r="Z808" t="s">
        <v>7096</v>
      </c>
      <c r="AA808" t="s">
        <v>7054</v>
      </c>
      <c r="AB808" t="s">
        <v>45</v>
      </c>
      <c r="AC808" t="s">
        <v>7055</v>
      </c>
    </row>
    <row r="809" spans="1:29">
      <c r="A809" t="s">
        <v>3043</v>
      </c>
      <c r="B809" s="1">
        <v>173799</v>
      </c>
      <c r="C809" t="s">
        <v>3431</v>
      </c>
      <c r="D809" t="s">
        <v>31</v>
      </c>
      <c r="E809" s="1">
        <v>-4839</v>
      </c>
      <c r="F809" t="s">
        <v>366</v>
      </c>
      <c r="G809" t="s">
        <v>96</v>
      </c>
      <c r="H809" t="s">
        <v>7100</v>
      </c>
      <c r="I809">
        <v>4</v>
      </c>
      <c r="J809" t="s">
        <v>3868</v>
      </c>
      <c r="K809">
        <v>77</v>
      </c>
      <c r="L809" t="s">
        <v>7101</v>
      </c>
      <c r="M809" t="s">
        <v>7102</v>
      </c>
      <c r="N809" t="s">
        <v>7103</v>
      </c>
      <c r="O809" t="s">
        <v>7053</v>
      </c>
      <c r="P809" t="s">
        <v>7104</v>
      </c>
      <c r="Q809" t="s">
        <v>7105</v>
      </c>
      <c r="R809" t="s">
        <v>7106</v>
      </c>
      <c r="S809" s="2">
        <v>42664</v>
      </c>
      <c r="T809" t="s">
        <v>996</v>
      </c>
      <c r="U809" t="s">
        <v>7107</v>
      </c>
      <c r="V809">
        <v>1</v>
      </c>
      <c r="W809">
        <v>9</v>
      </c>
      <c r="X809">
        <v>217747</v>
      </c>
      <c r="Y809" t="s">
        <v>757</v>
      </c>
      <c r="Z809" t="s">
        <v>7105</v>
      </c>
      <c r="AA809" t="s">
        <v>7054</v>
      </c>
      <c r="AB809" t="s">
        <v>45</v>
      </c>
      <c r="AC809" t="s">
        <v>7055</v>
      </c>
    </row>
    <row r="810" spans="1:29">
      <c r="A810" t="s">
        <v>1131</v>
      </c>
      <c r="B810" s="1">
        <v>173372</v>
      </c>
      <c r="C810" t="s">
        <v>2938</v>
      </c>
      <c r="D810" t="s">
        <v>31</v>
      </c>
      <c r="E810" s="1">
        <v>-7227</v>
      </c>
      <c r="F810" t="s">
        <v>1550</v>
      </c>
      <c r="G810" t="s">
        <v>318</v>
      </c>
      <c r="H810" t="s">
        <v>6465</v>
      </c>
      <c r="I810">
        <v>4</v>
      </c>
      <c r="J810" t="s">
        <v>3606</v>
      </c>
      <c r="K810">
        <v>89</v>
      </c>
      <c r="L810" t="s">
        <v>6466</v>
      </c>
      <c r="M810" t="s">
        <v>6467</v>
      </c>
      <c r="N810" t="s">
        <v>6468</v>
      </c>
      <c r="O810" t="s">
        <v>7053</v>
      </c>
      <c r="P810" t="s">
        <v>6469</v>
      </c>
      <c r="Q810" t="s">
        <v>6470</v>
      </c>
      <c r="R810" t="s">
        <v>6471</v>
      </c>
      <c r="S810" s="2">
        <v>36717</v>
      </c>
      <c r="T810" t="s">
        <v>6472</v>
      </c>
      <c r="U810" t="s">
        <v>6473</v>
      </c>
      <c r="V810">
        <v>1</v>
      </c>
      <c r="W810">
        <v>11</v>
      </c>
      <c r="X810">
        <v>266773</v>
      </c>
      <c r="Y810" t="s">
        <v>6474</v>
      </c>
      <c r="Z810" t="s">
        <v>6470</v>
      </c>
      <c r="AA810" t="s">
        <v>7054</v>
      </c>
      <c r="AB810" t="s">
        <v>45</v>
      </c>
      <c r="AC810" t="s">
        <v>7055</v>
      </c>
    </row>
    <row r="811" spans="1:29">
      <c r="A811" t="s">
        <v>551</v>
      </c>
      <c r="B811" s="1">
        <v>159982</v>
      </c>
      <c r="C811" t="s">
        <v>552</v>
      </c>
      <c r="D811" t="s">
        <v>31</v>
      </c>
      <c r="E811" s="1">
        <v>-7643</v>
      </c>
      <c r="F811" t="s">
        <v>553</v>
      </c>
      <c r="G811" t="s">
        <v>554</v>
      </c>
      <c r="H811" t="s">
        <v>555</v>
      </c>
      <c r="I811">
        <v>4</v>
      </c>
      <c r="J811" t="s">
        <v>172</v>
      </c>
      <c r="K811">
        <v>89</v>
      </c>
      <c r="L811" t="s">
        <v>556</v>
      </c>
      <c r="M811" t="s">
        <v>557</v>
      </c>
      <c r="N811" t="s">
        <v>558</v>
      </c>
      <c r="O811" t="s">
        <v>7053</v>
      </c>
      <c r="P811" t="s">
        <v>559</v>
      </c>
      <c r="Q811" t="s">
        <v>560</v>
      </c>
      <c r="R811" t="s">
        <v>561</v>
      </c>
      <c r="S811" s="2">
        <v>44820</v>
      </c>
      <c r="T811" t="s">
        <v>562</v>
      </c>
      <c r="U811" t="s">
        <v>563</v>
      </c>
      <c r="V811">
        <v>1</v>
      </c>
      <c r="W811">
        <v>2</v>
      </c>
      <c r="X811">
        <v>159246</v>
      </c>
      <c r="Y811" t="s">
        <v>564</v>
      </c>
      <c r="Z811" t="s">
        <v>560</v>
      </c>
      <c r="AA811" t="s">
        <v>7054</v>
      </c>
      <c r="AB811" t="s">
        <v>45</v>
      </c>
      <c r="AC811" t="s">
        <v>7055</v>
      </c>
    </row>
    <row r="812" spans="1:29">
      <c r="A812" t="s">
        <v>4222</v>
      </c>
      <c r="B812" s="1">
        <v>155925</v>
      </c>
      <c r="C812" t="s">
        <v>2437</v>
      </c>
      <c r="D812" t="s">
        <v>31</v>
      </c>
      <c r="E812" s="1">
        <v>-8072</v>
      </c>
      <c r="F812" t="s">
        <v>6556</v>
      </c>
      <c r="G812" t="s">
        <v>2753</v>
      </c>
      <c r="H812" t="s">
        <v>6557</v>
      </c>
      <c r="I812">
        <v>3</v>
      </c>
      <c r="J812" t="s">
        <v>6558</v>
      </c>
      <c r="K812">
        <v>87</v>
      </c>
      <c r="L812" t="s">
        <v>6559</v>
      </c>
      <c r="M812" t="s">
        <v>6560</v>
      </c>
      <c r="N812" t="s">
        <v>6561</v>
      </c>
      <c r="O812" t="s">
        <v>7053</v>
      </c>
      <c r="P812" t="s">
        <v>6562</v>
      </c>
      <c r="Q812" t="s">
        <v>6563</v>
      </c>
      <c r="R812" t="s">
        <v>6564</v>
      </c>
      <c r="S812">
        <v>1998</v>
      </c>
      <c r="T812" t="s">
        <v>4289</v>
      </c>
      <c r="U812" t="s">
        <v>6565</v>
      </c>
      <c r="V812">
        <v>0</v>
      </c>
      <c r="W812">
        <v>11</v>
      </c>
      <c r="X812">
        <v>289533</v>
      </c>
      <c r="Y812" t="s">
        <v>1522</v>
      </c>
      <c r="Z812" t="s">
        <v>6563</v>
      </c>
      <c r="AA812" t="s">
        <v>7054</v>
      </c>
      <c r="AB812" t="s">
        <v>45</v>
      </c>
      <c r="AC812" t="s">
        <v>7055</v>
      </c>
    </row>
    <row r="813" spans="1:29">
      <c r="A813" t="s">
        <v>728</v>
      </c>
      <c r="B813" s="1">
        <v>117896</v>
      </c>
      <c r="C813" t="s">
        <v>308</v>
      </c>
      <c r="D813" t="s">
        <v>31</v>
      </c>
      <c r="E813" s="1">
        <v>-6935</v>
      </c>
      <c r="F813" t="s">
        <v>1392</v>
      </c>
      <c r="G813" t="s">
        <v>1712</v>
      </c>
      <c r="H813" t="s">
        <v>7108</v>
      </c>
      <c r="I813">
        <v>4</v>
      </c>
      <c r="J813" t="s">
        <v>7109</v>
      </c>
      <c r="K813">
        <v>87</v>
      </c>
      <c r="L813" t="s">
        <v>7110</v>
      </c>
      <c r="M813" t="s">
        <v>7111</v>
      </c>
      <c r="N813" t="s">
        <v>7112</v>
      </c>
      <c r="O813" t="s">
        <v>7053</v>
      </c>
      <c r="P813" t="s">
        <v>7113</v>
      </c>
      <c r="Q813" t="s">
        <v>7114</v>
      </c>
      <c r="R813" t="s">
        <v>7112</v>
      </c>
      <c r="S813" s="2">
        <v>44848</v>
      </c>
      <c r="T813">
        <v>0</v>
      </c>
      <c r="U813" t="s">
        <v>7115</v>
      </c>
      <c r="V813">
        <v>1</v>
      </c>
      <c r="W813">
        <v>9</v>
      </c>
      <c r="X813">
        <v>182347</v>
      </c>
      <c r="Y813" t="s">
        <v>2118</v>
      </c>
      <c r="Z813" t="s">
        <v>7114</v>
      </c>
      <c r="AA813" t="s">
        <v>7054</v>
      </c>
      <c r="AB813" t="s">
        <v>45</v>
      </c>
      <c r="AC813" t="s">
        <v>7055</v>
      </c>
    </row>
    <row r="814" spans="1:29">
      <c r="A814" t="s">
        <v>5846</v>
      </c>
      <c r="B814" s="1">
        <v>72795</v>
      </c>
      <c r="C814" t="s">
        <v>143</v>
      </c>
      <c r="D814" t="s">
        <v>31</v>
      </c>
      <c r="E814" s="1">
        <v>-8648</v>
      </c>
      <c r="F814" t="s">
        <v>7116</v>
      </c>
      <c r="G814" t="s">
        <v>826</v>
      </c>
      <c r="H814" t="s">
        <v>6476</v>
      </c>
      <c r="I814">
        <v>4</v>
      </c>
      <c r="J814" t="s">
        <v>4546</v>
      </c>
      <c r="K814">
        <v>87</v>
      </c>
      <c r="L814" t="s">
        <v>7117</v>
      </c>
      <c r="M814" t="s">
        <v>7118</v>
      </c>
      <c r="N814" t="s">
        <v>6487</v>
      </c>
      <c r="O814" t="s">
        <v>7053</v>
      </c>
      <c r="P814" t="s">
        <v>7119</v>
      </c>
      <c r="Q814" t="s">
        <v>7120</v>
      </c>
      <c r="R814" t="s">
        <v>7121</v>
      </c>
      <c r="S814" s="2">
        <v>41250</v>
      </c>
      <c r="T814">
        <v>0</v>
      </c>
      <c r="U814" t="s">
        <v>6491</v>
      </c>
      <c r="V814">
        <v>1</v>
      </c>
      <c r="W814">
        <v>0</v>
      </c>
      <c r="X814">
        <v>213827</v>
      </c>
      <c r="Y814" t="s">
        <v>1199</v>
      </c>
      <c r="Z814" t="s">
        <v>7120</v>
      </c>
      <c r="AA814" t="s">
        <v>7054</v>
      </c>
      <c r="AB814" t="s">
        <v>45</v>
      </c>
      <c r="AC814" t="s">
        <v>7055</v>
      </c>
    </row>
    <row r="815" spans="1:29">
      <c r="A815" t="s">
        <v>1502</v>
      </c>
      <c r="B815" t="s">
        <v>7122</v>
      </c>
      <c r="C815" t="s">
        <v>2905</v>
      </c>
      <c r="D815" t="s">
        <v>31</v>
      </c>
      <c r="E815" s="1">
        <v>-5802</v>
      </c>
      <c r="F815" t="s">
        <v>1483</v>
      </c>
      <c r="G815" t="s">
        <v>2060</v>
      </c>
      <c r="H815" t="s">
        <v>6505</v>
      </c>
      <c r="I815">
        <v>4</v>
      </c>
      <c r="J815" t="s">
        <v>7123</v>
      </c>
      <c r="K815">
        <v>86</v>
      </c>
      <c r="L815" t="s">
        <v>7124</v>
      </c>
      <c r="M815" t="s">
        <v>7125</v>
      </c>
      <c r="N815" t="s">
        <v>7126</v>
      </c>
      <c r="O815" t="s">
        <v>7053</v>
      </c>
      <c r="P815" t="s">
        <v>7127</v>
      </c>
      <c r="Q815" t="s">
        <v>7128</v>
      </c>
      <c r="R815" t="s">
        <v>7129</v>
      </c>
      <c r="S815" s="2">
        <v>41603</v>
      </c>
      <c r="T815">
        <v>0</v>
      </c>
      <c r="U815" t="s">
        <v>7130</v>
      </c>
      <c r="V815">
        <v>1</v>
      </c>
      <c r="W815">
        <v>3</v>
      </c>
      <c r="X815">
        <v>245493</v>
      </c>
      <c r="Y815" t="s">
        <v>292</v>
      </c>
      <c r="Z815" t="s">
        <v>7128</v>
      </c>
      <c r="AA815" t="s">
        <v>7054</v>
      </c>
      <c r="AB815" t="s">
        <v>45</v>
      </c>
      <c r="AC815" t="s">
        <v>7055</v>
      </c>
    </row>
    <row r="816" spans="1:29">
      <c r="A816" t="s">
        <v>1668</v>
      </c>
      <c r="B816" s="1">
        <v>122769</v>
      </c>
      <c r="C816" t="s">
        <v>756</v>
      </c>
      <c r="D816" t="s">
        <v>31</v>
      </c>
      <c r="E816" s="1">
        <v>-8532</v>
      </c>
      <c r="F816" t="s">
        <v>6475</v>
      </c>
      <c r="G816" t="s">
        <v>956</v>
      </c>
      <c r="H816" t="s">
        <v>7131</v>
      </c>
      <c r="I816">
        <v>4</v>
      </c>
      <c r="J816" t="s">
        <v>1144</v>
      </c>
      <c r="K816">
        <v>86</v>
      </c>
      <c r="L816" t="s">
        <v>7132</v>
      </c>
      <c r="M816" t="s">
        <v>7133</v>
      </c>
      <c r="N816" t="s">
        <v>7134</v>
      </c>
      <c r="O816" t="s">
        <v>7053</v>
      </c>
      <c r="P816" t="s">
        <v>7135</v>
      </c>
      <c r="Q816" t="s">
        <v>7136</v>
      </c>
      <c r="R816" t="s">
        <v>7137</v>
      </c>
      <c r="S816" s="2">
        <v>41449</v>
      </c>
      <c r="T816" t="s">
        <v>7138</v>
      </c>
      <c r="U816" t="s">
        <v>7139</v>
      </c>
      <c r="V816">
        <v>0</v>
      </c>
      <c r="W816">
        <v>4</v>
      </c>
      <c r="X816">
        <v>244360</v>
      </c>
      <c r="Y816" t="s">
        <v>3888</v>
      </c>
      <c r="Z816" t="s">
        <v>7136</v>
      </c>
      <c r="AA816" t="s">
        <v>7054</v>
      </c>
      <c r="AB816" t="s">
        <v>45</v>
      </c>
      <c r="AC816" t="s">
        <v>7055</v>
      </c>
    </row>
    <row r="817" spans="1:29">
      <c r="A817" t="s">
        <v>436</v>
      </c>
      <c r="B817" s="1">
        <v>103019</v>
      </c>
      <c r="C817" t="s">
        <v>4005</v>
      </c>
      <c r="D817" t="s">
        <v>31</v>
      </c>
      <c r="E817" s="1">
        <v>-6769</v>
      </c>
      <c r="F817" t="s">
        <v>264</v>
      </c>
      <c r="G817" t="s">
        <v>550</v>
      </c>
      <c r="H817" t="s">
        <v>4202</v>
      </c>
      <c r="I817">
        <v>4</v>
      </c>
      <c r="J817" t="s">
        <v>926</v>
      </c>
      <c r="K817">
        <v>86</v>
      </c>
      <c r="L817" t="s">
        <v>4203</v>
      </c>
      <c r="M817" t="s">
        <v>4204</v>
      </c>
      <c r="N817" t="s">
        <v>4205</v>
      </c>
      <c r="O817" t="s">
        <v>7053</v>
      </c>
      <c r="P817" t="s">
        <v>4207</v>
      </c>
      <c r="Q817" t="s">
        <v>4208</v>
      </c>
      <c r="R817" t="s">
        <v>4209</v>
      </c>
      <c r="S817" s="2">
        <v>42832</v>
      </c>
      <c r="T817" t="s">
        <v>4210</v>
      </c>
      <c r="U817" t="s">
        <v>4211</v>
      </c>
      <c r="V817">
        <v>0</v>
      </c>
      <c r="W817">
        <v>11</v>
      </c>
      <c r="X817">
        <v>247160</v>
      </c>
      <c r="Y817" t="s">
        <v>4212</v>
      </c>
      <c r="Z817" t="s">
        <v>4208</v>
      </c>
      <c r="AA817" t="s">
        <v>7054</v>
      </c>
      <c r="AB817" t="s">
        <v>45</v>
      </c>
      <c r="AC817" t="s">
        <v>7055</v>
      </c>
    </row>
    <row r="818" spans="1:29">
      <c r="A818" t="s">
        <v>2261</v>
      </c>
      <c r="B818" s="1">
        <v>115284</v>
      </c>
      <c r="C818" t="s">
        <v>2231</v>
      </c>
      <c r="D818" t="s">
        <v>31</v>
      </c>
      <c r="E818" s="1">
        <v>-10109</v>
      </c>
      <c r="F818" t="s">
        <v>7140</v>
      </c>
      <c r="G818" t="s">
        <v>408</v>
      </c>
      <c r="H818" t="s">
        <v>7141</v>
      </c>
      <c r="I818">
        <v>4</v>
      </c>
      <c r="J818" t="s">
        <v>3715</v>
      </c>
      <c r="K818">
        <v>86</v>
      </c>
      <c r="L818" t="s">
        <v>7142</v>
      </c>
      <c r="M818" t="s">
        <v>7143</v>
      </c>
      <c r="N818" t="s">
        <v>7144</v>
      </c>
      <c r="O818" t="s">
        <v>7053</v>
      </c>
      <c r="P818" t="s">
        <v>7145</v>
      </c>
      <c r="Q818" t="s">
        <v>7146</v>
      </c>
      <c r="R818" t="s">
        <v>7144</v>
      </c>
      <c r="S818" s="2">
        <v>43209</v>
      </c>
      <c r="T818">
        <v>0</v>
      </c>
      <c r="U818" t="s">
        <v>7147</v>
      </c>
      <c r="V818">
        <v>0</v>
      </c>
      <c r="W818">
        <v>4</v>
      </c>
      <c r="X818">
        <v>200186</v>
      </c>
      <c r="Y818" t="s">
        <v>394</v>
      </c>
      <c r="Z818" t="s">
        <v>7146</v>
      </c>
      <c r="AA818" t="s">
        <v>7054</v>
      </c>
      <c r="AB818" t="s">
        <v>45</v>
      </c>
      <c r="AC818" t="s">
        <v>7055</v>
      </c>
    </row>
    <row r="819" spans="1:29">
      <c r="A819" t="s">
        <v>1097</v>
      </c>
      <c r="B819" s="1">
        <v>138992</v>
      </c>
      <c r="C819" t="s">
        <v>3227</v>
      </c>
      <c r="D819" t="s">
        <v>31</v>
      </c>
      <c r="E819" s="1">
        <v>-4912</v>
      </c>
      <c r="F819" t="s">
        <v>4565</v>
      </c>
      <c r="G819" t="s">
        <v>1396</v>
      </c>
      <c r="H819" t="s">
        <v>81</v>
      </c>
      <c r="I819">
        <v>4</v>
      </c>
      <c r="J819" t="s">
        <v>4406</v>
      </c>
      <c r="K819">
        <v>86</v>
      </c>
      <c r="L819" t="s">
        <v>7148</v>
      </c>
      <c r="M819" t="s">
        <v>7149</v>
      </c>
      <c r="N819" t="s">
        <v>7150</v>
      </c>
      <c r="O819" t="s">
        <v>7053</v>
      </c>
      <c r="P819" t="s">
        <v>7151</v>
      </c>
      <c r="Q819" t="s">
        <v>7152</v>
      </c>
      <c r="R819" t="s">
        <v>7153</v>
      </c>
      <c r="S819" s="2">
        <v>44757</v>
      </c>
      <c r="T819">
        <v>0</v>
      </c>
      <c r="U819" t="s">
        <v>7154</v>
      </c>
      <c r="V819">
        <v>1</v>
      </c>
      <c r="W819">
        <v>8</v>
      </c>
      <c r="X819">
        <v>163648</v>
      </c>
      <c r="Y819" t="s">
        <v>7155</v>
      </c>
      <c r="Z819" t="s">
        <v>7152</v>
      </c>
      <c r="AA819" t="s">
        <v>7054</v>
      </c>
      <c r="AB819" t="s">
        <v>45</v>
      </c>
      <c r="AC819" t="s">
        <v>7055</v>
      </c>
    </row>
    <row r="820" spans="1:29">
      <c r="A820" t="s">
        <v>1335</v>
      </c>
      <c r="B820" s="1">
        <v>95977</v>
      </c>
      <c r="C820" t="s">
        <v>2590</v>
      </c>
      <c r="D820" t="s">
        <v>31</v>
      </c>
      <c r="E820" s="1">
        <v>-3183</v>
      </c>
      <c r="F820" t="s">
        <v>2906</v>
      </c>
      <c r="G820" t="s">
        <v>918</v>
      </c>
      <c r="H820" t="s">
        <v>7156</v>
      </c>
      <c r="I820">
        <v>4</v>
      </c>
      <c r="J820" t="s">
        <v>7017</v>
      </c>
      <c r="K820">
        <v>86</v>
      </c>
      <c r="L820" t="s">
        <v>7157</v>
      </c>
      <c r="M820" t="s">
        <v>7158</v>
      </c>
      <c r="N820" t="s">
        <v>7159</v>
      </c>
      <c r="O820" t="s">
        <v>7053</v>
      </c>
      <c r="P820" t="s">
        <v>7160</v>
      </c>
      <c r="Q820" t="s">
        <v>7161</v>
      </c>
      <c r="R820" t="s">
        <v>7162</v>
      </c>
      <c r="S820" s="2">
        <v>42797</v>
      </c>
      <c r="T820">
        <v>0</v>
      </c>
      <c r="U820" t="s">
        <v>7163</v>
      </c>
      <c r="V820">
        <v>0</v>
      </c>
      <c r="W820">
        <v>1</v>
      </c>
      <c r="X820">
        <v>233713</v>
      </c>
      <c r="Y820" t="s">
        <v>3032</v>
      </c>
      <c r="Z820" t="s">
        <v>7161</v>
      </c>
      <c r="AA820" t="s">
        <v>7054</v>
      </c>
      <c r="AB820" t="s">
        <v>45</v>
      </c>
      <c r="AC820" t="s">
        <v>7055</v>
      </c>
    </row>
    <row r="821" spans="1:29">
      <c r="A821" t="s">
        <v>2100</v>
      </c>
      <c r="B821" s="1">
        <v>175212</v>
      </c>
      <c r="C821" t="s">
        <v>6425</v>
      </c>
      <c r="D821" t="s">
        <v>31</v>
      </c>
      <c r="E821" s="1">
        <v>-12151</v>
      </c>
      <c r="F821" t="s">
        <v>120</v>
      </c>
      <c r="G821" t="s">
        <v>3965</v>
      </c>
      <c r="H821" t="s">
        <v>7164</v>
      </c>
      <c r="I821">
        <v>3</v>
      </c>
      <c r="J821" t="s">
        <v>1144</v>
      </c>
      <c r="K821">
        <v>85</v>
      </c>
      <c r="L821" t="s">
        <v>7165</v>
      </c>
      <c r="M821" t="s">
        <v>7166</v>
      </c>
      <c r="N821" t="s">
        <v>7167</v>
      </c>
      <c r="O821" t="s">
        <v>7053</v>
      </c>
      <c r="P821" t="s">
        <v>7168</v>
      </c>
      <c r="Q821" t="s">
        <v>7169</v>
      </c>
      <c r="R821" t="s">
        <v>7167</v>
      </c>
      <c r="S821" s="2">
        <v>44673</v>
      </c>
      <c r="T821" t="s">
        <v>7170</v>
      </c>
      <c r="U821" t="s">
        <v>7171</v>
      </c>
      <c r="V821">
        <v>0</v>
      </c>
      <c r="W821">
        <v>4</v>
      </c>
      <c r="X821">
        <v>228013</v>
      </c>
      <c r="Y821" t="s">
        <v>2304</v>
      </c>
      <c r="Z821" t="s">
        <v>7169</v>
      </c>
      <c r="AA821" t="s">
        <v>7054</v>
      </c>
      <c r="AB821" t="s">
        <v>45</v>
      </c>
      <c r="AC821" t="s">
        <v>7055</v>
      </c>
    </row>
    <row r="822" spans="1:29">
      <c r="A822" t="s">
        <v>121</v>
      </c>
      <c r="B822" s="1">
        <v>109021</v>
      </c>
      <c r="C822" t="s">
        <v>436</v>
      </c>
      <c r="D822" t="s">
        <v>31</v>
      </c>
      <c r="E822" s="1">
        <v>-5379</v>
      </c>
      <c r="F822" t="s">
        <v>4697</v>
      </c>
      <c r="G822" t="s">
        <v>6531</v>
      </c>
      <c r="H822" t="s">
        <v>6476</v>
      </c>
      <c r="I822">
        <v>4</v>
      </c>
      <c r="J822" t="s">
        <v>1575</v>
      </c>
      <c r="K822">
        <v>85</v>
      </c>
      <c r="L822" t="s">
        <v>6532</v>
      </c>
      <c r="M822" t="s">
        <v>6533</v>
      </c>
      <c r="N822" t="s">
        <v>6534</v>
      </c>
      <c r="O822" t="s">
        <v>7053</v>
      </c>
      <c r="P822" t="s">
        <v>6535</v>
      </c>
      <c r="Q822" t="s">
        <v>6536</v>
      </c>
      <c r="R822" t="s">
        <v>6537</v>
      </c>
      <c r="S822" s="2">
        <v>40309</v>
      </c>
      <c r="T822">
        <v>0</v>
      </c>
      <c r="U822" t="s">
        <v>6538</v>
      </c>
      <c r="V822">
        <v>1</v>
      </c>
      <c r="W822">
        <v>5</v>
      </c>
      <c r="X822">
        <v>220734</v>
      </c>
      <c r="Y822" t="s">
        <v>901</v>
      </c>
      <c r="Z822" t="s">
        <v>6536</v>
      </c>
      <c r="AA822" t="s">
        <v>7054</v>
      </c>
      <c r="AB822" t="s">
        <v>45</v>
      </c>
      <c r="AC822" t="s">
        <v>7055</v>
      </c>
    </row>
    <row r="823" spans="1:29">
      <c r="A823" t="s">
        <v>2743</v>
      </c>
      <c r="B823" s="1">
        <v>85043</v>
      </c>
      <c r="C823" t="s">
        <v>1503</v>
      </c>
      <c r="D823" t="s">
        <v>31</v>
      </c>
      <c r="E823" s="1">
        <v>-7398</v>
      </c>
      <c r="F823" t="s">
        <v>7172</v>
      </c>
      <c r="G823" t="s">
        <v>6377</v>
      </c>
      <c r="H823" t="s">
        <v>7173</v>
      </c>
      <c r="I823">
        <v>4</v>
      </c>
      <c r="J823" t="s">
        <v>7174</v>
      </c>
      <c r="K823">
        <v>85</v>
      </c>
      <c r="L823" t="s">
        <v>7175</v>
      </c>
      <c r="M823" t="s">
        <v>7176</v>
      </c>
      <c r="N823" t="s">
        <v>7177</v>
      </c>
      <c r="O823" t="s">
        <v>7053</v>
      </c>
      <c r="P823" t="s">
        <v>7178</v>
      </c>
      <c r="Q823" t="s">
        <v>7179</v>
      </c>
      <c r="R823" t="s">
        <v>7180</v>
      </c>
      <c r="S823" s="2">
        <v>42671</v>
      </c>
      <c r="T823">
        <v>0</v>
      </c>
      <c r="U823" t="s">
        <v>7181</v>
      </c>
      <c r="V823">
        <v>1</v>
      </c>
      <c r="W823">
        <v>10</v>
      </c>
      <c r="X823">
        <v>211467</v>
      </c>
      <c r="Y823" t="s">
        <v>3888</v>
      </c>
      <c r="Z823" t="s">
        <v>7179</v>
      </c>
      <c r="AA823" t="s">
        <v>7054</v>
      </c>
      <c r="AB823" t="s">
        <v>45</v>
      </c>
      <c r="AC823" t="s">
        <v>7055</v>
      </c>
    </row>
    <row r="824" spans="1:29">
      <c r="A824" t="s">
        <v>2853</v>
      </c>
      <c r="B824" s="1">
        <v>81001</v>
      </c>
      <c r="C824" t="s">
        <v>1893</v>
      </c>
      <c r="D824" t="s">
        <v>31</v>
      </c>
      <c r="E824" s="1">
        <v>-8127</v>
      </c>
      <c r="F824" t="s">
        <v>201</v>
      </c>
      <c r="G824" t="s">
        <v>3798</v>
      </c>
      <c r="H824" t="s">
        <v>3799</v>
      </c>
      <c r="I824">
        <v>4</v>
      </c>
      <c r="J824" t="s">
        <v>984</v>
      </c>
      <c r="K824">
        <v>85</v>
      </c>
      <c r="L824" t="s">
        <v>3800</v>
      </c>
      <c r="M824" t="s">
        <v>3801</v>
      </c>
      <c r="N824" t="s">
        <v>3802</v>
      </c>
      <c r="O824" t="s">
        <v>7053</v>
      </c>
      <c r="P824" t="s">
        <v>3803</v>
      </c>
      <c r="Q824" t="s">
        <v>3804</v>
      </c>
      <c r="R824" t="s">
        <v>3805</v>
      </c>
      <c r="S824" s="2">
        <v>40508</v>
      </c>
      <c r="T824" t="s">
        <v>2466</v>
      </c>
      <c r="U824" t="s">
        <v>3806</v>
      </c>
      <c r="V824">
        <v>0</v>
      </c>
      <c r="W824">
        <v>11</v>
      </c>
      <c r="X824">
        <v>195373</v>
      </c>
      <c r="Y824" t="s">
        <v>933</v>
      </c>
      <c r="Z824" t="s">
        <v>3804</v>
      </c>
      <c r="AA824" t="s">
        <v>7054</v>
      </c>
      <c r="AB824" t="s">
        <v>45</v>
      </c>
      <c r="AC824" t="s">
        <v>7055</v>
      </c>
    </row>
    <row r="825" spans="1:29">
      <c r="A825" t="s">
        <v>6426</v>
      </c>
      <c r="B825" t="s">
        <v>7182</v>
      </c>
      <c r="C825" t="s">
        <v>4781</v>
      </c>
      <c r="D825" t="s">
        <v>31</v>
      </c>
      <c r="E825" s="1">
        <v>-6312</v>
      </c>
      <c r="F825" t="s">
        <v>582</v>
      </c>
      <c r="G825" t="s">
        <v>2673</v>
      </c>
      <c r="H825" t="s">
        <v>7156</v>
      </c>
      <c r="I825">
        <v>3</v>
      </c>
      <c r="J825" t="s">
        <v>5424</v>
      </c>
      <c r="K825">
        <v>86</v>
      </c>
      <c r="L825" t="s">
        <v>7183</v>
      </c>
      <c r="M825" t="s">
        <v>7184</v>
      </c>
      <c r="N825" t="s">
        <v>7159</v>
      </c>
      <c r="O825" t="s">
        <v>7053</v>
      </c>
      <c r="P825" t="s">
        <v>7185</v>
      </c>
      <c r="Q825" t="s">
        <v>7186</v>
      </c>
      <c r="R825" t="s">
        <v>7187</v>
      </c>
      <c r="S825" s="2">
        <v>42797</v>
      </c>
      <c r="T825">
        <v>0</v>
      </c>
      <c r="U825" t="s">
        <v>7163</v>
      </c>
      <c r="V825">
        <v>1</v>
      </c>
      <c r="W825">
        <v>8</v>
      </c>
      <c r="X825">
        <v>263400</v>
      </c>
      <c r="Y825" t="s">
        <v>1200</v>
      </c>
      <c r="Z825" t="s">
        <v>7186</v>
      </c>
      <c r="AA825" t="s">
        <v>7054</v>
      </c>
      <c r="AB825" t="s">
        <v>45</v>
      </c>
      <c r="AC825" t="s">
        <v>7055</v>
      </c>
    </row>
    <row r="826" spans="1:29">
      <c r="A826" t="s">
        <v>864</v>
      </c>
      <c r="B826" s="1">
        <v>146277</v>
      </c>
      <c r="C826" t="s">
        <v>2743</v>
      </c>
      <c r="D826" t="s">
        <v>31</v>
      </c>
      <c r="E826" s="1">
        <v>-7224</v>
      </c>
      <c r="F826" t="s">
        <v>437</v>
      </c>
      <c r="G826" t="s">
        <v>4241</v>
      </c>
      <c r="H826" t="s">
        <v>6465</v>
      </c>
      <c r="I826">
        <v>4</v>
      </c>
      <c r="J826" t="s">
        <v>7188</v>
      </c>
      <c r="K826">
        <v>84</v>
      </c>
      <c r="L826" t="s">
        <v>7189</v>
      </c>
      <c r="M826" t="s">
        <v>7190</v>
      </c>
      <c r="N826" t="s">
        <v>7191</v>
      </c>
      <c r="O826" t="s">
        <v>7053</v>
      </c>
      <c r="P826" t="s">
        <v>7192</v>
      </c>
      <c r="Q826" t="s">
        <v>7193</v>
      </c>
      <c r="R826" t="s">
        <v>7194</v>
      </c>
      <c r="S826" s="2">
        <v>37495</v>
      </c>
      <c r="T826" t="s">
        <v>7195</v>
      </c>
      <c r="U826" t="s">
        <v>7196</v>
      </c>
      <c r="V826">
        <v>1</v>
      </c>
      <c r="W826">
        <v>5</v>
      </c>
      <c r="X826">
        <v>309600</v>
      </c>
      <c r="Y826" t="s">
        <v>380</v>
      </c>
      <c r="Z826" t="s">
        <v>7193</v>
      </c>
      <c r="AA826" t="s">
        <v>7054</v>
      </c>
      <c r="AB826" t="s">
        <v>45</v>
      </c>
      <c r="AC826" t="s">
        <v>7055</v>
      </c>
    </row>
    <row r="827" spans="1:29">
      <c r="A827" t="s">
        <v>420</v>
      </c>
      <c r="B827" s="1">
        <v>75881</v>
      </c>
      <c r="C827" t="s">
        <v>2365</v>
      </c>
      <c r="D827" t="s">
        <v>31</v>
      </c>
      <c r="E827" s="1">
        <v>-6864</v>
      </c>
      <c r="F827" t="s">
        <v>2917</v>
      </c>
      <c r="G827" t="s">
        <v>1276</v>
      </c>
      <c r="H827" t="s">
        <v>7056</v>
      </c>
      <c r="I827">
        <v>4</v>
      </c>
      <c r="J827" t="s">
        <v>531</v>
      </c>
      <c r="K827">
        <v>84</v>
      </c>
      <c r="L827" t="s">
        <v>7197</v>
      </c>
      <c r="M827" t="s">
        <v>7198</v>
      </c>
      <c r="N827" t="s">
        <v>7199</v>
      </c>
      <c r="O827" t="s">
        <v>7053</v>
      </c>
      <c r="P827" t="s">
        <v>7200</v>
      </c>
      <c r="Q827" t="s">
        <v>7201</v>
      </c>
      <c r="R827" t="s">
        <v>7199</v>
      </c>
      <c r="S827" s="2">
        <v>41186</v>
      </c>
      <c r="T827">
        <v>0</v>
      </c>
      <c r="U827" t="s">
        <v>7202</v>
      </c>
      <c r="V827">
        <v>0</v>
      </c>
      <c r="W827">
        <v>0</v>
      </c>
      <c r="X827">
        <v>286480</v>
      </c>
      <c r="Y827" t="s">
        <v>2196</v>
      </c>
      <c r="Z827" t="s">
        <v>7201</v>
      </c>
      <c r="AA827" t="s">
        <v>7054</v>
      </c>
      <c r="AB827" t="s">
        <v>45</v>
      </c>
      <c r="AC827" t="s">
        <v>7055</v>
      </c>
    </row>
    <row r="828" spans="1:29">
      <c r="A828" t="s">
        <v>1227</v>
      </c>
      <c r="B828" s="1">
        <v>167997</v>
      </c>
      <c r="C828" t="s">
        <v>215</v>
      </c>
      <c r="D828" t="s">
        <v>31</v>
      </c>
      <c r="E828" s="1">
        <v>-4833</v>
      </c>
      <c r="F828" t="s">
        <v>1252</v>
      </c>
      <c r="G828" t="s">
        <v>5248</v>
      </c>
      <c r="H828" t="s">
        <v>5380</v>
      </c>
      <c r="I828">
        <v>4</v>
      </c>
      <c r="J828" t="s">
        <v>7203</v>
      </c>
      <c r="K828">
        <v>84</v>
      </c>
      <c r="L828" t="s">
        <v>7204</v>
      </c>
      <c r="M828" t="s">
        <v>7205</v>
      </c>
      <c r="N828" t="s">
        <v>7206</v>
      </c>
      <c r="O828" t="s">
        <v>7053</v>
      </c>
      <c r="P828" t="s">
        <v>7207</v>
      </c>
      <c r="Q828" t="s">
        <v>7208</v>
      </c>
      <c r="R828" t="s">
        <v>7209</v>
      </c>
      <c r="S828" s="2">
        <v>42909</v>
      </c>
      <c r="T828" t="s">
        <v>2001</v>
      </c>
      <c r="U828" t="s">
        <v>7210</v>
      </c>
      <c r="V828">
        <v>1</v>
      </c>
      <c r="W828">
        <v>0</v>
      </c>
      <c r="X828">
        <v>187147</v>
      </c>
      <c r="Y828" t="s">
        <v>7211</v>
      </c>
      <c r="Z828" t="s">
        <v>7208</v>
      </c>
      <c r="AA828" t="s">
        <v>7054</v>
      </c>
      <c r="AB828" t="s">
        <v>45</v>
      </c>
      <c r="AC828" t="s">
        <v>7055</v>
      </c>
    </row>
    <row r="829" spans="1:29">
      <c r="A829" t="s">
        <v>1641</v>
      </c>
      <c r="B829" s="1">
        <v>68534</v>
      </c>
      <c r="C829" t="s">
        <v>1896</v>
      </c>
      <c r="D829" t="s">
        <v>31</v>
      </c>
      <c r="E829" s="1">
        <v>-7582</v>
      </c>
      <c r="F829" t="s">
        <v>710</v>
      </c>
      <c r="G829" t="s">
        <v>4858</v>
      </c>
      <c r="H829" t="s">
        <v>4924</v>
      </c>
      <c r="I829">
        <v>4</v>
      </c>
      <c r="J829" t="s">
        <v>7212</v>
      </c>
      <c r="K829">
        <v>84</v>
      </c>
      <c r="L829" t="s">
        <v>7213</v>
      </c>
      <c r="M829" t="s">
        <v>7214</v>
      </c>
      <c r="N829" t="s">
        <v>7215</v>
      </c>
      <c r="O829" t="s">
        <v>7053</v>
      </c>
      <c r="P829" t="s">
        <v>7216</v>
      </c>
      <c r="Q829" t="s">
        <v>7217</v>
      </c>
      <c r="R829" t="s">
        <v>7215</v>
      </c>
      <c r="S829" s="2">
        <v>43700</v>
      </c>
      <c r="T829" t="s">
        <v>7218</v>
      </c>
      <c r="U829" t="s">
        <v>7219</v>
      </c>
      <c r="V829">
        <v>1</v>
      </c>
      <c r="W829">
        <v>7</v>
      </c>
      <c r="X829">
        <v>221307</v>
      </c>
      <c r="Y829" t="s">
        <v>145</v>
      </c>
      <c r="Z829" t="s">
        <v>7217</v>
      </c>
      <c r="AA829" t="s">
        <v>7054</v>
      </c>
      <c r="AB829" t="s">
        <v>45</v>
      </c>
      <c r="AC829" t="s">
        <v>7055</v>
      </c>
    </row>
    <row r="830" spans="1:29">
      <c r="A830" t="s">
        <v>1338</v>
      </c>
      <c r="B830" s="1">
        <v>120042</v>
      </c>
      <c r="C830" t="s">
        <v>3888</v>
      </c>
      <c r="D830" t="s">
        <v>31</v>
      </c>
      <c r="E830" s="1">
        <v>-3497</v>
      </c>
      <c r="F830" t="s">
        <v>2856</v>
      </c>
      <c r="G830" t="s">
        <v>1049</v>
      </c>
      <c r="H830" t="s">
        <v>7220</v>
      </c>
      <c r="I830">
        <v>4</v>
      </c>
      <c r="J830" t="s">
        <v>7221</v>
      </c>
      <c r="K830">
        <v>83</v>
      </c>
      <c r="L830" t="s">
        <v>7222</v>
      </c>
      <c r="M830" t="s">
        <v>7223</v>
      </c>
      <c r="N830" t="s">
        <v>4962</v>
      </c>
      <c r="O830" t="s">
        <v>7053</v>
      </c>
      <c r="P830" t="s">
        <v>7224</v>
      </c>
      <c r="Q830" t="s">
        <v>7225</v>
      </c>
      <c r="R830" t="s">
        <v>7226</v>
      </c>
      <c r="S830" s="2">
        <v>43714</v>
      </c>
      <c r="T830" t="s">
        <v>7227</v>
      </c>
      <c r="U830" t="s">
        <v>4966</v>
      </c>
      <c r="V830">
        <v>1</v>
      </c>
      <c r="W830">
        <v>0</v>
      </c>
      <c r="X830">
        <v>215280</v>
      </c>
      <c r="Y830" t="s">
        <v>375</v>
      </c>
      <c r="Z830" t="s">
        <v>7225</v>
      </c>
      <c r="AA830" t="s">
        <v>7054</v>
      </c>
      <c r="AB830" t="s">
        <v>45</v>
      </c>
      <c r="AC830" t="s">
        <v>7055</v>
      </c>
    </row>
    <row r="831" spans="1:29">
      <c r="A831" t="s">
        <v>4367</v>
      </c>
      <c r="B831" s="1">
        <v>102078</v>
      </c>
      <c r="C831" t="s">
        <v>4503</v>
      </c>
      <c r="D831" t="s">
        <v>31</v>
      </c>
      <c r="E831" s="1">
        <v>-7301</v>
      </c>
      <c r="F831" t="s">
        <v>825</v>
      </c>
      <c r="G831" t="s">
        <v>1785</v>
      </c>
      <c r="H831" t="s">
        <v>7228</v>
      </c>
      <c r="I831">
        <v>3</v>
      </c>
      <c r="J831" t="s">
        <v>3715</v>
      </c>
      <c r="K831">
        <v>83</v>
      </c>
      <c r="L831" t="s">
        <v>7229</v>
      </c>
      <c r="M831" t="s">
        <v>7230</v>
      </c>
      <c r="N831" t="s">
        <v>7231</v>
      </c>
      <c r="O831" t="s">
        <v>7053</v>
      </c>
      <c r="P831" t="s">
        <v>7232</v>
      </c>
      <c r="Q831" t="s">
        <v>7233</v>
      </c>
      <c r="R831" t="s">
        <v>7234</v>
      </c>
      <c r="S831" s="2">
        <v>43910</v>
      </c>
      <c r="T831">
        <v>0</v>
      </c>
      <c r="U831" t="s">
        <v>7235</v>
      </c>
      <c r="V831">
        <v>1</v>
      </c>
      <c r="W831">
        <v>5</v>
      </c>
      <c r="X831">
        <v>198040</v>
      </c>
      <c r="Y831" t="s">
        <v>985</v>
      </c>
      <c r="Z831" t="s">
        <v>7233</v>
      </c>
      <c r="AA831" t="s">
        <v>7054</v>
      </c>
      <c r="AB831" t="s">
        <v>45</v>
      </c>
      <c r="AC831" t="s">
        <v>7055</v>
      </c>
    </row>
    <row r="832" spans="1:29">
      <c r="A832" t="s">
        <v>392</v>
      </c>
      <c r="B832" t="s">
        <v>7236</v>
      </c>
      <c r="C832" t="s">
        <v>435</v>
      </c>
      <c r="D832" t="s">
        <v>31</v>
      </c>
      <c r="E832" s="1">
        <v>-5569</v>
      </c>
      <c r="F832" t="s">
        <v>2390</v>
      </c>
      <c r="G832" t="s">
        <v>1176</v>
      </c>
      <c r="H832" t="s">
        <v>7237</v>
      </c>
      <c r="I832">
        <v>4</v>
      </c>
      <c r="J832" t="s">
        <v>6735</v>
      </c>
      <c r="K832">
        <v>83</v>
      </c>
      <c r="L832" t="s">
        <v>7238</v>
      </c>
      <c r="M832" t="s">
        <v>7239</v>
      </c>
      <c r="N832" t="s">
        <v>7240</v>
      </c>
      <c r="O832" t="s">
        <v>7053</v>
      </c>
      <c r="P832" t="s">
        <v>7241</v>
      </c>
      <c r="Q832" t="s">
        <v>7242</v>
      </c>
      <c r="R832" t="s">
        <v>7243</v>
      </c>
      <c r="S832" s="2">
        <v>44274</v>
      </c>
      <c r="T832" t="s">
        <v>7244</v>
      </c>
      <c r="U832" t="s">
        <v>7245</v>
      </c>
      <c r="V832">
        <v>1</v>
      </c>
      <c r="W832">
        <v>2</v>
      </c>
      <c r="X832">
        <v>153190</v>
      </c>
      <c r="Y832" t="s">
        <v>321</v>
      </c>
      <c r="Z832" t="s">
        <v>7242</v>
      </c>
      <c r="AA832" t="s">
        <v>7054</v>
      </c>
      <c r="AB832" t="s">
        <v>45</v>
      </c>
      <c r="AC832" t="s">
        <v>7055</v>
      </c>
    </row>
    <row r="833" spans="1:29">
      <c r="A833" t="s">
        <v>2683</v>
      </c>
      <c r="B833" s="1">
        <v>120032</v>
      </c>
      <c r="C833" t="s">
        <v>226</v>
      </c>
      <c r="D833" t="s">
        <v>31</v>
      </c>
      <c r="E833" s="1">
        <v>-5522</v>
      </c>
      <c r="F833" t="s">
        <v>7174</v>
      </c>
      <c r="G833" t="s">
        <v>6513</v>
      </c>
      <c r="H833" t="s">
        <v>7246</v>
      </c>
      <c r="I833">
        <v>4</v>
      </c>
      <c r="J833" t="s">
        <v>1087</v>
      </c>
      <c r="K833">
        <v>83</v>
      </c>
      <c r="L833" t="s">
        <v>7247</v>
      </c>
      <c r="M833" t="s">
        <v>7248</v>
      </c>
      <c r="N833" t="s">
        <v>7249</v>
      </c>
      <c r="O833" t="s">
        <v>7053</v>
      </c>
      <c r="P833" t="s">
        <v>7250</v>
      </c>
      <c r="Q833" t="s">
        <v>7251</v>
      </c>
      <c r="R833" t="s">
        <v>7252</v>
      </c>
      <c r="S833" s="2">
        <v>41884</v>
      </c>
      <c r="T833">
        <v>0</v>
      </c>
      <c r="U833" t="s">
        <v>7253</v>
      </c>
      <c r="V833">
        <v>0</v>
      </c>
      <c r="W833">
        <v>1</v>
      </c>
      <c r="X833">
        <v>189960</v>
      </c>
      <c r="Y833" t="s">
        <v>3605</v>
      </c>
      <c r="Z833" t="s">
        <v>7251</v>
      </c>
      <c r="AA833" t="s">
        <v>7054</v>
      </c>
      <c r="AB833" t="s">
        <v>45</v>
      </c>
      <c r="AC833" t="s">
        <v>7055</v>
      </c>
    </row>
    <row r="834" spans="1:29">
      <c r="A834" t="s">
        <v>7254</v>
      </c>
      <c r="B834" s="1">
        <v>107989</v>
      </c>
      <c r="C834" t="s">
        <v>3132</v>
      </c>
      <c r="D834" t="s">
        <v>31</v>
      </c>
      <c r="E834" t="s">
        <v>7255</v>
      </c>
      <c r="F834" t="s">
        <v>7256</v>
      </c>
      <c r="G834" t="s">
        <v>4814</v>
      </c>
      <c r="H834" t="s">
        <v>7156</v>
      </c>
      <c r="I834">
        <v>4</v>
      </c>
      <c r="J834" t="s">
        <v>1600</v>
      </c>
      <c r="K834">
        <v>84</v>
      </c>
      <c r="L834" t="s">
        <v>7257</v>
      </c>
      <c r="M834" t="s">
        <v>7258</v>
      </c>
      <c r="N834" t="s">
        <v>7259</v>
      </c>
      <c r="O834" t="s">
        <v>7053</v>
      </c>
      <c r="P834" t="s">
        <v>7260</v>
      </c>
      <c r="Q834" t="s">
        <v>7261</v>
      </c>
      <c r="R834" t="s">
        <v>7262</v>
      </c>
      <c r="S834" s="2">
        <v>41811</v>
      </c>
      <c r="T834" t="s">
        <v>7263</v>
      </c>
      <c r="U834" t="s">
        <v>7264</v>
      </c>
      <c r="V834">
        <v>1</v>
      </c>
      <c r="W834">
        <v>4</v>
      </c>
      <c r="X834">
        <v>258987</v>
      </c>
      <c r="Y834" t="s">
        <v>2853</v>
      </c>
      <c r="Z834" t="s">
        <v>7261</v>
      </c>
      <c r="AA834" t="s">
        <v>7054</v>
      </c>
      <c r="AB834" t="s">
        <v>45</v>
      </c>
      <c r="AC834" t="s">
        <v>7055</v>
      </c>
    </row>
    <row r="835" spans="1:29">
      <c r="A835" t="s">
        <v>1949</v>
      </c>
      <c r="B835" s="1">
        <v>149789</v>
      </c>
      <c r="C835" t="s">
        <v>2182</v>
      </c>
      <c r="D835" t="s">
        <v>31</v>
      </c>
      <c r="E835" s="1">
        <v>-6684</v>
      </c>
      <c r="F835" t="s">
        <v>204</v>
      </c>
      <c r="G835" t="s">
        <v>904</v>
      </c>
      <c r="H835" t="s">
        <v>7265</v>
      </c>
      <c r="I835">
        <v>4</v>
      </c>
      <c r="J835" t="s">
        <v>474</v>
      </c>
      <c r="K835">
        <v>82</v>
      </c>
      <c r="L835" t="s">
        <v>7266</v>
      </c>
      <c r="M835" t="s">
        <v>7267</v>
      </c>
      <c r="N835" t="s">
        <v>7268</v>
      </c>
      <c r="O835" t="s">
        <v>7053</v>
      </c>
      <c r="P835" t="s">
        <v>7269</v>
      </c>
      <c r="Q835" t="s">
        <v>7270</v>
      </c>
      <c r="R835" t="s">
        <v>7271</v>
      </c>
      <c r="S835" s="2">
        <v>42108</v>
      </c>
      <c r="T835">
        <v>0</v>
      </c>
      <c r="U835" t="s">
        <v>7272</v>
      </c>
      <c r="V835">
        <v>1</v>
      </c>
      <c r="W835">
        <v>1</v>
      </c>
      <c r="X835">
        <v>206880</v>
      </c>
      <c r="Y835" t="s">
        <v>7273</v>
      </c>
      <c r="Z835" t="s">
        <v>7270</v>
      </c>
      <c r="AA835" t="s">
        <v>7054</v>
      </c>
      <c r="AB835" t="s">
        <v>45</v>
      </c>
      <c r="AC835" t="s">
        <v>7055</v>
      </c>
    </row>
    <row r="836" spans="1:29">
      <c r="A836" t="s">
        <v>2196</v>
      </c>
      <c r="B836" s="1">
        <v>138178</v>
      </c>
      <c r="C836" t="s">
        <v>1980</v>
      </c>
      <c r="D836" t="s">
        <v>31</v>
      </c>
      <c r="E836" t="s">
        <v>7274</v>
      </c>
      <c r="F836" t="s">
        <v>2099</v>
      </c>
      <c r="G836" t="s">
        <v>2101</v>
      </c>
      <c r="H836" t="s">
        <v>6465</v>
      </c>
      <c r="I836">
        <v>4</v>
      </c>
      <c r="J836" t="s">
        <v>919</v>
      </c>
      <c r="K836">
        <v>82</v>
      </c>
      <c r="L836" t="s">
        <v>7275</v>
      </c>
      <c r="M836" t="s">
        <v>7276</v>
      </c>
      <c r="N836" t="s">
        <v>7277</v>
      </c>
      <c r="O836" t="s">
        <v>7053</v>
      </c>
      <c r="P836" t="s">
        <v>7278</v>
      </c>
      <c r="Q836" t="s">
        <v>7279</v>
      </c>
      <c r="R836" t="s">
        <v>7280</v>
      </c>
      <c r="S836" s="2">
        <v>38510</v>
      </c>
      <c r="T836" t="s">
        <v>7281</v>
      </c>
      <c r="U836" t="s">
        <v>7282</v>
      </c>
      <c r="V836">
        <v>1</v>
      </c>
      <c r="W836">
        <v>3</v>
      </c>
      <c r="X836">
        <v>295533</v>
      </c>
      <c r="Y836" t="s">
        <v>264</v>
      </c>
      <c r="Z836" t="s">
        <v>7279</v>
      </c>
      <c r="AA836" t="s">
        <v>7054</v>
      </c>
      <c r="AB836" t="s">
        <v>45</v>
      </c>
      <c r="AC836" t="s">
        <v>7055</v>
      </c>
    </row>
    <row r="837" spans="1:29">
      <c r="A837" t="s">
        <v>852</v>
      </c>
      <c r="B837" s="1">
        <v>97994</v>
      </c>
      <c r="C837" t="s">
        <v>489</v>
      </c>
      <c r="D837" t="s">
        <v>31</v>
      </c>
      <c r="E837" t="s">
        <v>7283</v>
      </c>
      <c r="F837" t="s">
        <v>1211</v>
      </c>
      <c r="G837" t="s">
        <v>77</v>
      </c>
      <c r="H837" t="s">
        <v>7284</v>
      </c>
      <c r="I837">
        <v>4</v>
      </c>
      <c r="J837" t="s">
        <v>7285</v>
      </c>
      <c r="K837">
        <v>82</v>
      </c>
      <c r="L837" t="s">
        <v>7286</v>
      </c>
      <c r="M837" t="s">
        <v>7287</v>
      </c>
      <c r="N837" t="s">
        <v>7288</v>
      </c>
      <c r="O837" t="s">
        <v>7053</v>
      </c>
      <c r="P837" t="s">
        <v>7289</v>
      </c>
      <c r="Q837" t="s">
        <v>7290</v>
      </c>
      <c r="R837" t="s">
        <v>7291</v>
      </c>
      <c r="S837" s="2">
        <v>45009</v>
      </c>
      <c r="T837">
        <v>0</v>
      </c>
      <c r="U837" t="s">
        <v>7292</v>
      </c>
      <c r="V837">
        <v>1</v>
      </c>
      <c r="W837">
        <v>8</v>
      </c>
      <c r="X837">
        <v>265493</v>
      </c>
      <c r="Y837" t="s">
        <v>1908</v>
      </c>
      <c r="Z837" t="s">
        <v>7290</v>
      </c>
      <c r="AA837" t="s">
        <v>7054</v>
      </c>
      <c r="AB837" t="s">
        <v>45</v>
      </c>
      <c r="AC837" t="s">
        <v>7055</v>
      </c>
    </row>
    <row r="838" spans="1:29">
      <c r="A838" t="s">
        <v>1552</v>
      </c>
      <c r="B838" s="1">
        <v>111881</v>
      </c>
      <c r="C838" t="s">
        <v>3292</v>
      </c>
      <c r="D838" t="s">
        <v>31</v>
      </c>
      <c r="E838" s="1">
        <v>-4857</v>
      </c>
      <c r="F838" t="s">
        <v>6646</v>
      </c>
      <c r="G838" t="s">
        <v>1617</v>
      </c>
      <c r="H838" t="s">
        <v>7293</v>
      </c>
      <c r="I838">
        <v>4</v>
      </c>
      <c r="J838" t="s">
        <v>7294</v>
      </c>
      <c r="K838">
        <v>81</v>
      </c>
      <c r="L838" t="s">
        <v>7295</v>
      </c>
      <c r="M838" t="s">
        <v>7296</v>
      </c>
      <c r="N838" t="s">
        <v>7297</v>
      </c>
      <c r="O838" t="s">
        <v>7053</v>
      </c>
      <c r="P838" t="s">
        <v>7298</v>
      </c>
      <c r="Q838" t="s">
        <v>7299</v>
      </c>
      <c r="R838" t="s">
        <v>7300</v>
      </c>
      <c r="S838" s="2">
        <v>43791</v>
      </c>
      <c r="T838">
        <v>0</v>
      </c>
      <c r="U838" t="s">
        <v>7301</v>
      </c>
      <c r="V838">
        <v>1</v>
      </c>
      <c r="W838">
        <v>3</v>
      </c>
      <c r="X838">
        <v>215107</v>
      </c>
      <c r="Y838" t="s">
        <v>200</v>
      </c>
      <c r="Z838" t="s">
        <v>7299</v>
      </c>
      <c r="AA838" t="s">
        <v>7054</v>
      </c>
      <c r="AB838" t="s">
        <v>45</v>
      </c>
      <c r="AC838" t="s">
        <v>7055</v>
      </c>
    </row>
    <row r="839" spans="1:29">
      <c r="A839" t="s">
        <v>1608</v>
      </c>
      <c r="B839" s="1">
        <v>96888</v>
      </c>
      <c r="C839" t="s">
        <v>3544</v>
      </c>
      <c r="D839" t="s">
        <v>31</v>
      </c>
      <c r="E839" s="1">
        <v>-6645</v>
      </c>
      <c r="F839" t="s">
        <v>1202</v>
      </c>
      <c r="G839" t="s">
        <v>1310</v>
      </c>
      <c r="H839" t="s">
        <v>4924</v>
      </c>
      <c r="I839">
        <v>4</v>
      </c>
      <c r="J839" t="s">
        <v>3624</v>
      </c>
      <c r="K839">
        <v>81</v>
      </c>
      <c r="L839" t="s">
        <v>7302</v>
      </c>
      <c r="M839" t="s">
        <v>7303</v>
      </c>
      <c r="N839" t="s">
        <v>7304</v>
      </c>
      <c r="O839" t="s">
        <v>7053</v>
      </c>
      <c r="P839" t="s">
        <v>7305</v>
      </c>
      <c r="Q839" t="s">
        <v>7306</v>
      </c>
      <c r="R839" t="s">
        <v>7307</v>
      </c>
      <c r="S839" s="2">
        <v>44855</v>
      </c>
      <c r="T839" t="s">
        <v>7308</v>
      </c>
      <c r="U839" t="s">
        <v>7309</v>
      </c>
      <c r="V839">
        <v>1</v>
      </c>
      <c r="W839">
        <v>4</v>
      </c>
      <c r="X839">
        <v>200690</v>
      </c>
      <c r="Y839" t="s">
        <v>211</v>
      </c>
      <c r="Z839" t="s">
        <v>7306</v>
      </c>
      <c r="AA839" t="s">
        <v>7054</v>
      </c>
      <c r="AB839" t="s">
        <v>45</v>
      </c>
      <c r="AC839" t="s">
        <v>7055</v>
      </c>
    </row>
    <row r="840" spans="1:29">
      <c r="A840" t="s">
        <v>174</v>
      </c>
      <c r="B840" s="1">
        <v>77987</v>
      </c>
      <c r="C840" t="s">
        <v>3481</v>
      </c>
      <c r="D840" t="s">
        <v>31</v>
      </c>
      <c r="E840" s="1">
        <v>-5898</v>
      </c>
      <c r="F840" t="s">
        <v>185</v>
      </c>
      <c r="G840" t="s">
        <v>2052</v>
      </c>
      <c r="H840" t="s">
        <v>7310</v>
      </c>
      <c r="I840">
        <v>4</v>
      </c>
      <c r="J840" t="s">
        <v>881</v>
      </c>
      <c r="K840">
        <v>81</v>
      </c>
      <c r="L840" t="s">
        <v>7311</v>
      </c>
      <c r="M840" t="s">
        <v>7312</v>
      </c>
      <c r="N840" t="s">
        <v>7313</v>
      </c>
      <c r="O840" t="s">
        <v>7053</v>
      </c>
      <c r="P840" t="s">
        <v>7314</v>
      </c>
      <c r="Q840" t="s">
        <v>7315</v>
      </c>
      <c r="R840" t="s">
        <v>7316</v>
      </c>
      <c r="S840" s="2">
        <v>37411</v>
      </c>
      <c r="T840" t="s">
        <v>7317</v>
      </c>
      <c r="U840" t="s">
        <v>7318</v>
      </c>
      <c r="V840">
        <v>1</v>
      </c>
      <c r="W840">
        <v>5</v>
      </c>
      <c r="X840">
        <v>244507</v>
      </c>
      <c r="Y840" t="s">
        <v>4159</v>
      </c>
      <c r="Z840" t="s">
        <v>7315</v>
      </c>
      <c r="AA840" t="s">
        <v>7054</v>
      </c>
      <c r="AB840" t="s">
        <v>45</v>
      </c>
      <c r="AC840" t="s">
        <v>7055</v>
      </c>
    </row>
    <row r="841" spans="1:29">
      <c r="A841" t="s">
        <v>3481</v>
      </c>
      <c r="B841" s="1">
        <v>139631</v>
      </c>
      <c r="C841" t="s">
        <v>929</v>
      </c>
      <c r="D841" t="s">
        <v>31</v>
      </c>
      <c r="E841" s="1">
        <v>-6761</v>
      </c>
      <c r="F841" t="s">
        <v>7319</v>
      </c>
      <c r="G841" t="s">
        <v>528</v>
      </c>
      <c r="H841" t="s">
        <v>6465</v>
      </c>
      <c r="I841">
        <v>4</v>
      </c>
      <c r="J841" t="s">
        <v>7155</v>
      </c>
      <c r="K841">
        <v>81</v>
      </c>
      <c r="L841" t="s">
        <v>7320</v>
      </c>
      <c r="M841" t="s">
        <v>7321</v>
      </c>
      <c r="N841" t="s">
        <v>7322</v>
      </c>
      <c r="O841" t="s">
        <v>7053</v>
      </c>
      <c r="P841" t="s">
        <v>7323</v>
      </c>
      <c r="Q841" t="s">
        <v>7324</v>
      </c>
      <c r="R841" t="s">
        <v>7325</v>
      </c>
      <c r="S841" s="2">
        <v>40840</v>
      </c>
      <c r="T841" t="s">
        <v>5757</v>
      </c>
      <c r="U841" t="s">
        <v>7326</v>
      </c>
      <c r="V841">
        <v>1</v>
      </c>
      <c r="W841">
        <v>5</v>
      </c>
      <c r="X841">
        <v>278719</v>
      </c>
      <c r="Y841" t="s">
        <v>7327</v>
      </c>
      <c r="Z841" t="s">
        <v>7324</v>
      </c>
      <c r="AA841" t="s">
        <v>7054</v>
      </c>
      <c r="AB841" t="s">
        <v>45</v>
      </c>
      <c r="AC841" t="s">
        <v>7055</v>
      </c>
    </row>
    <row r="842" spans="1:29">
      <c r="A842" t="s">
        <v>6173</v>
      </c>
      <c r="B842" t="s">
        <v>7328</v>
      </c>
      <c r="C842" t="s">
        <v>3482</v>
      </c>
      <c r="D842" t="s">
        <v>31</v>
      </c>
      <c r="E842" s="1">
        <v>-7241</v>
      </c>
      <c r="F842" t="s">
        <v>7329</v>
      </c>
      <c r="G842" t="s">
        <v>1574</v>
      </c>
      <c r="H842" t="s">
        <v>7246</v>
      </c>
      <c r="I842">
        <v>4</v>
      </c>
      <c r="J842" t="s">
        <v>3087</v>
      </c>
      <c r="K842">
        <v>82</v>
      </c>
      <c r="L842" t="s">
        <v>7330</v>
      </c>
      <c r="M842" t="s">
        <v>7331</v>
      </c>
      <c r="N842" t="s">
        <v>7332</v>
      </c>
      <c r="O842" t="s">
        <v>7053</v>
      </c>
      <c r="P842" t="s">
        <v>7333</v>
      </c>
      <c r="Q842" t="s">
        <v>7334</v>
      </c>
      <c r="R842" t="s">
        <v>7335</v>
      </c>
      <c r="S842" s="2">
        <v>44358</v>
      </c>
      <c r="T842">
        <v>0</v>
      </c>
      <c r="U842" t="s">
        <v>7336</v>
      </c>
      <c r="V842">
        <v>1</v>
      </c>
      <c r="W842">
        <v>11</v>
      </c>
      <c r="X842">
        <v>189486</v>
      </c>
      <c r="Y842" t="s">
        <v>121</v>
      </c>
      <c r="Z842" t="s">
        <v>7334</v>
      </c>
      <c r="AA842" t="s">
        <v>7054</v>
      </c>
      <c r="AB842" t="s">
        <v>45</v>
      </c>
      <c r="AC842" t="s">
        <v>7055</v>
      </c>
    </row>
    <row r="843" spans="1:29">
      <c r="A843" t="s">
        <v>756</v>
      </c>
      <c r="B843" s="1">
        <v>78998</v>
      </c>
      <c r="C843" t="s">
        <v>866</v>
      </c>
      <c r="D843" t="s">
        <v>31</v>
      </c>
      <c r="E843" s="1">
        <v>-6061</v>
      </c>
      <c r="F843" t="s">
        <v>1619</v>
      </c>
      <c r="G843" t="s">
        <v>3670</v>
      </c>
      <c r="H843" t="s">
        <v>7156</v>
      </c>
      <c r="I843">
        <v>4</v>
      </c>
      <c r="J843" t="s">
        <v>405</v>
      </c>
      <c r="K843">
        <v>81</v>
      </c>
      <c r="L843" t="s">
        <v>7337</v>
      </c>
      <c r="M843" t="s">
        <v>7338</v>
      </c>
      <c r="N843" t="s">
        <v>7259</v>
      </c>
      <c r="O843" t="s">
        <v>7053</v>
      </c>
      <c r="P843" t="s">
        <v>7339</v>
      </c>
      <c r="Q843" t="s">
        <v>7340</v>
      </c>
      <c r="R843" t="s">
        <v>7341</v>
      </c>
      <c r="S843" s="2">
        <v>41811</v>
      </c>
      <c r="T843">
        <v>0</v>
      </c>
      <c r="U843" t="s">
        <v>7264</v>
      </c>
      <c r="V843">
        <v>1</v>
      </c>
      <c r="W843">
        <v>2</v>
      </c>
      <c r="X843">
        <v>281560</v>
      </c>
      <c r="Y843" t="s">
        <v>7091</v>
      </c>
      <c r="Z843" t="s">
        <v>7340</v>
      </c>
      <c r="AA843" t="s">
        <v>7054</v>
      </c>
      <c r="AB843" t="s">
        <v>45</v>
      </c>
      <c r="AC843" t="s">
        <v>7055</v>
      </c>
    </row>
    <row r="844" spans="1:29">
      <c r="A844" t="s">
        <v>377</v>
      </c>
      <c r="B844" s="1">
        <v>79064</v>
      </c>
      <c r="C844" t="s">
        <v>1724</v>
      </c>
      <c r="D844" t="s">
        <v>31</v>
      </c>
      <c r="E844" s="1">
        <v>-5862</v>
      </c>
      <c r="F844" t="s">
        <v>1073</v>
      </c>
      <c r="G844" t="s">
        <v>2753</v>
      </c>
      <c r="H844" t="s">
        <v>7342</v>
      </c>
      <c r="I844">
        <v>4</v>
      </c>
      <c r="J844" t="s">
        <v>788</v>
      </c>
      <c r="K844">
        <v>80</v>
      </c>
      <c r="L844" t="s">
        <v>7343</v>
      </c>
      <c r="M844" t="s">
        <v>7344</v>
      </c>
      <c r="N844" t="s">
        <v>7345</v>
      </c>
      <c r="O844" t="s">
        <v>7053</v>
      </c>
      <c r="P844" t="s">
        <v>7346</v>
      </c>
      <c r="Q844" t="s">
        <v>7347</v>
      </c>
      <c r="R844" t="s">
        <v>7348</v>
      </c>
      <c r="S844" s="2">
        <v>36977</v>
      </c>
      <c r="T844">
        <v>0</v>
      </c>
      <c r="U844" t="s">
        <v>7349</v>
      </c>
      <c r="V844">
        <v>1</v>
      </c>
      <c r="W844">
        <v>0</v>
      </c>
      <c r="X844">
        <v>259933</v>
      </c>
      <c r="Y844" t="s">
        <v>1599</v>
      </c>
      <c r="Z844" t="s">
        <v>7347</v>
      </c>
      <c r="AA844" t="s">
        <v>7054</v>
      </c>
      <c r="AB844" t="s">
        <v>45</v>
      </c>
      <c r="AC844" t="s">
        <v>7055</v>
      </c>
    </row>
    <row r="845" spans="1:29">
      <c r="A845" t="s">
        <v>4193</v>
      </c>
      <c r="B845" s="1">
        <v>110056</v>
      </c>
      <c r="C845" t="s">
        <v>1394</v>
      </c>
      <c r="D845" t="s">
        <v>31</v>
      </c>
      <c r="E845" t="s">
        <v>7350</v>
      </c>
      <c r="F845" t="s">
        <v>1209</v>
      </c>
      <c r="G845" t="s">
        <v>3482</v>
      </c>
      <c r="H845" t="s">
        <v>7351</v>
      </c>
      <c r="I845">
        <v>4</v>
      </c>
      <c r="J845" t="s">
        <v>7352</v>
      </c>
      <c r="K845">
        <v>80</v>
      </c>
      <c r="L845" t="s">
        <v>7353</v>
      </c>
      <c r="M845" t="s">
        <v>7354</v>
      </c>
      <c r="N845" t="s">
        <v>7355</v>
      </c>
      <c r="O845" t="s">
        <v>7053</v>
      </c>
      <c r="P845" t="s">
        <v>7356</v>
      </c>
      <c r="Q845" t="s">
        <v>7357</v>
      </c>
      <c r="R845" t="s">
        <v>7358</v>
      </c>
      <c r="S845" s="2">
        <v>45071</v>
      </c>
      <c r="T845">
        <v>0</v>
      </c>
      <c r="U845" t="s">
        <v>7359</v>
      </c>
      <c r="V845">
        <v>0</v>
      </c>
      <c r="W845">
        <v>11</v>
      </c>
      <c r="X845">
        <v>176579</v>
      </c>
      <c r="Y845" t="s">
        <v>7360</v>
      </c>
      <c r="Z845" t="s">
        <v>7357</v>
      </c>
      <c r="AA845" t="s">
        <v>7054</v>
      </c>
      <c r="AB845" t="s">
        <v>45</v>
      </c>
      <c r="AC845" t="s">
        <v>7055</v>
      </c>
    </row>
    <row r="846" spans="1:29">
      <c r="A846" t="s">
        <v>2631</v>
      </c>
      <c r="B846" s="1">
        <v>139994</v>
      </c>
      <c r="C846" t="s">
        <v>3930</v>
      </c>
      <c r="D846" t="s">
        <v>31</v>
      </c>
      <c r="E846" s="1">
        <v>-5927</v>
      </c>
      <c r="F846" t="s">
        <v>7361</v>
      </c>
      <c r="G846" t="s">
        <v>2590</v>
      </c>
      <c r="H846" t="s">
        <v>5592</v>
      </c>
      <c r="I846">
        <v>4</v>
      </c>
      <c r="J846" t="s">
        <v>2866</v>
      </c>
      <c r="K846">
        <v>79</v>
      </c>
      <c r="L846" t="s">
        <v>7362</v>
      </c>
      <c r="M846" t="s">
        <v>7363</v>
      </c>
      <c r="N846" t="s">
        <v>7364</v>
      </c>
      <c r="O846" t="s">
        <v>7053</v>
      </c>
      <c r="P846" t="s">
        <v>7365</v>
      </c>
      <c r="Q846" t="s">
        <v>7366</v>
      </c>
      <c r="R846" t="s">
        <v>7367</v>
      </c>
      <c r="S846" s="2">
        <v>44694</v>
      </c>
      <c r="T846" t="s">
        <v>7368</v>
      </c>
      <c r="U846" t="s">
        <v>7369</v>
      </c>
      <c r="V846">
        <v>1</v>
      </c>
      <c r="W846">
        <v>0</v>
      </c>
      <c r="X846">
        <v>148486</v>
      </c>
      <c r="Y846" t="s">
        <v>4867</v>
      </c>
      <c r="Z846" t="s">
        <v>7366</v>
      </c>
      <c r="AA846" t="s">
        <v>7054</v>
      </c>
      <c r="AB846" t="s">
        <v>45</v>
      </c>
      <c r="AC846" t="s">
        <v>7055</v>
      </c>
    </row>
    <row r="847" spans="1:29">
      <c r="A847" t="s">
        <v>361</v>
      </c>
      <c r="B847" s="1">
        <v>103998</v>
      </c>
      <c r="C847" t="s">
        <v>1163</v>
      </c>
      <c r="D847" t="s">
        <v>31</v>
      </c>
      <c r="E847" s="1">
        <v>-7079</v>
      </c>
      <c r="F847" t="s">
        <v>6475</v>
      </c>
      <c r="G847" t="s">
        <v>420</v>
      </c>
      <c r="H847" t="s">
        <v>7370</v>
      </c>
      <c r="I847">
        <v>4</v>
      </c>
      <c r="J847" t="s">
        <v>4104</v>
      </c>
      <c r="K847">
        <v>79</v>
      </c>
      <c r="L847" t="s">
        <v>7371</v>
      </c>
      <c r="M847" t="s">
        <v>7372</v>
      </c>
      <c r="N847" t="s">
        <v>7085</v>
      </c>
      <c r="O847" t="s">
        <v>7053</v>
      </c>
      <c r="P847" t="s">
        <v>7373</v>
      </c>
      <c r="Q847" t="s">
        <v>7374</v>
      </c>
      <c r="R847" t="s">
        <v>7375</v>
      </c>
      <c r="S847" s="2">
        <v>41170</v>
      </c>
      <c r="T847">
        <v>0</v>
      </c>
      <c r="U847" t="s">
        <v>7090</v>
      </c>
      <c r="V847">
        <v>1</v>
      </c>
      <c r="W847">
        <v>2</v>
      </c>
      <c r="X847">
        <v>247907</v>
      </c>
      <c r="Y847" t="s">
        <v>7376</v>
      </c>
      <c r="Z847" t="s">
        <v>7374</v>
      </c>
      <c r="AA847" t="s">
        <v>7054</v>
      </c>
      <c r="AB847" t="s">
        <v>45</v>
      </c>
      <c r="AC847" t="s">
        <v>7055</v>
      </c>
    </row>
    <row r="848" spans="1:29">
      <c r="A848" t="s">
        <v>4394</v>
      </c>
      <c r="B848" s="1">
        <v>95051</v>
      </c>
      <c r="C848" t="s">
        <v>489</v>
      </c>
      <c r="D848" t="s">
        <v>31</v>
      </c>
      <c r="E848" s="1">
        <v>-4612</v>
      </c>
      <c r="F848" t="s">
        <v>2455</v>
      </c>
      <c r="G848" t="s">
        <v>3347</v>
      </c>
      <c r="H848" t="s">
        <v>7246</v>
      </c>
      <c r="I848">
        <v>4</v>
      </c>
      <c r="J848" t="s">
        <v>7377</v>
      </c>
      <c r="K848">
        <v>82</v>
      </c>
      <c r="L848" t="s">
        <v>7378</v>
      </c>
      <c r="M848" t="s">
        <v>7379</v>
      </c>
      <c r="N848" t="s">
        <v>7380</v>
      </c>
      <c r="O848" t="s">
        <v>7053</v>
      </c>
      <c r="P848" t="s">
        <v>7381</v>
      </c>
      <c r="Q848" t="s">
        <v>7382</v>
      </c>
      <c r="R848" t="s">
        <v>7383</v>
      </c>
      <c r="S848">
        <v>2002</v>
      </c>
      <c r="T848">
        <v>0</v>
      </c>
      <c r="U848" t="s">
        <v>7384</v>
      </c>
      <c r="V848">
        <v>0</v>
      </c>
      <c r="W848">
        <v>5</v>
      </c>
      <c r="X848">
        <v>206200</v>
      </c>
      <c r="Y848" t="s">
        <v>7385</v>
      </c>
      <c r="Z848" t="s">
        <v>7382</v>
      </c>
      <c r="AA848" t="s">
        <v>7054</v>
      </c>
      <c r="AB848" t="s">
        <v>45</v>
      </c>
      <c r="AC848" t="s">
        <v>7055</v>
      </c>
    </row>
    <row r="849" spans="1:29">
      <c r="A849" t="s">
        <v>4485</v>
      </c>
      <c r="B849" s="1">
        <v>119992</v>
      </c>
      <c r="C849" t="s">
        <v>5448</v>
      </c>
      <c r="D849" t="s">
        <v>31</v>
      </c>
      <c r="E849" s="1">
        <v>-5829</v>
      </c>
      <c r="F849" t="s">
        <v>3632</v>
      </c>
      <c r="G849" t="s">
        <v>2970</v>
      </c>
      <c r="H849" t="s">
        <v>7386</v>
      </c>
      <c r="I849">
        <v>4</v>
      </c>
      <c r="J849" t="s">
        <v>1715</v>
      </c>
      <c r="K849">
        <v>79</v>
      </c>
      <c r="L849" t="s">
        <v>7387</v>
      </c>
      <c r="M849" t="s">
        <v>7388</v>
      </c>
      <c r="N849" t="s">
        <v>7386</v>
      </c>
      <c r="O849" t="s">
        <v>7053</v>
      </c>
      <c r="P849" t="s">
        <v>7389</v>
      </c>
      <c r="Q849" t="s">
        <v>7390</v>
      </c>
      <c r="R849" t="s">
        <v>7391</v>
      </c>
      <c r="S849" s="2">
        <v>42461</v>
      </c>
      <c r="T849">
        <v>0</v>
      </c>
      <c r="U849" t="s">
        <v>7392</v>
      </c>
      <c r="V849">
        <v>1</v>
      </c>
      <c r="W849">
        <v>10</v>
      </c>
      <c r="X849">
        <v>237300</v>
      </c>
      <c r="Y849" t="s">
        <v>3643</v>
      </c>
      <c r="Z849" t="s">
        <v>7390</v>
      </c>
      <c r="AA849" t="s">
        <v>7054</v>
      </c>
      <c r="AB849" t="s">
        <v>45</v>
      </c>
      <c r="AC849" t="s">
        <v>7055</v>
      </c>
    </row>
    <row r="850" spans="1:29">
      <c r="A850" t="s">
        <v>1666</v>
      </c>
      <c r="B850" s="1">
        <v>89087</v>
      </c>
      <c r="C850" t="s">
        <v>929</v>
      </c>
      <c r="D850" t="s">
        <v>31</v>
      </c>
      <c r="E850" s="1">
        <v>-8964</v>
      </c>
      <c r="F850" t="s">
        <v>6078</v>
      </c>
      <c r="G850" t="s">
        <v>1641</v>
      </c>
      <c r="H850" t="s">
        <v>7393</v>
      </c>
      <c r="I850">
        <v>3</v>
      </c>
      <c r="J850" t="s">
        <v>7394</v>
      </c>
      <c r="K850">
        <v>79</v>
      </c>
      <c r="L850" t="s">
        <v>7395</v>
      </c>
      <c r="M850" t="s">
        <v>7396</v>
      </c>
      <c r="N850" t="s">
        <v>7397</v>
      </c>
      <c r="O850" t="s">
        <v>7053</v>
      </c>
      <c r="P850" t="s">
        <v>7398</v>
      </c>
      <c r="Q850" t="s">
        <v>7399</v>
      </c>
      <c r="R850" t="s">
        <v>7400</v>
      </c>
      <c r="S850" s="2">
        <v>43917</v>
      </c>
      <c r="T850" t="s">
        <v>7401</v>
      </c>
      <c r="U850" t="s">
        <v>7402</v>
      </c>
      <c r="V850">
        <v>1</v>
      </c>
      <c r="W850">
        <v>0</v>
      </c>
      <c r="X850">
        <v>198371</v>
      </c>
      <c r="Y850" t="s">
        <v>3779</v>
      </c>
      <c r="Z850" t="s">
        <v>7399</v>
      </c>
      <c r="AA850" t="s">
        <v>7054</v>
      </c>
      <c r="AB850" t="s">
        <v>45</v>
      </c>
      <c r="AC850" t="s">
        <v>7055</v>
      </c>
    </row>
    <row r="851" spans="1:29">
      <c r="A851" t="s">
        <v>3657</v>
      </c>
      <c r="B851" s="1">
        <v>116032</v>
      </c>
      <c r="C851" t="s">
        <v>4065</v>
      </c>
      <c r="D851" t="s">
        <v>31</v>
      </c>
      <c r="E851" s="1">
        <v>-6312</v>
      </c>
      <c r="F851" t="s">
        <v>4522</v>
      </c>
      <c r="G851" t="s">
        <v>1050</v>
      </c>
      <c r="H851" t="s">
        <v>7403</v>
      </c>
      <c r="I851">
        <v>4</v>
      </c>
      <c r="J851" t="s">
        <v>926</v>
      </c>
      <c r="K851">
        <v>79</v>
      </c>
      <c r="L851" t="s">
        <v>7404</v>
      </c>
      <c r="M851" t="s">
        <v>7405</v>
      </c>
      <c r="N851" t="s">
        <v>7406</v>
      </c>
      <c r="O851" t="s">
        <v>7053</v>
      </c>
      <c r="P851" t="s">
        <v>7407</v>
      </c>
      <c r="Q851" t="s">
        <v>7408</v>
      </c>
      <c r="R851" t="s">
        <v>7409</v>
      </c>
      <c r="S851" s="2">
        <v>44421</v>
      </c>
      <c r="T851" t="s">
        <v>7410</v>
      </c>
      <c r="U851" t="s">
        <v>7411</v>
      </c>
      <c r="V851">
        <v>1</v>
      </c>
      <c r="W851">
        <v>1</v>
      </c>
      <c r="X851">
        <v>202735</v>
      </c>
      <c r="Y851" t="s">
        <v>4406</v>
      </c>
      <c r="Z851" t="s">
        <v>7408</v>
      </c>
      <c r="AA851" t="s">
        <v>7054</v>
      </c>
      <c r="AB851" t="s">
        <v>45</v>
      </c>
      <c r="AC851" t="s">
        <v>7055</v>
      </c>
    </row>
    <row r="852" spans="1:29">
      <c r="A852" t="s">
        <v>278</v>
      </c>
      <c r="B852" s="1">
        <v>108038</v>
      </c>
      <c r="C852" t="s">
        <v>3409</v>
      </c>
      <c r="D852" t="s">
        <v>31</v>
      </c>
      <c r="E852" s="1">
        <v>-7259</v>
      </c>
      <c r="F852" t="s">
        <v>4261</v>
      </c>
      <c r="G852" t="s">
        <v>2196</v>
      </c>
      <c r="H852" t="s">
        <v>7412</v>
      </c>
      <c r="I852">
        <v>3</v>
      </c>
      <c r="J852" t="s">
        <v>4546</v>
      </c>
      <c r="K852">
        <v>78</v>
      </c>
      <c r="L852" t="s">
        <v>7413</v>
      </c>
      <c r="M852" t="s">
        <v>7414</v>
      </c>
      <c r="N852" t="s">
        <v>7415</v>
      </c>
      <c r="O852" t="s">
        <v>7053</v>
      </c>
      <c r="P852" t="s">
        <v>7416</v>
      </c>
      <c r="Q852" t="s">
        <v>7417</v>
      </c>
      <c r="R852" t="s">
        <v>7418</v>
      </c>
      <c r="S852" s="2">
        <v>42013</v>
      </c>
      <c r="T852">
        <v>0</v>
      </c>
      <c r="U852" t="s">
        <v>7419</v>
      </c>
      <c r="V852">
        <v>1</v>
      </c>
      <c r="W852">
        <v>0</v>
      </c>
      <c r="X852">
        <v>225053</v>
      </c>
      <c r="Y852" t="s">
        <v>1958</v>
      </c>
      <c r="Z852" t="s">
        <v>7417</v>
      </c>
      <c r="AA852" t="s">
        <v>7054</v>
      </c>
      <c r="AB852" t="s">
        <v>45</v>
      </c>
      <c r="AC852" t="s">
        <v>7055</v>
      </c>
    </row>
    <row r="853" spans="1:29">
      <c r="A853" t="s">
        <v>959</v>
      </c>
      <c r="B853" t="s">
        <v>7420</v>
      </c>
      <c r="C853" t="s">
        <v>1049</v>
      </c>
      <c r="D853" t="s">
        <v>31</v>
      </c>
      <c r="E853" s="1">
        <v>-5339</v>
      </c>
      <c r="F853" t="s">
        <v>2392</v>
      </c>
      <c r="G853" t="s">
        <v>1359</v>
      </c>
      <c r="H853" t="s">
        <v>7421</v>
      </c>
      <c r="I853">
        <v>3</v>
      </c>
      <c r="J853" t="s">
        <v>1361</v>
      </c>
      <c r="K853">
        <v>78</v>
      </c>
      <c r="L853" t="s">
        <v>7422</v>
      </c>
      <c r="M853" t="s">
        <v>7423</v>
      </c>
      <c r="N853" t="s">
        <v>7424</v>
      </c>
      <c r="O853" t="s">
        <v>7053</v>
      </c>
      <c r="P853" t="s">
        <v>7425</v>
      </c>
      <c r="Q853" t="s">
        <v>7426</v>
      </c>
      <c r="R853" t="s">
        <v>7427</v>
      </c>
      <c r="S853" s="2">
        <v>44673</v>
      </c>
      <c r="T853">
        <v>0</v>
      </c>
      <c r="U853" t="s">
        <v>7428</v>
      </c>
      <c r="V853">
        <v>1</v>
      </c>
      <c r="W853">
        <v>10</v>
      </c>
      <c r="X853">
        <v>176440</v>
      </c>
      <c r="Y853" t="s">
        <v>92</v>
      </c>
      <c r="Z853" t="s">
        <v>7426</v>
      </c>
      <c r="AA853" t="s">
        <v>7054</v>
      </c>
      <c r="AB853" t="s">
        <v>45</v>
      </c>
      <c r="AC853" t="s">
        <v>7055</v>
      </c>
    </row>
    <row r="854" spans="1:29">
      <c r="A854" t="s">
        <v>1502</v>
      </c>
      <c r="B854" t="s">
        <v>7429</v>
      </c>
      <c r="C854" t="s">
        <v>421</v>
      </c>
      <c r="D854" t="s">
        <v>31</v>
      </c>
      <c r="E854" s="1">
        <v>-5569</v>
      </c>
      <c r="F854" t="s">
        <v>7430</v>
      </c>
      <c r="G854" t="s">
        <v>1666</v>
      </c>
      <c r="H854" t="s">
        <v>7246</v>
      </c>
      <c r="I854">
        <v>4</v>
      </c>
      <c r="J854" t="s">
        <v>3606</v>
      </c>
      <c r="K854">
        <v>80</v>
      </c>
      <c r="L854" t="s">
        <v>7431</v>
      </c>
      <c r="M854" t="s">
        <v>7432</v>
      </c>
      <c r="N854" t="s">
        <v>7380</v>
      </c>
      <c r="O854" t="s">
        <v>7053</v>
      </c>
      <c r="P854" t="s">
        <v>7433</v>
      </c>
      <c r="Q854" t="s">
        <v>7434</v>
      </c>
      <c r="R854" t="s">
        <v>7435</v>
      </c>
      <c r="S854">
        <v>2002</v>
      </c>
      <c r="T854">
        <v>0</v>
      </c>
      <c r="U854" t="s">
        <v>7384</v>
      </c>
      <c r="V854">
        <v>0</v>
      </c>
      <c r="W854">
        <v>0</v>
      </c>
      <c r="X854">
        <v>259453</v>
      </c>
      <c r="Y854" t="s">
        <v>6826</v>
      </c>
      <c r="Z854" t="s">
        <v>7434</v>
      </c>
      <c r="AA854" t="s">
        <v>7054</v>
      </c>
      <c r="AB854" t="s">
        <v>45</v>
      </c>
      <c r="AC854" t="s">
        <v>7055</v>
      </c>
    </row>
    <row r="855" spans="1:29">
      <c r="A855" t="s">
        <v>5073</v>
      </c>
      <c r="B855" s="1">
        <v>111825</v>
      </c>
      <c r="C855" t="s">
        <v>3028</v>
      </c>
      <c r="D855" t="s">
        <v>31</v>
      </c>
      <c r="E855" s="1">
        <v>-8467</v>
      </c>
      <c r="F855" t="s">
        <v>255</v>
      </c>
      <c r="G855" t="s">
        <v>1864</v>
      </c>
      <c r="H855" t="s">
        <v>7436</v>
      </c>
      <c r="I855">
        <v>4</v>
      </c>
      <c r="J855" t="s">
        <v>570</v>
      </c>
      <c r="K855">
        <v>78</v>
      </c>
      <c r="L855" t="s">
        <v>7437</v>
      </c>
      <c r="M855" t="s">
        <v>7438</v>
      </c>
      <c r="N855" t="s">
        <v>7439</v>
      </c>
      <c r="O855" t="s">
        <v>7053</v>
      </c>
      <c r="P855" t="s">
        <v>7440</v>
      </c>
      <c r="Q855" t="s">
        <v>7441</v>
      </c>
      <c r="R855" t="s">
        <v>7442</v>
      </c>
      <c r="S855" s="2">
        <v>43028</v>
      </c>
      <c r="T855">
        <v>0</v>
      </c>
      <c r="U855" t="s">
        <v>7443</v>
      </c>
      <c r="V855">
        <v>1</v>
      </c>
      <c r="W855">
        <v>9</v>
      </c>
      <c r="X855">
        <v>232852</v>
      </c>
      <c r="Y855" t="s">
        <v>489</v>
      </c>
      <c r="Z855" t="s">
        <v>7441</v>
      </c>
      <c r="AA855" t="s">
        <v>7054</v>
      </c>
      <c r="AB855" t="s">
        <v>45</v>
      </c>
      <c r="AC855" t="s">
        <v>7055</v>
      </c>
    </row>
    <row r="856" spans="1:29">
      <c r="A856" t="s">
        <v>1917</v>
      </c>
      <c r="B856" s="1">
        <v>114481</v>
      </c>
      <c r="C856" t="s">
        <v>2293</v>
      </c>
      <c r="D856" t="s">
        <v>31</v>
      </c>
      <c r="E856" s="1">
        <v>-3292</v>
      </c>
      <c r="F856" t="s">
        <v>1961</v>
      </c>
      <c r="G856" t="s">
        <v>4494</v>
      </c>
      <c r="H856" t="s">
        <v>7444</v>
      </c>
      <c r="I856">
        <v>4</v>
      </c>
      <c r="J856" t="s">
        <v>597</v>
      </c>
      <c r="K856">
        <v>78</v>
      </c>
      <c r="L856" t="s">
        <v>7445</v>
      </c>
      <c r="M856" t="s">
        <v>7446</v>
      </c>
      <c r="N856" t="s">
        <v>7447</v>
      </c>
      <c r="O856" t="s">
        <v>7053</v>
      </c>
      <c r="P856" t="s">
        <v>7448</v>
      </c>
      <c r="Q856" t="s">
        <v>7449</v>
      </c>
      <c r="R856" t="s">
        <v>7447</v>
      </c>
      <c r="S856" s="2">
        <v>45156</v>
      </c>
      <c r="T856">
        <v>0</v>
      </c>
      <c r="U856" t="s">
        <v>7450</v>
      </c>
      <c r="V856">
        <v>1</v>
      </c>
      <c r="W856">
        <v>0</v>
      </c>
      <c r="X856">
        <v>114234</v>
      </c>
      <c r="Y856" t="s">
        <v>608</v>
      </c>
      <c r="Z856" t="s">
        <v>7449</v>
      </c>
      <c r="AA856" t="s">
        <v>7054</v>
      </c>
      <c r="AB856" t="s">
        <v>45</v>
      </c>
      <c r="AC856" t="s">
        <v>7055</v>
      </c>
    </row>
    <row r="857" spans="1:29">
      <c r="A857" t="s">
        <v>2210</v>
      </c>
      <c r="B857" s="1">
        <v>169928</v>
      </c>
      <c r="C857" t="s">
        <v>3670</v>
      </c>
      <c r="D857" t="s">
        <v>31</v>
      </c>
      <c r="E857" s="1">
        <v>-5484</v>
      </c>
      <c r="F857" t="s">
        <v>593</v>
      </c>
      <c r="G857" t="s">
        <v>1324</v>
      </c>
      <c r="H857" t="s">
        <v>7451</v>
      </c>
      <c r="I857">
        <v>4</v>
      </c>
      <c r="J857" t="s">
        <v>2110</v>
      </c>
      <c r="K857">
        <v>78</v>
      </c>
      <c r="L857" t="s">
        <v>7452</v>
      </c>
      <c r="M857" t="s">
        <v>7453</v>
      </c>
      <c r="N857" t="s">
        <v>7454</v>
      </c>
      <c r="O857" t="s">
        <v>7053</v>
      </c>
      <c r="P857" t="s">
        <v>7455</v>
      </c>
      <c r="Q857" t="s">
        <v>7456</v>
      </c>
      <c r="R857" t="s">
        <v>7454</v>
      </c>
      <c r="S857" s="2">
        <v>44386</v>
      </c>
      <c r="T857">
        <v>0</v>
      </c>
      <c r="U857" t="s">
        <v>7457</v>
      </c>
      <c r="V857">
        <v>1</v>
      </c>
      <c r="W857">
        <v>1</v>
      </c>
      <c r="X857">
        <v>141806</v>
      </c>
      <c r="Y857" t="s">
        <v>928</v>
      </c>
      <c r="Z857" t="s">
        <v>7456</v>
      </c>
      <c r="AA857" t="s">
        <v>7054</v>
      </c>
      <c r="AB857" t="s">
        <v>45</v>
      </c>
      <c r="AC857" t="s">
        <v>7055</v>
      </c>
    </row>
    <row r="858" spans="1:29">
      <c r="A858" t="s">
        <v>3877</v>
      </c>
      <c r="B858" s="1">
        <v>178765</v>
      </c>
      <c r="C858" t="s">
        <v>6309</v>
      </c>
      <c r="D858" t="s">
        <v>31</v>
      </c>
      <c r="E858" s="1">
        <v>-6658</v>
      </c>
      <c r="F858" t="s">
        <v>1374</v>
      </c>
      <c r="G858" t="s">
        <v>1668</v>
      </c>
      <c r="H858" t="s">
        <v>7458</v>
      </c>
      <c r="I858">
        <v>3</v>
      </c>
      <c r="J858" t="s">
        <v>7459</v>
      </c>
      <c r="K858">
        <v>78</v>
      </c>
      <c r="L858" t="s">
        <v>7460</v>
      </c>
      <c r="M858" t="s">
        <v>7461</v>
      </c>
      <c r="N858" t="s">
        <v>7462</v>
      </c>
      <c r="O858" t="s">
        <v>7053</v>
      </c>
      <c r="P858" t="s">
        <v>7463</v>
      </c>
      <c r="Q858" t="s">
        <v>7464</v>
      </c>
      <c r="R858" t="s">
        <v>7465</v>
      </c>
      <c r="S858" s="2">
        <v>43959</v>
      </c>
      <c r="T858">
        <v>0</v>
      </c>
      <c r="U858" t="s">
        <v>7466</v>
      </c>
      <c r="V858">
        <v>1</v>
      </c>
      <c r="W858">
        <v>8</v>
      </c>
      <c r="X858">
        <v>228482</v>
      </c>
      <c r="Y858" t="s">
        <v>3153</v>
      </c>
      <c r="Z858" t="s">
        <v>7464</v>
      </c>
      <c r="AA858" t="s">
        <v>7054</v>
      </c>
      <c r="AB858" t="s">
        <v>45</v>
      </c>
      <c r="AC858" t="s">
        <v>7055</v>
      </c>
    </row>
    <row r="859" spans="1:29">
      <c r="A859" t="s">
        <v>1190</v>
      </c>
      <c r="B859" s="1">
        <v>144905</v>
      </c>
      <c r="C859" t="s">
        <v>3613</v>
      </c>
      <c r="D859" t="s">
        <v>31</v>
      </c>
      <c r="E859" s="1">
        <v>-4865</v>
      </c>
      <c r="F859" t="s">
        <v>189</v>
      </c>
      <c r="G859" t="s">
        <v>3163</v>
      </c>
      <c r="H859" t="s">
        <v>6476</v>
      </c>
      <c r="I859">
        <v>4</v>
      </c>
      <c r="J859" t="s">
        <v>803</v>
      </c>
      <c r="K859">
        <v>78</v>
      </c>
      <c r="L859" t="s">
        <v>7467</v>
      </c>
      <c r="M859" t="s">
        <v>7468</v>
      </c>
      <c r="N859" t="s">
        <v>6534</v>
      </c>
      <c r="O859" t="s">
        <v>7053</v>
      </c>
      <c r="P859" t="s">
        <v>7469</v>
      </c>
      <c r="Q859" t="s">
        <v>7470</v>
      </c>
      <c r="R859" t="s">
        <v>7471</v>
      </c>
      <c r="S859" s="2">
        <v>40309</v>
      </c>
      <c r="T859">
        <v>0</v>
      </c>
      <c r="U859" t="s">
        <v>7472</v>
      </c>
      <c r="V859">
        <v>1</v>
      </c>
      <c r="W859">
        <v>10</v>
      </c>
      <c r="X859">
        <v>230192</v>
      </c>
      <c r="Y859" t="s">
        <v>438</v>
      </c>
      <c r="Z859" t="s">
        <v>7470</v>
      </c>
      <c r="AA859" t="s">
        <v>7054</v>
      </c>
      <c r="AB859" t="s">
        <v>45</v>
      </c>
      <c r="AC859" t="s">
        <v>7055</v>
      </c>
    </row>
    <row r="860" spans="1:29">
      <c r="A860" t="s">
        <v>2766</v>
      </c>
      <c r="B860" s="1">
        <v>112672</v>
      </c>
      <c r="C860" t="s">
        <v>580</v>
      </c>
      <c r="D860" t="s">
        <v>31</v>
      </c>
      <c r="E860" s="1">
        <v>-8745</v>
      </c>
      <c r="F860" t="s">
        <v>178</v>
      </c>
      <c r="G860" t="s">
        <v>2702</v>
      </c>
      <c r="H860" t="s">
        <v>7473</v>
      </c>
      <c r="I860">
        <v>4</v>
      </c>
      <c r="J860" t="s">
        <v>4008</v>
      </c>
      <c r="K860">
        <v>78</v>
      </c>
      <c r="L860" t="s">
        <v>7474</v>
      </c>
      <c r="M860" t="s">
        <v>7475</v>
      </c>
      <c r="N860" t="s">
        <v>7476</v>
      </c>
      <c r="O860" t="s">
        <v>7053</v>
      </c>
      <c r="P860" t="s">
        <v>7477</v>
      </c>
      <c r="Q860" t="s">
        <v>7478</v>
      </c>
      <c r="R860" t="s">
        <v>7479</v>
      </c>
      <c r="S860" s="2">
        <v>43168</v>
      </c>
      <c r="T860" t="s">
        <v>7480</v>
      </c>
      <c r="U860" t="s">
        <v>7481</v>
      </c>
      <c r="V860">
        <v>1</v>
      </c>
      <c r="W860">
        <v>1</v>
      </c>
      <c r="X860">
        <v>260285</v>
      </c>
      <c r="Y860" t="s">
        <v>3995</v>
      </c>
      <c r="Z860" t="s">
        <v>7478</v>
      </c>
      <c r="AA860" t="s">
        <v>7054</v>
      </c>
      <c r="AB860" t="s">
        <v>45</v>
      </c>
      <c r="AC860" t="s">
        <v>7055</v>
      </c>
    </row>
    <row r="861" spans="1:29">
      <c r="A861" t="s">
        <v>240</v>
      </c>
      <c r="B861" t="s">
        <v>7482</v>
      </c>
      <c r="C861" t="s">
        <v>2182</v>
      </c>
      <c r="D861" t="s">
        <v>31</v>
      </c>
      <c r="E861" t="s">
        <v>7483</v>
      </c>
      <c r="F861" t="s">
        <v>7484</v>
      </c>
      <c r="G861" t="s">
        <v>1880</v>
      </c>
      <c r="H861" t="s">
        <v>7485</v>
      </c>
      <c r="I861">
        <v>4</v>
      </c>
      <c r="J861" t="s">
        <v>5644</v>
      </c>
      <c r="K861">
        <v>78</v>
      </c>
      <c r="L861" t="s">
        <v>7486</v>
      </c>
      <c r="M861" t="s">
        <v>7487</v>
      </c>
      <c r="N861" t="s">
        <v>7488</v>
      </c>
      <c r="O861" t="s">
        <v>7053</v>
      </c>
      <c r="P861" t="s">
        <v>7489</v>
      </c>
      <c r="Q861" t="s">
        <v>7490</v>
      </c>
      <c r="R861" t="s">
        <v>7491</v>
      </c>
      <c r="S861" s="2">
        <v>43847</v>
      </c>
      <c r="T861" t="s">
        <v>7492</v>
      </c>
      <c r="U861" t="s">
        <v>7493</v>
      </c>
      <c r="V861">
        <v>1</v>
      </c>
      <c r="W861">
        <v>6</v>
      </c>
      <c r="X861">
        <v>201661</v>
      </c>
      <c r="Y861" t="s">
        <v>2725</v>
      </c>
      <c r="Z861" t="s">
        <v>7490</v>
      </c>
      <c r="AA861" t="s">
        <v>7054</v>
      </c>
      <c r="AB861" t="s">
        <v>45</v>
      </c>
      <c r="AC861" t="s">
        <v>7055</v>
      </c>
    </row>
    <row r="862" spans="1:29">
      <c r="A862" t="s">
        <v>5317</v>
      </c>
      <c r="B862" s="1">
        <v>119976</v>
      </c>
      <c r="C862" t="s">
        <v>839</v>
      </c>
      <c r="D862" t="s">
        <v>31</v>
      </c>
      <c r="E862" t="s">
        <v>7494</v>
      </c>
      <c r="F862" t="s">
        <v>710</v>
      </c>
      <c r="G862" t="s">
        <v>2125</v>
      </c>
      <c r="H862" t="s">
        <v>7495</v>
      </c>
      <c r="I862">
        <v>4</v>
      </c>
      <c r="J862" t="s">
        <v>3260</v>
      </c>
      <c r="K862">
        <v>77</v>
      </c>
      <c r="L862" t="s">
        <v>7496</v>
      </c>
      <c r="M862" t="s">
        <v>7497</v>
      </c>
      <c r="N862" t="s">
        <v>7498</v>
      </c>
      <c r="O862" t="s">
        <v>7053</v>
      </c>
      <c r="P862" t="s">
        <v>7499</v>
      </c>
      <c r="Q862" t="s">
        <v>7500</v>
      </c>
      <c r="R862" t="s">
        <v>7501</v>
      </c>
      <c r="S862" s="2">
        <v>44337</v>
      </c>
      <c r="T862" t="s">
        <v>7502</v>
      </c>
      <c r="U862" t="s">
        <v>7503</v>
      </c>
      <c r="V862">
        <v>1</v>
      </c>
      <c r="W862">
        <v>7</v>
      </c>
      <c r="X862">
        <v>154983</v>
      </c>
      <c r="Y862" t="s">
        <v>7504</v>
      </c>
      <c r="Z862" t="s">
        <v>7500</v>
      </c>
      <c r="AA862" t="s">
        <v>7054</v>
      </c>
      <c r="AB862" t="s">
        <v>45</v>
      </c>
      <c r="AC862" t="s">
        <v>7055</v>
      </c>
    </row>
    <row r="863" spans="1:29">
      <c r="A863" t="s">
        <v>943</v>
      </c>
      <c r="B863" s="1">
        <v>100012</v>
      </c>
      <c r="C863" t="s">
        <v>892</v>
      </c>
      <c r="D863" t="s">
        <v>31</v>
      </c>
      <c r="E863" s="1">
        <v>-2392</v>
      </c>
      <c r="F863" t="s">
        <v>4649</v>
      </c>
      <c r="G863" t="s">
        <v>2764</v>
      </c>
      <c r="H863" t="s">
        <v>7505</v>
      </c>
      <c r="I863">
        <v>4</v>
      </c>
      <c r="J863" t="s">
        <v>2958</v>
      </c>
      <c r="K863">
        <v>77</v>
      </c>
      <c r="L863" t="s">
        <v>7506</v>
      </c>
      <c r="M863" t="s">
        <v>7507</v>
      </c>
      <c r="N863" t="s">
        <v>7508</v>
      </c>
      <c r="O863" t="s">
        <v>7053</v>
      </c>
      <c r="P863" t="s">
        <v>7509</v>
      </c>
      <c r="Q863" t="s">
        <v>7510</v>
      </c>
      <c r="R863" t="s">
        <v>7511</v>
      </c>
      <c r="S863" s="2">
        <v>41640</v>
      </c>
      <c r="T863" t="s">
        <v>7512</v>
      </c>
      <c r="U863" t="s">
        <v>7513</v>
      </c>
      <c r="V863">
        <v>1</v>
      </c>
      <c r="W863">
        <v>2</v>
      </c>
      <c r="X863">
        <v>194240</v>
      </c>
      <c r="Y863" t="s">
        <v>1884</v>
      </c>
      <c r="Z863" t="s">
        <v>7510</v>
      </c>
      <c r="AA863" t="s">
        <v>7054</v>
      </c>
      <c r="AB863" t="s">
        <v>45</v>
      </c>
      <c r="AC863" t="s">
        <v>7055</v>
      </c>
    </row>
    <row r="864" spans="1:29">
      <c r="A864" t="s">
        <v>503</v>
      </c>
      <c r="B864" s="1">
        <v>120076</v>
      </c>
      <c r="C864" t="s">
        <v>1501</v>
      </c>
      <c r="D864" t="s">
        <v>31</v>
      </c>
      <c r="E864" s="1">
        <v>-7055</v>
      </c>
      <c r="F864" t="s">
        <v>2856</v>
      </c>
      <c r="G864" t="s">
        <v>2011</v>
      </c>
      <c r="H864" t="s">
        <v>7246</v>
      </c>
      <c r="I864">
        <v>4</v>
      </c>
      <c r="J864" t="s">
        <v>7514</v>
      </c>
      <c r="K864">
        <v>78</v>
      </c>
      <c r="L864" t="s">
        <v>7515</v>
      </c>
      <c r="M864" t="s">
        <v>7516</v>
      </c>
      <c r="N864" t="s">
        <v>7249</v>
      </c>
      <c r="O864" t="s">
        <v>7053</v>
      </c>
      <c r="P864" t="s">
        <v>7517</v>
      </c>
      <c r="Q864" t="s">
        <v>7518</v>
      </c>
      <c r="R864" t="s">
        <v>4340</v>
      </c>
      <c r="S864" s="2">
        <v>41884</v>
      </c>
      <c r="T864">
        <v>0</v>
      </c>
      <c r="U864" t="s">
        <v>7253</v>
      </c>
      <c r="V864">
        <v>1</v>
      </c>
      <c r="W864">
        <v>1</v>
      </c>
      <c r="X864">
        <v>235493</v>
      </c>
      <c r="Y864" t="s">
        <v>1884</v>
      </c>
      <c r="Z864" t="s">
        <v>7518</v>
      </c>
      <c r="AA864" t="s">
        <v>7054</v>
      </c>
      <c r="AB864" t="s">
        <v>45</v>
      </c>
      <c r="AC864" t="s">
        <v>7055</v>
      </c>
    </row>
    <row r="865" spans="1:29">
      <c r="A865" t="s">
        <v>2786</v>
      </c>
      <c r="B865" t="s">
        <v>6204</v>
      </c>
      <c r="C865" t="s">
        <v>2794</v>
      </c>
      <c r="D865" t="s">
        <v>31</v>
      </c>
      <c r="E865" s="1">
        <v>-3061</v>
      </c>
      <c r="F865" t="s">
        <v>757</v>
      </c>
      <c r="G865" t="s">
        <v>1444</v>
      </c>
      <c r="H865" t="s">
        <v>7519</v>
      </c>
      <c r="I865">
        <v>4</v>
      </c>
      <c r="J865" t="s">
        <v>2270</v>
      </c>
      <c r="K865">
        <v>76</v>
      </c>
      <c r="L865" t="s">
        <v>7520</v>
      </c>
      <c r="M865" t="s">
        <v>7521</v>
      </c>
      <c r="N865" t="s">
        <v>7522</v>
      </c>
      <c r="O865" t="s">
        <v>7053</v>
      </c>
      <c r="P865" t="s">
        <v>7523</v>
      </c>
      <c r="Q865" t="s">
        <v>7524</v>
      </c>
      <c r="R865" t="s">
        <v>7522</v>
      </c>
      <c r="S865" s="2">
        <v>43123</v>
      </c>
      <c r="T865">
        <v>0</v>
      </c>
      <c r="U865" t="s">
        <v>7525</v>
      </c>
      <c r="V865">
        <v>1</v>
      </c>
      <c r="W865">
        <v>7</v>
      </c>
      <c r="X865">
        <v>184732</v>
      </c>
      <c r="Y865" t="s">
        <v>1436</v>
      </c>
      <c r="Z865" t="s">
        <v>7524</v>
      </c>
      <c r="AA865" t="s">
        <v>7054</v>
      </c>
      <c r="AB865" t="s">
        <v>45</v>
      </c>
      <c r="AC865" t="s">
        <v>7055</v>
      </c>
    </row>
    <row r="866" spans="1:29">
      <c r="A866" t="s">
        <v>1359</v>
      </c>
      <c r="B866" s="1">
        <v>102819</v>
      </c>
      <c r="C866" t="s">
        <v>1618</v>
      </c>
      <c r="D866" t="s">
        <v>31</v>
      </c>
      <c r="E866" s="1">
        <v>-8985</v>
      </c>
      <c r="F866" t="s">
        <v>3055</v>
      </c>
      <c r="G866" t="s">
        <v>7526</v>
      </c>
      <c r="H866" t="s">
        <v>7527</v>
      </c>
      <c r="I866">
        <v>4</v>
      </c>
      <c r="J866" t="s">
        <v>3294</v>
      </c>
      <c r="K866">
        <v>76</v>
      </c>
      <c r="L866" t="s">
        <v>7528</v>
      </c>
      <c r="M866" t="s">
        <v>7529</v>
      </c>
      <c r="N866" t="s">
        <v>7530</v>
      </c>
      <c r="O866" t="s">
        <v>7053</v>
      </c>
      <c r="P866" t="s">
        <v>7531</v>
      </c>
      <c r="Q866" t="s">
        <v>7532</v>
      </c>
      <c r="R866" t="s">
        <v>7533</v>
      </c>
      <c r="S866" s="2">
        <v>43840</v>
      </c>
      <c r="T866">
        <v>0</v>
      </c>
      <c r="U866" t="s">
        <v>7534</v>
      </c>
      <c r="V866">
        <v>1</v>
      </c>
      <c r="W866">
        <v>4</v>
      </c>
      <c r="X866">
        <v>206459</v>
      </c>
      <c r="Y866" t="s">
        <v>959</v>
      </c>
      <c r="Z866" t="s">
        <v>7532</v>
      </c>
      <c r="AA866" t="s">
        <v>7054</v>
      </c>
      <c r="AB866" t="s">
        <v>45</v>
      </c>
      <c r="AC866" t="s">
        <v>7055</v>
      </c>
    </row>
    <row r="867" spans="1:29">
      <c r="A867" t="s">
        <v>1881</v>
      </c>
      <c r="B867" s="1">
        <v>114066</v>
      </c>
      <c r="C867" t="s">
        <v>435</v>
      </c>
      <c r="D867" t="s">
        <v>31</v>
      </c>
      <c r="E867" s="1">
        <v>-5844</v>
      </c>
      <c r="F867" t="s">
        <v>3950</v>
      </c>
      <c r="G867" t="s">
        <v>585</v>
      </c>
      <c r="H867" t="s">
        <v>7535</v>
      </c>
      <c r="I867">
        <v>4</v>
      </c>
      <c r="J867" t="s">
        <v>7536</v>
      </c>
      <c r="K867">
        <v>76</v>
      </c>
      <c r="L867" t="s">
        <v>7537</v>
      </c>
      <c r="M867" t="s">
        <v>7538</v>
      </c>
      <c r="N867" t="s">
        <v>7539</v>
      </c>
      <c r="O867" t="s">
        <v>7053</v>
      </c>
      <c r="P867" t="s">
        <v>7540</v>
      </c>
      <c r="Q867" t="s">
        <v>7541</v>
      </c>
      <c r="R867" t="s">
        <v>7542</v>
      </c>
      <c r="S867" s="2">
        <v>43637</v>
      </c>
      <c r="T867" t="s">
        <v>7543</v>
      </c>
      <c r="U867" t="s">
        <v>7544</v>
      </c>
      <c r="V867">
        <v>0</v>
      </c>
      <c r="W867">
        <v>7</v>
      </c>
      <c r="X867">
        <v>217099</v>
      </c>
      <c r="Y867" t="s">
        <v>7545</v>
      </c>
      <c r="Z867" t="s">
        <v>7541</v>
      </c>
      <c r="AA867" t="s">
        <v>7054</v>
      </c>
      <c r="AB867" t="s">
        <v>45</v>
      </c>
      <c r="AC867" t="s">
        <v>7055</v>
      </c>
    </row>
    <row r="868" spans="1:29">
      <c r="A868" t="s">
        <v>892</v>
      </c>
      <c r="B868" s="1">
        <v>203812</v>
      </c>
      <c r="C868" t="s">
        <v>145</v>
      </c>
      <c r="D868" t="s">
        <v>31</v>
      </c>
      <c r="E868" s="1">
        <v>-5431</v>
      </c>
      <c r="F868" t="s">
        <v>2043</v>
      </c>
      <c r="G868" t="s">
        <v>240</v>
      </c>
      <c r="H868" t="s">
        <v>266</v>
      </c>
      <c r="I868">
        <v>4</v>
      </c>
      <c r="J868" t="s">
        <v>6215</v>
      </c>
      <c r="K868">
        <v>76</v>
      </c>
      <c r="L868" t="s">
        <v>7546</v>
      </c>
      <c r="M868" t="s">
        <v>7547</v>
      </c>
      <c r="N868" t="s">
        <v>7548</v>
      </c>
      <c r="O868" t="s">
        <v>7053</v>
      </c>
      <c r="P868" t="s">
        <v>7549</v>
      </c>
      <c r="Q868" t="s">
        <v>7550</v>
      </c>
      <c r="R868" t="s">
        <v>7551</v>
      </c>
      <c r="S868" s="2">
        <v>44957</v>
      </c>
      <c r="T868">
        <v>0</v>
      </c>
      <c r="U868" t="s">
        <v>7552</v>
      </c>
      <c r="V868">
        <v>1</v>
      </c>
      <c r="W868">
        <v>6</v>
      </c>
      <c r="X868">
        <v>163855</v>
      </c>
      <c r="Y868" t="s">
        <v>799</v>
      </c>
      <c r="Z868" t="s">
        <v>7550</v>
      </c>
      <c r="AA868" t="s">
        <v>7054</v>
      </c>
      <c r="AB868" t="s">
        <v>45</v>
      </c>
      <c r="AC868" t="s">
        <v>7055</v>
      </c>
    </row>
    <row r="869" spans="1:29">
      <c r="A869" t="s">
        <v>7553</v>
      </c>
      <c r="B869" s="1">
        <v>84876</v>
      </c>
      <c r="C869" t="s">
        <v>1163</v>
      </c>
      <c r="D869" t="s">
        <v>31</v>
      </c>
      <c r="E869" s="1">
        <v>-9504</v>
      </c>
      <c r="F869" t="s">
        <v>3808</v>
      </c>
      <c r="G869" t="s">
        <v>700</v>
      </c>
      <c r="H869" t="s">
        <v>7554</v>
      </c>
      <c r="I869">
        <v>4</v>
      </c>
      <c r="J869" t="s">
        <v>32</v>
      </c>
      <c r="K869">
        <v>76</v>
      </c>
      <c r="L869" t="s">
        <v>7555</v>
      </c>
      <c r="M869" t="s">
        <v>7556</v>
      </c>
      <c r="N869" t="s">
        <v>7557</v>
      </c>
      <c r="O869" t="s">
        <v>7053</v>
      </c>
      <c r="P869" t="s">
        <v>7558</v>
      </c>
      <c r="Q869" t="s">
        <v>7559</v>
      </c>
      <c r="R869" t="s">
        <v>7560</v>
      </c>
      <c r="S869" s="2">
        <v>41544</v>
      </c>
      <c r="T869">
        <v>0</v>
      </c>
      <c r="U869" t="s">
        <v>7561</v>
      </c>
      <c r="V869">
        <v>1</v>
      </c>
      <c r="W869">
        <v>7</v>
      </c>
      <c r="X869">
        <v>190185</v>
      </c>
      <c r="Y869" t="s">
        <v>408</v>
      </c>
      <c r="Z869" t="s">
        <v>7559</v>
      </c>
      <c r="AA869" t="s">
        <v>7054</v>
      </c>
      <c r="AB869" t="s">
        <v>45</v>
      </c>
      <c r="AC869" t="s">
        <v>7055</v>
      </c>
    </row>
    <row r="870" spans="1:29">
      <c r="A870" t="s">
        <v>289</v>
      </c>
      <c r="B870" s="1">
        <v>104036</v>
      </c>
      <c r="C870" t="s">
        <v>377</v>
      </c>
      <c r="D870" t="s">
        <v>31</v>
      </c>
      <c r="E870" s="1">
        <v>-5886</v>
      </c>
      <c r="F870" t="s">
        <v>2795</v>
      </c>
      <c r="G870" t="s">
        <v>292</v>
      </c>
      <c r="H870" t="s">
        <v>7562</v>
      </c>
      <c r="I870">
        <v>4</v>
      </c>
      <c r="J870" t="s">
        <v>4125</v>
      </c>
      <c r="K870">
        <v>75</v>
      </c>
      <c r="L870" t="s">
        <v>7563</v>
      </c>
      <c r="M870" t="s">
        <v>7564</v>
      </c>
      <c r="N870" t="s">
        <v>7565</v>
      </c>
      <c r="O870" t="s">
        <v>7053</v>
      </c>
      <c r="P870" t="s">
        <v>7566</v>
      </c>
      <c r="Q870" t="s">
        <v>7567</v>
      </c>
      <c r="R870" t="s">
        <v>7568</v>
      </c>
      <c r="S870">
        <v>2007</v>
      </c>
      <c r="T870">
        <v>0</v>
      </c>
      <c r="U870" t="s">
        <v>7569</v>
      </c>
      <c r="V870">
        <v>1</v>
      </c>
      <c r="W870">
        <v>5</v>
      </c>
      <c r="X870">
        <v>262467</v>
      </c>
      <c r="Y870" t="s">
        <v>1142</v>
      </c>
      <c r="Z870" t="s">
        <v>7567</v>
      </c>
      <c r="AA870" t="s">
        <v>7054</v>
      </c>
      <c r="AB870" t="s">
        <v>45</v>
      </c>
      <c r="AC870" t="s">
        <v>7055</v>
      </c>
    </row>
    <row r="871" spans="1:29">
      <c r="A871" t="s">
        <v>2590</v>
      </c>
      <c r="B871" s="1">
        <v>94931</v>
      </c>
      <c r="C871" t="s">
        <v>581</v>
      </c>
      <c r="D871" t="s">
        <v>31</v>
      </c>
      <c r="E871" s="1">
        <v>-3862</v>
      </c>
      <c r="F871" t="s">
        <v>1202</v>
      </c>
      <c r="G871" t="s">
        <v>5958</v>
      </c>
      <c r="H871" t="s">
        <v>7570</v>
      </c>
      <c r="I871">
        <v>4</v>
      </c>
      <c r="J871" t="s">
        <v>7571</v>
      </c>
      <c r="K871">
        <v>75</v>
      </c>
      <c r="L871" t="s">
        <v>7572</v>
      </c>
      <c r="M871" t="s">
        <v>7573</v>
      </c>
      <c r="N871" t="s">
        <v>7574</v>
      </c>
      <c r="O871" t="s">
        <v>7053</v>
      </c>
      <c r="P871" t="s">
        <v>7575</v>
      </c>
      <c r="Q871" t="s">
        <v>7576</v>
      </c>
      <c r="R871" t="s">
        <v>7577</v>
      </c>
      <c r="S871" s="2">
        <v>37376</v>
      </c>
      <c r="T871">
        <v>0</v>
      </c>
      <c r="U871" t="s">
        <v>7578</v>
      </c>
      <c r="V871">
        <v>1</v>
      </c>
      <c r="W871">
        <v>11</v>
      </c>
      <c r="X871">
        <v>237493</v>
      </c>
      <c r="Y871" t="s">
        <v>2833</v>
      </c>
      <c r="Z871" t="s">
        <v>7576</v>
      </c>
      <c r="AA871" t="s">
        <v>7054</v>
      </c>
      <c r="AB871" t="s">
        <v>45</v>
      </c>
      <c r="AC871" t="s">
        <v>7055</v>
      </c>
    </row>
    <row r="872" spans="1:29">
      <c r="A872" t="s">
        <v>2972</v>
      </c>
      <c r="B872" s="1">
        <v>119054</v>
      </c>
      <c r="C872" t="s">
        <v>3094</v>
      </c>
      <c r="D872" t="s">
        <v>31</v>
      </c>
      <c r="E872" s="1">
        <v>-4311</v>
      </c>
      <c r="F872" t="s">
        <v>3075</v>
      </c>
      <c r="G872" t="s">
        <v>2390</v>
      </c>
      <c r="H872" t="s">
        <v>4924</v>
      </c>
      <c r="I872">
        <v>4</v>
      </c>
      <c r="J872" t="s">
        <v>1802</v>
      </c>
      <c r="K872">
        <v>75</v>
      </c>
      <c r="L872" t="s">
        <v>7579</v>
      </c>
      <c r="M872" t="s">
        <v>7580</v>
      </c>
      <c r="N872" t="s">
        <v>7581</v>
      </c>
      <c r="O872" t="s">
        <v>7053</v>
      </c>
      <c r="P872" t="s">
        <v>7582</v>
      </c>
      <c r="Q872" t="s">
        <v>7583</v>
      </c>
      <c r="R872" t="s">
        <v>7584</v>
      </c>
      <c r="S872" s="2">
        <v>44295</v>
      </c>
      <c r="T872" t="s">
        <v>7585</v>
      </c>
      <c r="U872" t="s">
        <v>7586</v>
      </c>
      <c r="V872">
        <v>1</v>
      </c>
      <c r="W872">
        <v>2</v>
      </c>
      <c r="X872">
        <v>235767</v>
      </c>
      <c r="Y872" t="s">
        <v>1241</v>
      </c>
      <c r="Z872" t="s">
        <v>7583</v>
      </c>
      <c r="AA872" t="s">
        <v>7054</v>
      </c>
      <c r="AB872" t="s">
        <v>45</v>
      </c>
      <c r="AC872" t="s">
        <v>7055</v>
      </c>
    </row>
    <row r="873" spans="1:29">
      <c r="A873" t="s">
        <v>931</v>
      </c>
      <c r="B873" s="1">
        <v>116947</v>
      </c>
      <c r="C873" t="s">
        <v>6644</v>
      </c>
      <c r="D873" t="s">
        <v>31</v>
      </c>
      <c r="E873" s="1">
        <v>-6039</v>
      </c>
      <c r="F873" t="s">
        <v>3314</v>
      </c>
      <c r="G873" t="s">
        <v>3312</v>
      </c>
      <c r="H873" t="s">
        <v>7587</v>
      </c>
      <c r="I873">
        <v>4</v>
      </c>
      <c r="J873" t="s">
        <v>4383</v>
      </c>
      <c r="K873">
        <v>75</v>
      </c>
      <c r="L873" t="s">
        <v>7588</v>
      </c>
      <c r="M873" t="s">
        <v>7589</v>
      </c>
      <c r="N873" t="s">
        <v>7590</v>
      </c>
      <c r="O873" t="s">
        <v>7053</v>
      </c>
      <c r="P873" t="s">
        <v>7591</v>
      </c>
      <c r="Q873" t="s">
        <v>7592</v>
      </c>
      <c r="R873" t="s">
        <v>7590</v>
      </c>
      <c r="S873" s="2">
        <v>43637</v>
      </c>
      <c r="T873">
        <v>0</v>
      </c>
      <c r="U873" t="s">
        <v>7593</v>
      </c>
      <c r="V873">
        <v>0</v>
      </c>
      <c r="W873">
        <v>9</v>
      </c>
      <c r="X873">
        <v>190960</v>
      </c>
      <c r="Y873" t="s">
        <v>3897</v>
      </c>
      <c r="Z873" t="s">
        <v>7592</v>
      </c>
      <c r="AA873" t="s">
        <v>7054</v>
      </c>
      <c r="AB873" t="s">
        <v>45</v>
      </c>
      <c r="AC873" t="s">
        <v>7055</v>
      </c>
    </row>
    <row r="874" spans="1:29">
      <c r="A874" t="s">
        <v>1536</v>
      </c>
      <c r="B874" s="1">
        <v>159878</v>
      </c>
      <c r="C874" t="s">
        <v>714</v>
      </c>
      <c r="D874" t="s">
        <v>31</v>
      </c>
      <c r="E874" s="1">
        <v>-5099</v>
      </c>
      <c r="F874" t="s">
        <v>2571</v>
      </c>
      <c r="G874" t="s">
        <v>3633</v>
      </c>
      <c r="H874" t="s">
        <v>7594</v>
      </c>
      <c r="I874">
        <v>4</v>
      </c>
      <c r="J874" t="s">
        <v>7595</v>
      </c>
      <c r="K874">
        <v>74</v>
      </c>
      <c r="L874" t="s">
        <v>7596</v>
      </c>
      <c r="M874" t="s">
        <v>7597</v>
      </c>
      <c r="N874" t="s">
        <v>7598</v>
      </c>
      <c r="O874" t="s">
        <v>7053</v>
      </c>
      <c r="P874" t="s">
        <v>7599</v>
      </c>
      <c r="Q874" t="s">
        <v>7600</v>
      </c>
      <c r="R874" t="s">
        <v>7601</v>
      </c>
      <c r="S874" s="2">
        <v>40980</v>
      </c>
      <c r="T874" t="s">
        <v>7602</v>
      </c>
      <c r="U874" t="s">
        <v>7603</v>
      </c>
      <c r="V874">
        <v>1</v>
      </c>
      <c r="W874">
        <v>5</v>
      </c>
      <c r="X874">
        <v>220947</v>
      </c>
      <c r="Y874" t="s">
        <v>4598</v>
      </c>
      <c r="Z874" t="s">
        <v>7600</v>
      </c>
      <c r="AA874" t="s">
        <v>7054</v>
      </c>
      <c r="AB874" t="s">
        <v>45</v>
      </c>
      <c r="AC874" t="s">
        <v>7055</v>
      </c>
    </row>
    <row r="875" spans="1:29">
      <c r="A875" t="s">
        <v>307</v>
      </c>
      <c r="B875" t="s">
        <v>7604</v>
      </c>
      <c r="C875" t="s">
        <v>450</v>
      </c>
      <c r="D875" t="s">
        <v>31</v>
      </c>
      <c r="E875" s="1">
        <v>-9331</v>
      </c>
      <c r="F875" t="s">
        <v>7605</v>
      </c>
      <c r="G875" t="s">
        <v>489</v>
      </c>
      <c r="H875" t="s">
        <v>7606</v>
      </c>
      <c r="I875">
        <v>4</v>
      </c>
      <c r="J875" t="s">
        <v>3526</v>
      </c>
      <c r="K875">
        <v>74</v>
      </c>
      <c r="L875" t="s">
        <v>7607</v>
      </c>
      <c r="M875" t="s">
        <v>7608</v>
      </c>
      <c r="N875" t="s">
        <v>7609</v>
      </c>
      <c r="O875" t="s">
        <v>7053</v>
      </c>
      <c r="P875" t="s">
        <v>7610</v>
      </c>
      <c r="Q875" t="s">
        <v>7611</v>
      </c>
      <c r="R875" t="s">
        <v>7612</v>
      </c>
      <c r="S875" s="2">
        <v>39580</v>
      </c>
      <c r="T875">
        <v>0</v>
      </c>
      <c r="U875" t="s">
        <v>7613</v>
      </c>
      <c r="V875">
        <v>1</v>
      </c>
      <c r="W875">
        <v>11</v>
      </c>
      <c r="X875">
        <v>242947</v>
      </c>
      <c r="Y875" t="s">
        <v>879</v>
      </c>
      <c r="Z875" t="s">
        <v>7611</v>
      </c>
      <c r="AA875" t="s">
        <v>7054</v>
      </c>
      <c r="AB875" t="s">
        <v>45</v>
      </c>
      <c r="AC875" t="s">
        <v>7055</v>
      </c>
    </row>
    <row r="876" spans="1:29">
      <c r="A876" t="s">
        <v>3142</v>
      </c>
      <c r="B876" s="1">
        <v>112027</v>
      </c>
      <c r="C876" t="s">
        <v>5062</v>
      </c>
      <c r="D876" t="s">
        <v>31</v>
      </c>
      <c r="E876" s="1">
        <v>-5113</v>
      </c>
      <c r="F876" t="s">
        <v>1211</v>
      </c>
      <c r="G876" t="s">
        <v>3144</v>
      </c>
      <c r="H876" t="s">
        <v>7614</v>
      </c>
      <c r="I876">
        <v>4</v>
      </c>
      <c r="J876" t="s">
        <v>933</v>
      </c>
      <c r="K876">
        <v>74</v>
      </c>
      <c r="L876" t="s">
        <v>7615</v>
      </c>
      <c r="M876" t="s">
        <v>7616</v>
      </c>
      <c r="N876" t="s">
        <v>7617</v>
      </c>
      <c r="O876" t="s">
        <v>7053</v>
      </c>
      <c r="P876" t="s">
        <v>7618</v>
      </c>
      <c r="Q876" t="s">
        <v>7619</v>
      </c>
      <c r="R876" t="s">
        <v>7620</v>
      </c>
      <c r="S876">
        <v>2001</v>
      </c>
      <c r="T876">
        <v>0</v>
      </c>
      <c r="U876" t="s">
        <v>7621</v>
      </c>
      <c r="V876">
        <v>1</v>
      </c>
      <c r="W876">
        <v>2</v>
      </c>
      <c r="X876">
        <v>208600</v>
      </c>
      <c r="Y876" t="s">
        <v>803</v>
      </c>
      <c r="Z876" t="s">
        <v>7619</v>
      </c>
      <c r="AA876" t="s">
        <v>7054</v>
      </c>
      <c r="AB876" t="s">
        <v>45</v>
      </c>
      <c r="AC876" t="s">
        <v>7055</v>
      </c>
    </row>
    <row r="877" spans="1:29">
      <c r="A877" t="s">
        <v>131</v>
      </c>
      <c r="B877" s="1">
        <v>129062</v>
      </c>
      <c r="C877" t="s">
        <v>1443</v>
      </c>
      <c r="D877" t="s">
        <v>31</v>
      </c>
      <c r="E877" s="1">
        <v>-7036</v>
      </c>
      <c r="F877" t="s">
        <v>6776</v>
      </c>
      <c r="G877" t="s">
        <v>1121</v>
      </c>
      <c r="H877" t="s">
        <v>7622</v>
      </c>
      <c r="I877">
        <v>4</v>
      </c>
      <c r="J877" t="s">
        <v>3897</v>
      </c>
      <c r="K877">
        <v>74</v>
      </c>
      <c r="L877" t="s">
        <v>7623</v>
      </c>
      <c r="M877" t="s">
        <v>7624</v>
      </c>
      <c r="N877" t="s">
        <v>7625</v>
      </c>
      <c r="O877" t="s">
        <v>7053</v>
      </c>
      <c r="P877" t="s">
        <v>7626</v>
      </c>
      <c r="Q877" t="s">
        <v>7627</v>
      </c>
      <c r="R877" t="s">
        <v>7628</v>
      </c>
      <c r="S877" s="2">
        <v>40544</v>
      </c>
      <c r="T877" t="s">
        <v>724</v>
      </c>
      <c r="U877" t="s">
        <v>7629</v>
      </c>
      <c r="V877">
        <v>1</v>
      </c>
      <c r="W877">
        <v>0</v>
      </c>
      <c r="X877">
        <v>244973</v>
      </c>
      <c r="Y877" t="s">
        <v>3670</v>
      </c>
      <c r="Z877" t="s">
        <v>7627</v>
      </c>
      <c r="AA877" t="s">
        <v>7054</v>
      </c>
      <c r="AB877" t="s">
        <v>45</v>
      </c>
      <c r="AC877" t="s">
        <v>7055</v>
      </c>
    </row>
    <row r="878" spans="1:29">
      <c r="A878" t="s">
        <v>1537</v>
      </c>
      <c r="B878" s="1">
        <v>92513</v>
      </c>
      <c r="C878" t="s">
        <v>1152</v>
      </c>
      <c r="D878" t="s">
        <v>31</v>
      </c>
      <c r="E878" s="1">
        <v>-5762</v>
      </c>
      <c r="F878" t="s">
        <v>2580</v>
      </c>
      <c r="G878" t="s">
        <v>1347</v>
      </c>
      <c r="H878" t="s">
        <v>3815</v>
      </c>
      <c r="I878">
        <v>4</v>
      </c>
      <c r="J878" t="s">
        <v>6272</v>
      </c>
      <c r="K878">
        <v>74</v>
      </c>
      <c r="L878" t="s">
        <v>7630</v>
      </c>
      <c r="M878" t="s">
        <v>7631</v>
      </c>
      <c r="N878" t="s">
        <v>7632</v>
      </c>
      <c r="O878" t="s">
        <v>7053</v>
      </c>
      <c r="P878" t="s">
        <v>7633</v>
      </c>
      <c r="Q878" t="s">
        <v>7634</v>
      </c>
      <c r="R878" t="s">
        <v>7635</v>
      </c>
      <c r="S878" s="2">
        <v>41231</v>
      </c>
      <c r="T878" t="s">
        <v>3939</v>
      </c>
      <c r="U878" t="s">
        <v>7636</v>
      </c>
      <c r="V878">
        <v>1</v>
      </c>
      <c r="W878">
        <v>9</v>
      </c>
      <c r="X878">
        <v>224920</v>
      </c>
      <c r="Y878" t="s">
        <v>2022</v>
      </c>
      <c r="Z878" t="s">
        <v>7634</v>
      </c>
      <c r="AA878" t="s">
        <v>7054</v>
      </c>
      <c r="AB878" t="s">
        <v>45</v>
      </c>
      <c r="AC878" t="s">
        <v>7055</v>
      </c>
    </row>
    <row r="879" spans="1:29">
      <c r="A879" t="s">
        <v>131</v>
      </c>
      <c r="B879" s="1">
        <v>103375</v>
      </c>
      <c r="C879" t="s">
        <v>422</v>
      </c>
      <c r="D879" t="s">
        <v>31</v>
      </c>
      <c r="E879" s="1">
        <v>-14222</v>
      </c>
      <c r="F879" t="s">
        <v>797</v>
      </c>
      <c r="G879" t="s">
        <v>2118</v>
      </c>
      <c r="H879" t="s">
        <v>7637</v>
      </c>
      <c r="I879">
        <v>4</v>
      </c>
      <c r="J879" t="s">
        <v>1326</v>
      </c>
      <c r="K879">
        <v>74</v>
      </c>
      <c r="L879" t="s">
        <v>7638</v>
      </c>
      <c r="M879" t="s">
        <v>7639</v>
      </c>
      <c r="N879" t="s">
        <v>7640</v>
      </c>
      <c r="O879" t="s">
        <v>7053</v>
      </c>
      <c r="P879" t="s">
        <v>7641</v>
      </c>
      <c r="Q879" t="s">
        <v>7642</v>
      </c>
      <c r="R879" t="s">
        <v>7643</v>
      </c>
      <c r="S879">
        <v>2006</v>
      </c>
      <c r="T879" t="s">
        <v>7644</v>
      </c>
      <c r="U879" t="s">
        <v>7645</v>
      </c>
      <c r="V879">
        <v>1</v>
      </c>
      <c r="W879">
        <v>9</v>
      </c>
      <c r="X879">
        <v>257187</v>
      </c>
      <c r="Y879" t="s">
        <v>6555</v>
      </c>
      <c r="Z879" t="s">
        <v>7642</v>
      </c>
      <c r="AA879" t="s">
        <v>7054</v>
      </c>
      <c r="AB879" t="s">
        <v>45</v>
      </c>
      <c r="AC879" t="s">
        <v>7055</v>
      </c>
    </row>
    <row r="880" spans="1:29">
      <c r="A880" t="s">
        <v>188</v>
      </c>
      <c r="B880" s="1">
        <v>126684</v>
      </c>
      <c r="C880" t="s">
        <v>6212</v>
      </c>
      <c r="D880" t="s">
        <v>31</v>
      </c>
      <c r="E880" s="1">
        <v>-6319</v>
      </c>
      <c r="F880" t="s">
        <v>7646</v>
      </c>
      <c r="G880" t="s">
        <v>5766</v>
      </c>
      <c r="H880" t="s">
        <v>7647</v>
      </c>
      <c r="I880">
        <v>4</v>
      </c>
      <c r="J880" t="s">
        <v>6558</v>
      </c>
      <c r="K880">
        <v>74</v>
      </c>
      <c r="L880" t="s">
        <v>7648</v>
      </c>
      <c r="M880" t="s">
        <v>7649</v>
      </c>
      <c r="N880" t="s">
        <v>7650</v>
      </c>
      <c r="O880" t="s">
        <v>7053</v>
      </c>
      <c r="P880" t="s">
        <v>7651</v>
      </c>
      <c r="Q880" t="s">
        <v>7652</v>
      </c>
      <c r="R880" t="s">
        <v>7650</v>
      </c>
      <c r="S880" s="2">
        <v>43280</v>
      </c>
      <c r="T880">
        <v>0</v>
      </c>
      <c r="U880" t="s">
        <v>7653</v>
      </c>
      <c r="V880">
        <v>1</v>
      </c>
      <c r="W880">
        <v>11</v>
      </c>
      <c r="X880">
        <v>196373</v>
      </c>
      <c r="Y880" t="s">
        <v>1097</v>
      </c>
      <c r="Z880" t="s">
        <v>7652</v>
      </c>
      <c r="AA880" t="s">
        <v>7054</v>
      </c>
      <c r="AB880" t="s">
        <v>45</v>
      </c>
      <c r="AC880" t="s">
        <v>7055</v>
      </c>
    </row>
    <row r="881" spans="1:29">
      <c r="A881" t="s">
        <v>2974</v>
      </c>
      <c r="B881" s="1">
        <v>74988</v>
      </c>
      <c r="C881" t="s">
        <v>4078</v>
      </c>
      <c r="D881" t="s">
        <v>31</v>
      </c>
      <c r="E881" s="1">
        <v>-5497</v>
      </c>
      <c r="F881" t="s">
        <v>1012</v>
      </c>
      <c r="G881" t="s">
        <v>1335</v>
      </c>
      <c r="H881" t="s">
        <v>7654</v>
      </c>
      <c r="I881">
        <v>4</v>
      </c>
      <c r="J881" t="s">
        <v>295</v>
      </c>
      <c r="K881">
        <v>74</v>
      </c>
      <c r="L881" t="s">
        <v>7655</v>
      </c>
      <c r="M881" t="s">
        <v>7656</v>
      </c>
      <c r="N881" t="s">
        <v>7657</v>
      </c>
      <c r="O881" t="s">
        <v>7053</v>
      </c>
      <c r="P881" t="s">
        <v>7658</v>
      </c>
      <c r="Q881" t="s">
        <v>7659</v>
      </c>
      <c r="R881" t="s">
        <v>7660</v>
      </c>
      <c r="S881" s="2">
        <v>43742</v>
      </c>
      <c r="T881">
        <v>0</v>
      </c>
      <c r="U881" t="s">
        <v>7661</v>
      </c>
      <c r="V881">
        <v>1</v>
      </c>
      <c r="W881">
        <v>2</v>
      </c>
      <c r="X881">
        <v>219801</v>
      </c>
      <c r="Y881" t="s">
        <v>7662</v>
      </c>
      <c r="Z881" t="s">
        <v>7659</v>
      </c>
      <c r="AA881" t="s">
        <v>7054</v>
      </c>
      <c r="AB881" t="s">
        <v>45</v>
      </c>
      <c r="AC881" t="s">
        <v>7055</v>
      </c>
    </row>
    <row r="882" spans="1:29">
      <c r="A882" t="s">
        <v>1062</v>
      </c>
      <c r="B882" s="1">
        <v>72023</v>
      </c>
      <c r="C882" t="s">
        <v>3292</v>
      </c>
      <c r="D882" t="s">
        <v>31</v>
      </c>
      <c r="E882" s="1">
        <v>-12603</v>
      </c>
      <c r="F882" t="s">
        <v>2022</v>
      </c>
      <c r="G882" t="s">
        <v>7663</v>
      </c>
      <c r="H882" t="s">
        <v>7664</v>
      </c>
      <c r="I882">
        <v>3</v>
      </c>
      <c r="J882" t="s">
        <v>229</v>
      </c>
      <c r="K882">
        <v>73</v>
      </c>
      <c r="L882" t="s">
        <v>7665</v>
      </c>
      <c r="M882" t="s">
        <v>7666</v>
      </c>
      <c r="N882" t="s">
        <v>7667</v>
      </c>
      <c r="O882" t="s">
        <v>7053</v>
      </c>
      <c r="P882" t="s">
        <v>7668</v>
      </c>
      <c r="Q882" t="s">
        <v>7669</v>
      </c>
      <c r="R882" t="s">
        <v>7667</v>
      </c>
      <c r="S882" s="2">
        <v>43531</v>
      </c>
      <c r="T882" t="s">
        <v>7670</v>
      </c>
      <c r="U882" t="s">
        <v>7671</v>
      </c>
      <c r="V882">
        <v>0</v>
      </c>
      <c r="W882">
        <v>9</v>
      </c>
      <c r="X882">
        <v>183624</v>
      </c>
      <c r="Y882" t="s">
        <v>4763</v>
      </c>
      <c r="Z882" t="s">
        <v>7669</v>
      </c>
      <c r="AA882" t="s">
        <v>7054</v>
      </c>
      <c r="AB882" t="s">
        <v>45</v>
      </c>
      <c r="AC882" t="s">
        <v>7055</v>
      </c>
    </row>
    <row r="883" spans="1:29">
      <c r="A883" t="s">
        <v>4326</v>
      </c>
      <c r="B883" s="1">
        <v>175924</v>
      </c>
      <c r="C883" t="s">
        <v>1025</v>
      </c>
      <c r="D883" t="s">
        <v>31</v>
      </c>
      <c r="E883" s="1">
        <v>-4987</v>
      </c>
      <c r="F883" t="s">
        <v>1937</v>
      </c>
      <c r="G883" t="s">
        <v>2500</v>
      </c>
      <c r="H883" t="s">
        <v>7672</v>
      </c>
      <c r="I883">
        <v>4</v>
      </c>
      <c r="J883" t="s">
        <v>715</v>
      </c>
      <c r="K883">
        <v>73</v>
      </c>
      <c r="L883" t="s">
        <v>7673</v>
      </c>
      <c r="M883" t="s">
        <v>7674</v>
      </c>
      <c r="N883" t="s">
        <v>7675</v>
      </c>
      <c r="O883" t="s">
        <v>7053</v>
      </c>
      <c r="P883" t="s">
        <v>7676</v>
      </c>
      <c r="Q883" t="s">
        <v>7677</v>
      </c>
      <c r="R883" t="s">
        <v>7678</v>
      </c>
      <c r="S883" s="2">
        <v>42370</v>
      </c>
      <c r="T883">
        <v>0</v>
      </c>
      <c r="U883" t="s">
        <v>7679</v>
      </c>
      <c r="V883">
        <v>1</v>
      </c>
      <c r="W883">
        <v>7</v>
      </c>
      <c r="X883">
        <v>204013</v>
      </c>
      <c r="Y883" t="s">
        <v>2835</v>
      </c>
      <c r="Z883" t="s">
        <v>7677</v>
      </c>
      <c r="AA883" t="s">
        <v>7054</v>
      </c>
      <c r="AB883" t="s">
        <v>45</v>
      </c>
      <c r="AC883" t="s">
        <v>7055</v>
      </c>
    </row>
    <row r="884" spans="1:29">
      <c r="A884" t="s">
        <v>3657</v>
      </c>
      <c r="B884" s="1">
        <v>120012</v>
      </c>
      <c r="C884" t="s">
        <v>3142</v>
      </c>
      <c r="D884" t="s">
        <v>31</v>
      </c>
      <c r="E884" s="1">
        <v>-4582</v>
      </c>
      <c r="F884" t="s">
        <v>2001</v>
      </c>
      <c r="G884" t="s">
        <v>3670</v>
      </c>
      <c r="H884" t="s">
        <v>7594</v>
      </c>
      <c r="I884">
        <v>4</v>
      </c>
      <c r="J884" t="s">
        <v>2324</v>
      </c>
      <c r="K884">
        <v>73</v>
      </c>
      <c r="L884" t="s">
        <v>7680</v>
      </c>
      <c r="M884" t="s">
        <v>7681</v>
      </c>
      <c r="N884" t="s">
        <v>7682</v>
      </c>
      <c r="O884" t="s">
        <v>7053</v>
      </c>
      <c r="P884" t="s">
        <v>7683</v>
      </c>
      <c r="Q884" t="s">
        <v>7684</v>
      </c>
      <c r="R884" t="s">
        <v>7682</v>
      </c>
      <c r="S884" s="2">
        <v>40179</v>
      </c>
      <c r="T884" t="s">
        <v>7685</v>
      </c>
      <c r="U884" t="s">
        <v>7686</v>
      </c>
      <c r="V884">
        <v>1</v>
      </c>
      <c r="W884">
        <v>10</v>
      </c>
      <c r="X884">
        <v>227741</v>
      </c>
      <c r="Y884" t="s">
        <v>7687</v>
      </c>
      <c r="Z884" t="s">
        <v>7684</v>
      </c>
      <c r="AA884" t="s">
        <v>7054</v>
      </c>
      <c r="AB884" t="s">
        <v>45</v>
      </c>
      <c r="AC884" t="s">
        <v>7055</v>
      </c>
    </row>
    <row r="885" spans="1:29">
      <c r="A885" t="s">
        <v>4079</v>
      </c>
      <c r="B885" s="1">
        <v>113608</v>
      </c>
      <c r="C885" t="s">
        <v>538</v>
      </c>
      <c r="D885" t="s">
        <v>31</v>
      </c>
      <c r="E885" s="1">
        <v>-6177</v>
      </c>
      <c r="F885" t="s">
        <v>4744</v>
      </c>
      <c r="G885" t="s">
        <v>655</v>
      </c>
      <c r="H885" t="s">
        <v>7370</v>
      </c>
      <c r="I885">
        <v>4</v>
      </c>
      <c r="J885" t="s">
        <v>7688</v>
      </c>
      <c r="K885">
        <v>72</v>
      </c>
      <c r="L885" t="s">
        <v>7689</v>
      </c>
      <c r="M885" t="s">
        <v>7690</v>
      </c>
      <c r="N885" t="s">
        <v>7691</v>
      </c>
      <c r="O885" t="s">
        <v>7053</v>
      </c>
      <c r="P885" t="s">
        <v>7692</v>
      </c>
      <c r="Q885" t="s">
        <v>7693</v>
      </c>
      <c r="R885" t="s">
        <v>7694</v>
      </c>
      <c r="S885" s="2">
        <v>43021</v>
      </c>
      <c r="T885" t="s">
        <v>7695</v>
      </c>
      <c r="U885" t="s">
        <v>7696</v>
      </c>
      <c r="V885">
        <v>1</v>
      </c>
      <c r="W885">
        <v>1</v>
      </c>
      <c r="X885">
        <v>269600</v>
      </c>
      <c r="Y885" t="s">
        <v>3606</v>
      </c>
      <c r="Z885" t="s">
        <v>7693</v>
      </c>
      <c r="AA885" t="s">
        <v>7054</v>
      </c>
      <c r="AB885" t="s">
        <v>45</v>
      </c>
      <c r="AC885" t="s">
        <v>7055</v>
      </c>
    </row>
    <row r="886" spans="1:29">
      <c r="A886" t="s">
        <v>2830</v>
      </c>
      <c r="B886" s="1">
        <v>89929</v>
      </c>
      <c r="C886" t="s">
        <v>728</v>
      </c>
      <c r="D886" t="s">
        <v>31</v>
      </c>
      <c r="E886" s="1">
        <v>-3015</v>
      </c>
      <c r="F886" t="s">
        <v>1209</v>
      </c>
      <c r="G886" t="s">
        <v>2520</v>
      </c>
      <c r="H886" t="s">
        <v>5380</v>
      </c>
      <c r="I886">
        <v>4</v>
      </c>
      <c r="J886" t="s">
        <v>7697</v>
      </c>
      <c r="K886">
        <v>72</v>
      </c>
      <c r="L886" t="s">
        <v>7698</v>
      </c>
      <c r="M886" t="s">
        <v>7699</v>
      </c>
      <c r="N886" t="s">
        <v>7700</v>
      </c>
      <c r="O886" t="s">
        <v>7053</v>
      </c>
      <c r="P886" t="s">
        <v>7701</v>
      </c>
      <c r="Q886" t="s">
        <v>7702</v>
      </c>
      <c r="R886" t="s">
        <v>7703</v>
      </c>
      <c r="S886" s="2">
        <v>41156</v>
      </c>
      <c r="T886" t="s">
        <v>7704</v>
      </c>
      <c r="U886" t="s">
        <v>7705</v>
      </c>
      <c r="V886">
        <v>1</v>
      </c>
      <c r="W886">
        <v>3</v>
      </c>
      <c r="X886">
        <v>175200</v>
      </c>
      <c r="Y886" t="s">
        <v>2488</v>
      </c>
      <c r="Z886" t="s">
        <v>7702</v>
      </c>
      <c r="AA886" t="s">
        <v>7054</v>
      </c>
      <c r="AB886" t="s">
        <v>45</v>
      </c>
      <c r="AC886" t="s">
        <v>7055</v>
      </c>
    </row>
    <row r="887" spans="1:29">
      <c r="A887" t="s">
        <v>756</v>
      </c>
      <c r="B887" s="1">
        <v>50827</v>
      </c>
      <c r="C887" t="s">
        <v>2060</v>
      </c>
      <c r="D887" t="s">
        <v>31</v>
      </c>
      <c r="E887" s="1">
        <v>-8087</v>
      </c>
      <c r="F887" t="s">
        <v>2917</v>
      </c>
      <c r="G887" t="s">
        <v>701</v>
      </c>
      <c r="H887" t="s">
        <v>7706</v>
      </c>
      <c r="I887">
        <v>4</v>
      </c>
      <c r="J887" t="s">
        <v>6215</v>
      </c>
      <c r="K887">
        <v>72</v>
      </c>
      <c r="L887" t="s">
        <v>7707</v>
      </c>
      <c r="M887" t="s">
        <v>7708</v>
      </c>
      <c r="N887" t="s">
        <v>7709</v>
      </c>
      <c r="O887" t="s">
        <v>7053</v>
      </c>
      <c r="P887" t="s">
        <v>7710</v>
      </c>
      <c r="Q887" t="s">
        <v>7711</v>
      </c>
      <c r="R887" t="s">
        <v>7709</v>
      </c>
      <c r="S887" s="2">
        <v>44104</v>
      </c>
      <c r="T887">
        <v>0</v>
      </c>
      <c r="U887" t="s">
        <v>7712</v>
      </c>
      <c r="V887">
        <v>1</v>
      </c>
      <c r="W887">
        <v>6</v>
      </c>
      <c r="X887">
        <v>217352</v>
      </c>
      <c r="Y887" t="s">
        <v>93</v>
      </c>
      <c r="Z887" t="s">
        <v>7711</v>
      </c>
      <c r="AA887" t="s">
        <v>7054</v>
      </c>
      <c r="AB887" t="s">
        <v>45</v>
      </c>
      <c r="AC887" t="s">
        <v>7055</v>
      </c>
    </row>
    <row r="888" spans="1:29">
      <c r="A888" t="s">
        <v>2390</v>
      </c>
      <c r="B888" s="1">
        <v>114145</v>
      </c>
      <c r="C888" t="s">
        <v>893</v>
      </c>
      <c r="D888" t="s">
        <v>31</v>
      </c>
      <c r="E888" s="1">
        <v>-6852</v>
      </c>
      <c r="F888" t="s">
        <v>5425</v>
      </c>
      <c r="G888" t="s">
        <v>1010</v>
      </c>
      <c r="H888" t="s">
        <v>7713</v>
      </c>
      <c r="I888">
        <v>4</v>
      </c>
      <c r="J888" t="s">
        <v>7714</v>
      </c>
      <c r="K888">
        <v>72</v>
      </c>
      <c r="L888" t="s">
        <v>7715</v>
      </c>
      <c r="M888" t="s">
        <v>7716</v>
      </c>
      <c r="N888" t="s">
        <v>7717</v>
      </c>
      <c r="O888" t="s">
        <v>7053</v>
      </c>
      <c r="P888" t="s">
        <v>7718</v>
      </c>
      <c r="Q888" t="s">
        <v>7719</v>
      </c>
      <c r="R888" t="s">
        <v>7720</v>
      </c>
      <c r="S888" s="2">
        <v>42944</v>
      </c>
      <c r="T888">
        <v>0</v>
      </c>
      <c r="U888" t="s">
        <v>7721</v>
      </c>
      <c r="V888">
        <v>1</v>
      </c>
      <c r="W888">
        <v>8</v>
      </c>
      <c r="X888">
        <v>176320</v>
      </c>
      <c r="Y888" t="s">
        <v>5073</v>
      </c>
      <c r="Z888" t="s">
        <v>7719</v>
      </c>
      <c r="AA888" t="s">
        <v>7054</v>
      </c>
      <c r="AB888" t="s">
        <v>45</v>
      </c>
      <c r="AC888" t="s">
        <v>7055</v>
      </c>
    </row>
    <row r="889" spans="1:29">
      <c r="A889" t="s">
        <v>2219</v>
      </c>
      <c r="B889" s="1">
        <v>147873</v>
      </c>
      <c r="C889" t="s">
        <v>6377</v>
      </c>
      <c r="D889" t="s">
        <v>31</v>
      </c>
      <c r="E889" t="s">
        <v>7722</v>
      </c>
      <c r="F889" t="s">
        <v>7723</v>
      </c>
      <c r="G889" t="s">
        <v>7724</v>
      </c>
      <c r="H889" t="s">
        <v>7725</v>
      </c>
      <c r="I889">
        <v>4</v>
      </c>
      <c r="J889" t="s">
        <v>7064</v>
      </c>
      <c r="K889">
        <v>72</v>
      </c>
      <c r="L889" t="s">
        <v>7726</v>
      </c>
      <c r="M889" t="s">
        <v>7727</v>
      </c>
      <c r="N889" t="s">
        <v>7728</v>
      </c>
      <c r="O889" t="s">
        <v>7053</v>
      </c>
      <c r="P889" t="s">
        <v>7729</v>
      </c>
      <c r="Q889" t="s">
        <v>7730</v>
      </c>
      <c r="R889" t="s">
        <v>7731</v>
      </c>
      <c r="S889" s="2">
        <v>43350</v>
      </c>
      <c r="T889">
        <v>0</v>
      </c>
      <c r="U889" t="s">
        <v>7732</v>
      </c>
      <c r="V889">
        <v>1</v>
      </c>
      <c r="W889">
        <v>5</v>
      </c>
      <c r="X889">
        <v>274693</v>
      </c>
      <c r="Y889" t="s">
        <v>3311</v>
      </c>
      <c r="Z889" t="s">
        <v>7730</v>
      </c>
      <c r="AA889" t="s">
        <v>7054</v>
      </c>
      <c r="AB889" t="s">
        <v>45</v>
      </c>
      <c r="AC889" t="s">
        <v>7055</v>
      </c>
    </row>
    <row r="890" spans="1:29">
      <c r="A890" t="s">
        <v>4485</v>
      </c>
      <c r="B890" s="1">
        <v>75801</v>
      </c>
      <c r="C890" t="s">
        <v>771</v>
      </c>
      <c r="D890" t="s">
        <v>31</v>
      </c>
      <c r="E890" s="1">
        <v>-10086</v>
      </c>
      <c r="F890" t="s">
        <v>1528</v>
      </c>
      <c r="G890" t="s">
        <v>215</v>
      </c>
      <c r="H890" t="s">
        <v>7733</v>
      </c>
      <c r="I890">
        <v>4</v>
      </c>
      <c r="J890" t="s">
        <v>715</v>
      </c>
      <c r="K890">
        <v>72</v>
      </c>
      <c r="L890" t="s">
        <v>7734</v>
      </c>
      <c r="M890" t="s">
        <v>7735</v>
      </c>
      <c r="N890" t="s">
        <v>7736</v>
      </c>
      <c r="O890" t="s">
        <v>7053</v>
      </c>
      <c r="P890" t="s">
        <v>7737</v>
      </c>
      <c r="Q890" t="s">
        <v>7738</v>
      </c>
      <c r="R890" t="s">
        <v>7736</v>
      </c>
      <c r="S890" s="2">
        <v>43755</v>
      </c>
      <c r="T890">
        <v>0</v>
      </c>
      <c r="U890" t="s">
        <v>7739</v>
      </c>
      <c r="V890">
        <v>1</v>
      </c>
      <c r="W890">
        <v>1</v>
      </c>
      <c r="X890">
        <v>208687</v>
      </c>
      <c r="Y890" t="s">
        <v>3457</v>
      </c>
      <c r="Z890" t="s">
        <v>7738</v>
      </c>
      <c r="AA890" t="s">
        <v>7054</v>
      </c>
      <c r="AB890" t="s">
        <v>45</v>
      </c>
      <c r="AC890" t="s">
        <v>7055</v>
      </c>
    </row>
    <row r="891" spans="1:29">
      <c r="A891" t="s">
        <v>1121</v>
      </c>
      <c r="B891" s="1">
        <v>79983</v>
      </c>
      <c r="C891" t="s">
        <v>666</v>
      </c>
      <c r="D891" t="s">
        <v>31</v>
      </c>
      <c r="E891" s="1">
        <v>-5908</v>
      </c>
      <c r="F891" t="s">
        <v>303</v>
      </c>
      <c r="G891" t="s">
        <v>475</v>
      </c>
      <c r="H891" t="s">
        <v>7740</v>
      </c>
      <c r="I891">
        <v>4</v>
      </c>
      <c r="J891" t="s">
        <v>6076</v>
      </c>
      <c r="K891">
        <v>71</v>
      </c>
      <c r="L891" t="s">
        <v>7741</v>
      </c>
      <c r="M891" t="s">
        <v>7742</v>
      </c>
      <c r="N891" t="s">
        <v>7743</v>
      </c>
      <c r="O891" t="s">
        <v>7053</v>
      </c>
      <c r="P891" t="s">
        <v>7744</v>
      </c>
      <c r="Q891" t="s">
        <v>7745</v>
      </c>
      <c r="R891" t="s">
        <v>7746</v>
      </c>
      <c r="S891" s="2">
        <v>39769</v>
      </c>
      <c r="T891">
        <v>0</v>
      </c>
      <c r="U891" t="s">
        <v>7747</v>
      </c>
      <c r="V891">
        <v>0</v>
      </c>
      <c r="W891">
        <v>11</v>
      </c>
      <c r="X891">
        <v>261640</v>
      </c>
      <c r="Y891" t="s">
        <v>2416</v>
      </c>
      <c r="Z891" t="s">
        <v>7745</v>
      </c>
      <c r="AA891" t="s">
        <v>7054</v>
      </c>
      <c r="AB891" t="s">
        <v>45</v>
      </c>
      <c r="AC891" t="s">
        <v>7055</v>
      </c>
    </row>
    <row r="892" spans="1:29">
      <c r="A892" t="s">
        <v>377</v>
      </c>
      <c r="B892" s="1">
        <v>184086</v>
      </c>
      <c r="C892" t="s">
        <v>4004</v>
      </c>
      <c r="D892" t="s">
        <v>31</v>
      </c>
      <c r="E892" s="1">
        <v>-5576</v>
      </c>
      <c r="F892" t="s">
        <v>7748</v>
      </c>
      <c r="G892" t="s">
        <v>1279</v>
      </c>
      <c r="H892" t="s">
        <v>7749</v>
      </c>
      <c r="I892">
        <v>4</v>
      </c>
      <c r="J892" t="s">
        <v>7750</v>
      </c>
      <c r="K892">
        <v>71</v>
      </c>
      <c r="L892" t="s">
        <v>7751</v>
      </c>
      <c r="M892" t="s">
        <v>7752</v>
      </c>
      <c r="N892" t="s">
        <v>7753</v>
      </c>
      <c r="O892" t="s">
        <v>7053</v>
      </c>
      <c r="P892" t="s">
        <v>7754</v>
      </c>
      <c r="Q892" t="s">
        <v>7755</v>
      </c>
      <c r="R892" t="s">
        <v>7756</v>
      </c>
      <c r="S892" s="2">
        <v>40960</v>
      </c>
      <c r="T892" t="s">
        <v>7757</v>
      </c>
      <c r="U892" t="s">
        <v>7758</v>
      </c>
      <c r="V892">
        <v>1</v>
      </c>
      <c r="W892">
        <v>10</v>
      </c>
      <c r="X892">
        <v>250627</v>
      </c>
      <c r="Y892" t="s">
        <v>7759</v>
      </c>
      <c r="Z892" t="s">
        <v>7755</v>
      </c>
      <c r="AA892" t="s">
        <v>7054</v>
      </c>
      <c r="AB892" t="s">
        <v>45</v>
      </c>
      <c r="AC892" t="s">
        <v>7055</v>
      </c>
    </row>
    <row r="893" spans="1:29">
      <c r="A893" t="s">
        <v>513</v>
      </c>
      <c r="B893" t="s">
        <v>7760</v>
      </c>
      <c r="C893" t="s">
        <v>3949</v>
      </c>
      <c r="D893" t="s">
        <v>31</v>
      </c>
      <c r="E893" s="1">
        <v>-5415</v>
      </c>
      <c r="F893" t="s">
        <v>2001</v>
      </c>
      <c r="G893" t="s">
        <v>2389</v>
      </c>
      <c r="H893" t="s">
        <v>3815</v>
      </c>
      <c r="I893">
        <v>4</v>
      </c>
      <c r="J893" t="s">
        <v>323</v>
      </c>
      <c r="K893">
        <v>71</v>
      </c>
      <c r="L893" t="s">
        <v>7761</v>
      </c>
      <c r="M893" t="s">
        <v>7762</v>
      </c>
      <c r="N893" t="s">
        <v>7763</v>
      </c>
      <c r="O893" t="s">
        <v>7053</v>
      </c>
      <c r="P893" t="s">
        <v>7764</v>
      </c>
      <c r="Q893" t="s">
        <v>7765</v>
      </c>
      <c r="R893" t="s">
        <v>3971</v>
      </c>
      <c r="S893" s="2">
        <v>39395</v>
      </c>
      <c r="T893" t="s">
        <v>7766</v>
      </c>
      <c r="U893" t="s">
        <v>7767</v>
      </c>
      <c r="V893">
        <v>0</v>
      </c>
      <c r="W893">
        <v>1</v>
      </c>
      <c r="X893">
        <v>253813</v>
      </c>
      <c r="Y893" t="s">
        <v>373</v>
      </c>
      <c r="Z893" t="s">
        <v>7765</v>
      </c>
      <c r="AA893" t="s">
        <v>7054</v>
      </c>
      <c r="AB893" t="s">
        <v>45</v>
      </c>
      <c r="AC893" t="s">
        <v>7055</v>
      </c>
    </row>
    <row r="894" spans="1:29">
      <c r="A894" t="s">
        <v>332</v>
      </c>
      <c r="B894" t="s">
        <v>7768</v>
      </c>
      <c r="C894" t="s">
        <v>1310</v>
      </c>
      <c r="D894" t="s">
        <v>31</v>
      </c>
      <c r="E894" s="1">
        <v>-3304</v>
      </c>
      <c r="F894" t="s">
        <v>178</v>
      </c>
      <c r="G894" t="s">
        <v>7769</v>
      </c>
      <c r="H894" t="s">
        <v>7637</v>
      </c>
      <c r="I894">
        <v>4</v>
      </c>
      <c r="J894" t="s">
        <v>6004</v>
      </c>
      <c r="K894">
        <v>70</v>
      </c>
      <c r="L894" t="s">
        <v>7770</v>
      </c>
      <c r="M894" t="s">
        <v>7771</v>
      </c>
      <c r="N894" t="s">
        <v>7772</v>
      </c>
      <c r="O894" t="s">
        <v>7053</v>
      </c>
      <c r="P894" t="s">
        <v>7773</v>
      </c>
      <c r="Q894" t="s">
        <v>7774</v>
      </c>
      <c r="R894" t="s">
        <v>7772</v>
      </c>
      <c r="S894" s="2">
        <v>39017</v>
      </c>
      <c r="T894" t="s">
        <v>7775</v>
      </c>
      <c r="U894" t="s">
        <v>7776</v>
      </c>
      <c r="V894">
        <v>1</v>
      </c>
      <c r="W894">
        <v>10</v>
      </c>
      <c r="X894">
        <v>240440</v>
      </c>
      <c r="Y894" t="s">
        <v>1723</v>
      </c>
      <c r="Z894" t="s">
        <v>7774</v>
      </c>
      <c r="AA894" t="s">
        <v>7054</v>
      </c>
      <c r="AB894" t="s">
        <v>45</v>
      </c>
      <c r="AC894" t="s">
        <v>7055</v>
      </c>
    </row>
    <row r="895" spans="1:29">
      <c r="A895" t="s">
        <v>3409</v>
      </c>
      <c r="B895" s="1">
        <v>89991</v>
      </c>
      <c r="C895" t="s">
        <v>1480</v>
      </c>
      <c r="D895" t="s">
        <v>31</v>
      </c>
      <c r="E895" s="1">
        <v>-4644</v>
      </c>
      <c r="F895" t="s">
        <v>160</v>
      </c>
      <c r="G895" t="s">
        <v>713</v>
      </c>
      <c r="H895" t="s">
        <v>7777</v>
      </c>
      <c r="I895">
        <v>4</v>
      </c>
      <c r="J895" t="s">
        <v>5735</v>
      </c>
      <c r="K895">
        <v>70</v>
      </c>
      <c r="L895" t="s">
        <v>7778</v>
      </c>
      <c r="M895" t="s">
        <v>7779</v>
      </c>
      <c r="N895" t="s">
        <v>7780</v>
      </c>
      <c r="O895" t="s">
        <v>7053</v>
      </c>
      <c r="P895" t="s">
        <v>7781</v>
      </c>
      <c r="Q895" t="s">
        <v>7782</v>
      </c>
      <c r="R895" t="s">
        <v>7780</v>
      </c>
      <c r="S895" s="2">
        <v>43742</v>
      </c>
      <c r="T895">
        <v>0</v>
      </c>
      <c r="U895" t="s">
        <v>7783</v>
      </c>
      <c r="V895">
        <v>1</v>
      </c>
      <c r="W895">
        <v>10</v>
      </c>
      <c r="X895">
        <v>167693</v>
      </c>
      <c r="Y895" t="s">
        <v>1599</v>
      </c>
      <c r="Z895" t="s">
        <v>7782</v>
      </c>
      <c r="AA895" t="s">
        <v>7054</v>
      </c>
      <c r="AB895" t="s">
        <v>45</v>
      </c>
      <c r="AC895" t="s">
        <v>7055</v>
      </c>
    </row>
    <row r="896" spans="1:29">
      <c r="A896" t="s">
        <v>2854</v>
      </c>
      <c r="B896" s="1">
        <v>118582</v>
      </c>
      <c r="C896" t="s">
        <v>983</v>
      </c>
      <c r="D896" t="s">
        <v>31</v>
      </c>
      <c r="E896" s="1">
        <v>-7031</v>
      </c>
      <c r="F896" t="s">
        <v>463</v>
      </c>
      <c r="G896" t="s">
        <v>2766</v>
      </c>
      <c r="H896" t="s">
        <v>7784</v>
      </c>
      <c r="I896">
        <v>4</v>
      </c>
      <c r="J896" t="s">
        <v>67</v>
      </c>
      <c r="K896">
        <v>70</v>
      </c>
      <c r="L896" t="s">
        <v>7785</v>
      </c>
      <c r="M896" t="s">
        <v>7786</v>
      </c>
      <c r="N896" t="s">
        <v>7787</v>
      </c>
      <c r="O896" t="s">
        <v>7053</v>
      </c>
      <c r="P896" t="s">
        <v>7788</v>
      </c>
      <c r="Q896" t="s">
        <v>7789</v>
      </c>
      <c r="R896" t="s">
        <v>7790</v>
      </c>
      <c r="S896" s="2">
        <v>42244</v>
      </c>
      <c r="T896">
        <v>0</v>
      </c>
      <c r="U896" t="s">
        <v>7791</v>
      </c>
      <c r="V896">
        <v>1</v>
      </c>
      <c r="W896">
        <v>1</v>
      </c>
      <c r="X896">
        <v>253342</v>
      </c>
      <c r="Y896" t="s">
        <v>1023</v>
      </c>
      <c r="Z896" t="s">
        <v>7789</v>
      </c>
      <c r="AA896" t="s">
        <v>7054</v>
      </c>
      <c r="AB896" t="s">
        <v>45</v>
      </c>
      <c r="AC896" t="s">
        <v>7055</v>
      </c>
    </row>
    <row r="897" spans="1:29">
      <c r="A897" t="s">
        <v>7081</v>
      </c>
      <c r="B897" s="1">
        <v>130007</v>
      </c>
      <c r="C897" t="s">
        <v>1598</v>
      </c>
      <c r="D897" t="s">
        <v>31</v>
      </c>
      <c r="E897" s="1">
        <v>-4645</v>
      </c>
      <c r="F897" t="s">
        <v>7792</v>
      </c>
      <c r="G897" t="s">
        <v>1300</v>
      </c>
      <c r="H897" t="s">
        <v>7594</v>
      </c>
      <c r="I897">
        <v>4</v>
      </c>
      <c r="J897" t="s">
        <v>7793</v>
      </c>
      <c r="K897">
        <v>70</v>
      </c>
      <c r="L897" t="s">
        <v>7794</v>
      </c>
      <c r="M897" t="s">
        <v>7795</v>
      </c>
      <c r="N897" t="s">
        <v>7598</v>
      </c>
      <c r="O897" t="s">
        <v>7053</v>
      </c>
      <c r="P897" t="s">
        <v>7796</v>
      </c>
      <c r="Q897" t="s">
        <v>7797</v>
      </c>
      <c r="R897" t="s">
        <v>7798</v>
      </c>
      <c r="S897" s="2">
        <v>40909</v>
      </c>
      <c r="T897">
        <v>0</v>
      </c>
      <c r="U897" t="s">
        <v>7799</v>
      </c>
      <c r="V897">
        <v>1</v>
      </c>
      <c r="W897">
        <v>5</v>
      </c>
      <c r="X897">
        <v>216160</v>
      </c>
      <c r="Y897" t="s">
        <v>7800</v>
      </c>
      <c r="Z897" t="s">
        <v>7797</v>
      </c>
      <c r="AA897" t="s">
        <v>7054</v>
      </c>
      <c r="AB897" t="s">
        <v>45</v>
      </c>
      <c r="AC897" t="s">
        <v>7055</v>
      </c>
    </row>
    <row r="898" spans="1:29">
      <c r="A898" t="s">
        <v>2751</v>
      </c>
      <c r="B898" s="1">
        <v>74541</v>
      </c>
      <c r="C898" t="s">
        <v>1264</v>
      </c>
      <c r="D898" t="s">
        <v>31</v>
      </c>
      <c r="E898" s="1">
        <v>-6142</v>
      </c>
      <c r="F898" t="s">
        <v>408</v>
      </c>
      <c r="G898" t="s">
        <v>7801</v>
      </c>
      <c r="H898" t="s">
        <v>7802</v>
      </c>
      <c r="I898">
        <v>4</v>
      </c>
      <c r="J898" t="s">
        <v>1040</v>
      </c>
      <c r="K898">
        <v>69</v>
      </c>
      <c r="L898" t="s">
        <v>7803</v>
      </c>
      <c r="M898" t="s">
        <v>7804</v>
      </c>
      <c r="N898" t="s">
        <v>7805</v>
      </c>
      <c r="O898" t="s">
        <v>7053</v>
      </c>
      <c r="P898" t="s">
        <v>7806</v>
      </c>
      <c r="Q898" t="s">
        <v>7807</v>
      </c>
      <c r="R898" t="s">
        <v>7808</v>
      </c>
      <c r="S898" s="2">
        <v>40673</v>
      </c>
      <c r="T898">
        <v>0</v>
      </c>
      <c r="U898" t="s">
        <v>7809</v>
      </c>
      <c r="V898">
        <v>1</v>
      </c>
      <c r="W898">
        <v>3</v>
      </c>
      <c r="X898">
        <v>246587</v>
      </c>
      <c r="Y898" t="s">
        <v>2151</v>
      </c>
      <c r="Z898" t="s">
        <v>7807</v>
      </c>
      <c r="AA898" t="s">
        <v>7054</v>
      </c>
      <c r="AB898" t="s">
        <v>45</v>
      </c>
      <c r="AC898" t="s">
        <v>7055</v>
      </c>
    </row>
    <row r="899" spans="1:29">
      <c r="A899" t="s">
        <v>250</v>
      </c>
      <c r="B899" s="1">
        <v>117089</v>
      </c>
      <c r="C899" t="s">
        <v>772</v>
      </c>
      <c r="D899" t="s">
        <v>31</v>
      </c>
      <c r="E899" t="s">
        <v>7810</v>
      </c>
      <c r="F899" t="s">
        <v>3010</v>
      </c>
      <c r="G899" t="s">
        <v>3633</v>
      </c>
      <c r="H899" t="s">
        <v>7100</v>
      </c>
      <c r="I899">
        <v>5</v>
      </c>
      <c r="J899" t="s">
        <v>3747</v>
      </c>
      <c r="K899">
        <v>69</v>
      </c>
      <c r="L899" t="s">
        <v>7811</v>
      </c>
      <c r="M899" t="s">
        <v>7812</v>
      </c>
      <c r="N899" t="s">
        <v>7813</v>
      </c>
      <c r="O899" t="s">
        <v>7053</v>
      </c>
      <c r="P899" t="s">
        <v>7814</v>
      </c>
      <c r="Q899" t="s">
        <v>7815</v>
      </c>
      <c r="R899" t="s">
        <v>7816</v>
      </c>
      <c r="S899" s="2">
        <v>42128</v>
      </c>
      <c r="T899" t="s">
        <v>7817</v>
      </c>
      <c r="U899" t="s">
        <v>7818</v>
      </c>
      <c r="V899">
        <v>1</v>
      </c>
      <c r="W899">
        <v>1</v>
      </c>
      <c r="X899">
        <v>216120</v>
      </c>
      <c r="Y899" t="s">
        <v>7819</v>
      </c>
      <c r="Z899" t="s">
        <v>7815</v>
      </c>
      <c r="AA899" t="s">
        <v>7054</v>
      </c>
      <c r="AB899" t="s">
        <v>45</v>
      </c>
      <c r="AC899" t="s">
        <v>7055</v>
      </c>
    </row>
    <row r="900" spans="1:29">
      <c r="A900" t="s">
        <v>1666</v>
      </c>
      <c r="B900" t="s">
        <v>7820</v>
      </c>
      <c r="C900" t="s">
        <v>2905</v>
      </c>
      <c r="D900" t="s">
        <v>31</v>
      </c>
      <c r="E900" s="1">
        <v>-4951</v>
      </c>
      <c r="F900" t="s">
        <v>2013</v>
      </c>
      <c r="G900" t="s">
        <v>7821</v>
      </c>
      <c r="H900" t="s">
        <v>7822</v>
      </c>
      <c r="I900">
        <v>4</v>
      </c>
      <c r="J900" t="s">
        <v>1453</v>
      </c>
      <c r="K900">
        <v>69</v>
      </c>
      <c r="L900" t="s">
        <v>7823</v>
      </c>
      <c r="M900" t="s">
        <v>7824</v>
      </c>
      <c r="N900" t="s">
        <v>7825</v>
      </c>
      <c r="O900" t="s">
        <v>7053</v>
      </c>
      <c r="P900" t="s">
        <v>7826</v>
      </c>
      <c r="Q900" t="s">
        <v>7827</v>
      </c>
      <c r="R900" t="s">
        <v>7825</v>
      </c>
      <c r="S900" s="2">
        <v>43903</v>
      </c>
      <c r="T900" t="s">
        <v>7828</v>
      </c>
      <c r="U900" t="s">
        <v>7829</v>
      </c>
      <c r="V900">
        <v>1</v>
      </c>
      <c r="W900">
        <v>4</v>
      </c>
      <c r="X900">
        <v>230880</v>
      </c>
      <c r="Y900" t="s">
        <v>3543</v>
      </c>
      <c r="Z900" t="s">
        <v>7827</v>
      </c>
      <c r="AA900" t="s">
        <v>7054</v>
      </c>
      <c r="AB900" t="s">
        <v>45</v>
      </c>
      <c r="AC900" t="s">
        <v>7055</v>
      </c>
    </row>
    <row r="901" spans="1:29">
      <c r="A901" t="s">
        <v>3974</v>
      </c>
      <c r="B901" s="1">
        <v>143994</v>
      </c>
      <c r="C901" t="s">
        <v>2151</v>
      </c>
      <c r="D901" t="s">
        <v>31</v>
      </c>
      <c r="E901" s="1">
        <v>-4165</v>
      </c>
      <c r="F901" t="s">
        <v>4712</v>
      </c>
      <c r="G901" t="s">
        <v>2116</v>
      </c>
      <c r="H901" t="s">
        <v>6476</v>
      </c>
      <c r="I901">
        <v>4</v>
      </c>
      <c r="J901" t="s">
        <v>136</v>
      </c>
      <c r="K901">
        <v>89</v>
      </c>
      <c r="L901" t="s">
        <v>6485</v>
      </c>
      <c r="M901" t="s">
        <v>6486</v>
      </c>
      <c r="N901" t="s">
        <v>6487</v>
      </c>
      <c r="O901" t="s">
        <v>7830</v>
      </c>
      <c r="P901" t="s">
        <v>6488</v>
      </c>
      <c r="Q901" t="s">
        <v>6489</v>
      </c>
      <c r="R901" t="s">
        <v>6490</v>
      </c>
      <c r="S901" s="2">
        <v>41250</v>
      </c>
      <c r="T901">
        <v>0</v>
      </c>
      <c r="U901" t="s">
        <v>6491</v>
      </c>
      <c r="V901">
        <v>1</v>
      </c>
      <c r="W901">
        <v>5</v>
      </c>
      <c r="X901">
        <v>233478</v>
      </c>
      <c r="Y901" t="s">
        <v>5255</v>
      </c>
      <c r="Z901" t="s">
        <v>6489</v>
      </c>
      <c r="AA901" t="s">
        <v>7831</v>
      </c>
      <c r="AB901" t="s">
        <v>45</v>
      </c>
      <c r="AC901" t="s">
        <v>7832</v>
      </c>
    </row>
    <row r="902" spans="1:29">
      <c r="A902" t="s">
        <v>202</v>
      </c>
      <c r="B902" s="1">
        <v>186003</v>
      </c>
      <c r="C902" t="s">
        <v>3687</v>
      </c>
      <c r="D902" t="s">
        <v>31</v>
      </c>
      <c r="E902" s="1">
        <v>-7015</v>
      </c>
      <c r="F902" t="s">
        <v>2043</v>
      </c>
      <c r="G902" t="s">
        <v>930</v>
      </c>
      <c r="H902" t="s">
        <v>7833</v>
      </c>
      <c r="I902">
        <v>4</v>
      </c>
      <c r="J902" t="s">
        <v>3907</v>
      </c>
      <c r="K902">
        <v>87</v>
      </c>
      <c r="L902" t="s">
        <v>7834</v>
      </c>
      <c r="M902" t="s">
        <v>7835</v>
      </c>
      <c r="N902" t="s">
        <v>7836</v>
      </c>
      <c r="O902" t="s">
        <v>7830</v>
      </c>
      <c r="P902" t="s">
        <v>7837</v>
      </c>
      <c r="Q902" t="s">
        <v>7838</v>
      </c>
      <c r="R902" t="s">
        <v>7836</v>
      </c>
      <c r="S902" s="2">
        <v>42699</v>
      </c>
      <c r="T902" t="s">
        <v>7839</v>
      </c>
      <c r="U902" t="s">
        <v>7840</v>
      </c>
      <c r="V902">
        <v>1</v>
      </c>
      <c r="W902">
        <v>7</v>
      </c>
      <c r="X902">
        <v>230453</v>
      </c>
      <c r="Y902" t="s">
        <v>595</v>
      </c>
      <c r="Z902" t="s">
        <v>7838</v>
      </c>
      <c r="AA902" t="s">
        <v>7831</v>
      </c>
      <c r="AB902" t="s">
        <v>45</v>
      </c>
      <c r="AC902" t="s">
        <v>7832</v>
      </c>
    </row>
    <row r="903" spans="1:29">
      <c r="A903" t="s">
        <v>119</v>
      </c>
      <c r="B903" s="1">
        <v>112238</v>
      </c>
      <c r="C903" t="s">
        <v>5642</v>
      </c>
      <c r="D903" t="s">
        <v>31</v>
      </c>
      <c r="E903" s="1">
        <v>-2827</v>
      </c>
      <c r="F903" t="s">
        <v>5956</v>
      </c>
      <c r="G903" t="s">
        <v>1584</v>
      </c>
      <c r="H903" t="s">
        <v>5046</v>
      </c>
      <c r="I903">
        <v>4</v>
      </c>
      <c r="J903" t="s">
        <v>6290</v>
      </c>
      <c r="K903">
        <v>86</v>
      </c>
      <c r="L903" t="s">
        <v>7841</v>
      </c>
      <c r="M903" t="s">
        <v>7842</v>
      </c>
      <c r="N903" t="s">
        <v>7843</v>
      </c>
      <c r="O903" t="s">
        <v>7830</v>
      </c>
      <c r="P903" t="s">
        <v>7844</v>
      </c>
      <c r="Q903" t="s">
        <v>7845</v>
      </c>
      <c r="R903" t="s">
        <v>7491</v>
      </c>
      <c r="S903" s="2">
        <v>37402</v>
      </c>
      <c r="T903">
        <v>0</v>
      </c>
      <c r="U903" t="s">
        <v>7846</v>
      </c>
      <c r="V903">
        <v>1</v>
      </c>
      <c r="W903">
        <v>7</v>
      </c>
      <c r="X903">
        <v>290320</v>
      </c>
      <c r="Y903" t="s">
        <v>7847</v>
      </c>
      <c r="Z903" t="s">
        <v>7845</v>
      </c>
      <c r="AA903" t="s">
        <v>7831</v>
      </c>
      <c r="AB903" t="s">
        <v>45</v>
      </c>
      <c r="AC903" t="s">
        <v>7832</v>
      </c>
    </row>
    <row r="904" spans="1:29">
      <c r="A904" t="s">
        <v>1335</v>
      </c>
      <c r="B904" s="1">
        <v>95977</v>
      </c>
      <c r="C904" t="s">
        <v>2590</v>
      </c>
      <c r="D904" t="s">
        <v>31</v>
      </c>
      <c r="E904" s="1">
        <v>-3183</v>
      </c>
      <c r="F904" t="s">
        <v>2906</v>
      </c>
      <c r="G904" t="s">
        <v>918</v>
      </c>
      <c r="H904" t="s">
        <v>7156</v>
      </c>
      <c r="I904">
        <v>4</v>
      </c>
      <c r="J904" t="s">
        <v>7017</v>
      </c>
      <c r="K904">
        <v>86</v>
      </c>
      <c r="L904" t="s">
        <v>7157</v>
      </c>
      <c r="M904" t="s">
        <v>7158</v>
      </c>
      <c r="N904" t="s">
        <v>7159</v>
      </c>
      <c r="O904" t="s">
        <v>7830</v>
      </c>
      <c r="P904" t="s">
        <v>7160</v>
      </c>
      <c r="Q904" t="s">
        <v>7161</v>
      </c>
      <c r="R904" t="s">
        <v>7162</v>
      </c>
      <c r="S904" s="2">
        <v>42797</v>
      </c>
      <c r="T904">
        <v>0</v>
      </c>
      <c r="U904" t="s">
        <v>7163</v>
      </c>
      <c r="V904">
        <v>0</v>
      </c>
      <c r="W904">
        <v>1</v>
      </c>
      <c r="X904">
        <v>233713</v>
      </c>
      <c r="Y904" t="s">
        <v>3032</v>
      </c>
      <c r="Z904" t="s">
        <v>7161</v>
      </c>
      <c r="AA904" t="s">
        <v>7831</v>
      </c>
      <c r="AB904" t="s">
        <v>45</v>
      </c>
      <c r="AC904" t="s">
        <v>7832</v>
      </c>
    </row>
    <row r="905" spans="1:29">
      <c r="A905" t="s">
        <v>94</v>
      </c>
      <c r="B905" s="1">
        <v>129024</v>
      </c>
      <c r="C905" t="s">
        <v>1394</v>
      </c>
      <c r="D905" t="s">
        <v>31</v>
      </c>
      <c r="E905" s="1">
        <v>-3206</v>
      </c>
      <c r="F905" t="s">
        <v>971</v>
      </c>
      <c r="G905" t="s">
        <v>278</v>
      </c>
      <c r="H905" t="s">
        <v>4214</v>
      </c>
      <c r="I905">
        <v>4</v>
      </c>
      <c r="J905" t="s">
        <v>1202</v>
      </c>
      <c r="K905">
        <v>84</v>
      </c>
      <c r="L905" t="s">
        <v>4215</v>
      </c>
      <c r="M905" t="s">
        <v>4216</v>
      </c>
      <c r="N905" t="s">
        <v>4217</v>
      </c>
      <c r="O905" t="s">
        <v>7830</v>
      </c>
      <c r="P905" t="s">
        <v>4218</v>
      </c>
      <c r="Q905" t="s">
        <v>4219</v>
      </c>
      <c r="R905" t="s">
        <v>4220</v>
      </c>
      <c r="S905" s="2">
        <v>40711</v>
      </c>
      <c r="T905">
        <v>0</v>
      </c>
      <c r="U905" t="s">
        <v>4221</v>
      </c>
      <c r="V905">
        <v>1</v>
      </c>
      <c r="W905">
        <v>8</v>
      </c>
      <c r="X905">
        <v>252307</v>
      </c>
      <c r="Y905" t="s">
        <v>201</v>
      </c>
      <c r="Z905" t="s">
        <v>4219</v>
      </c>
      <c r="AA905" t="s">
        <v>7831</v>
      </c>
      <c r="AB905" t="s">
        <v>45</v>
      </c>
      <c r="AC905" t="s">
        <v>7832</v>
      </c>
    </row>
    <row r="906" spans="1:29">
      <c r="A906" t="s">
        <v>943</v>
      </c>
      <c r="B906" s="1">
        <v>84412</v>
      </c>
      <c r="C906" t="s">
        <v>1737</v>
      </c>
      <c r="D906" t="s">
        <v>31</v>
      </c>
      <c r="E906" s="1">
        <v>-7638</v>
      </c>
      <c r="F906" t="s">
        <v>5157</v>
      </c>
      <c r="G906" t="s">
        <v>4112</v>
      </c>
      <c r="H906" t="s">
        <v>7848</v>
      </c>
      <c r="I906">
        <v>4</v>
      </c>
      <c r="J906" t="s">
        <v>191</v>
      </c>
      <c r="K906">
        <v>84</v>
      </c>
      <c r="L906" t="s">
        <v>7849</v>
      </c>
      <c r="M906" t="s">
        <v>7850</v>
      </c>
      <c r="N906" t="s">
        <v>7851</v>
      </c>
      <c r="O906" t="s">
        <v>7830</v>
      </c>
      <c r="P906" t="s">
        <v>7852</v>
      </c>
      <c r="Q906" t="s">
        <v>7853</v>
      </c>
      <c r="R906" t="s">
        <v>7854</v>
      </c>
      <c r="S906" s="2">
        <v>31199</v>
      </c>
      <c r="T906" t="s">
        <v>1522</v>
      </c>
      <c r="U906" t="s">
        <v>7855</v>
      </c>
      <c r="V906">
        <v>0</v>
      </c>
      <c r="W906">
        <v>6</v>
      </c>
      <c r="X906">
        <v>225280</v>
      </c>
      <c r="Y906" t="s">
        <v>1286</v>
      </c>
      <c r="Z906" t="s">
        <v>7853</v>
      </c>
      <c r="AA906" t="s">
        <v>7831</v>
      </c>
      <c r="AB906" t="s">
        <v>45</v>
      </c>
      <c r="AC906" t="s">
        <v>7832</v>
      </c>
    </row>
    <row r="907" spans="1:29">
      <c r="A907" t="s">
        <v>727</v>
      </c>
      <c r="B907" s="1">
        <v>100024</v>
      </c>
      <c r="C907" t="s">
        <v>4626</v>
      </c>
      <c r="D907" t="s">
        <v>31</v>
      </c>
      <c r="E907" s="1">
        <v>-5892</v>
      </c>
      <c r="F907" t="s">
        <v>947</v>
      </c>
      <c r="G907" t="s">
        <v>1300</v>
      </c>
      <c r="H907" t="s">
        <v>7856</v>
      </c>
      <c r="I907">
        <v>4</v>
      </c>
      <c r="J907" t="s">
        <v>553</v>
      </c>
      <c r="K907">
        <v>84</v>
      </c>
      <c r="L907" t="s">
        <v>7857</v>
      </c>
      <c r="M907" t="s">
        <v>7858</v>
      </c>
      <c r="N907" t="s">
        <v>7859</v>
      </c>
      <c r="O907" t="s">
        <v>7830</v>
      </c>
      <c r="P907" t="s">
        <v>7860</v>
      </c>
      <c r="Q907" t="s">
        <v>7861</v>
      </c>
      <c r="R907" t="s">
        <v>7862</v>
      </c>
      <c r="S907" s="2">
        <v>38684</v>
      </c>
      <c r="T907">
        <v>0</v>
      </c>
      <c r="U907" t="s">
        <v>7863</v>
      </c>
      <c r="V907">
        <v>0</v>
      </c>
      <c r="W907">
        <v>10</v>
      </c>
      <c r="X907">
        <v>218093</v>
      </c>
      <c r="Y907" t="s">
        <v>491</v>
      </c>
      <c r="Z907" t="s">
        <v>7861</v>
      </c>
      <c r="AA907" t="s">
        <v>7831</v>
      </c>
      <c r="AB907" t="s">
        <v>45</v>
      </c>
      <c r="AC907" t="s">
        <v>7832</v>
      </c>
    </row>
    <row r="908" spans="1:29">
      <c r="A908" t="s">
        <v>3471</v>
      </c>
      <c r="B908" s="1">
        <v>105018</v>
      </c>
      <c r="C908" t="s">
        <v>333</v>
      </c>
      <c r="D908" t="s">
        <v>31</v>
      </c>
      <c r="E908" s="1">
        <v>-4699</v>
      </c>
      <c r="F908" t="s">
        <v>732</v>
      </c>
      <c r="G908" t="s">
        <v>1431</v>
      </c>
      <c r="H908" t="s">
        <v>7864</v>
      </c>
      <c r="I908">
        <v>4</v>
      </c>
      <c r="J908" t="s">
        <v>757</v>
      </c>
      <c r="K908">
        <v>84</v>
      </c>
      <c r="L908" t="s">
        <v>7865</v>
      </c>
      <c r="M908" t="s">
        <v>7866</v>
      </c>
      <c r="N908" t="s">
        <v>3793</v>
      </c>
      <c r="O908" t="s">
        <v>7830</v>
      </c>
      <c r="P908" t="s">
        <v>7867</v>
      </c>
      <c r="Q908" t="s">
        <v>7868</v>
      </c>
      <c r="R908" t="s">
        <v>7869</v>
      </c>
      <c r="S908" s="2">
        <v>38069</v>
      </c>
      <c r="T908">
        <v>0</v>
      </c>
      <c r="U908" t="s">
        <v>3797</v>
      </c>
      <c r="V908">
        <v>1</v>
      </c>
      <c r="W908">
        <v>2</v>
      </c>
      <c r="X908">
        <v>250373</v>
      </c>
      <c r="Y908" t="s">
        <v>6039</v>
      </c>
      <c r="Z908" t="s">
        <v>7868</v>
      </c>
      <c r="AA908" t="s">
        <v>7831</v>
      </c>
      <c r="AB908" t="s">
        <v>45</v>
      </c>
      <c r="AC908" t="s">
        <v>7832</v>
      </c>
    </row>
    <row r="909" spans="1:29">
      <c r="A909" t="s">
        <v>3457</v>
      </c>
      <c r="B909" s="1">
        <v>128038</v>
      </c>
      <c r="C909" t="s">
        <v>2098</v>
      </c>
      <c r="D909" t="s">
        <v>31</v>
      </c>
      <c r="E909" s="1">
        <v>-3804</v>
      </c>
      <c r="F909" t="s">
        <v>1406</v>
      </c>
      <c r="G909" t="s">
        <v>263</v>
      </c>
      <c r="H909" t="s">
        <v>7870</v>
      </c>
      <c r="I909">
        <v>4</v>
      </c>
      <c r="J909" t="s">
        <v>4772</v>
      </c>
      <c r="K909">
        <v>83</v>
      </c>
      <c r="L909" t="s">
        <v>7871</v>
      </c>
      <c r="M909" t="s">
        <v>7872</v>
      </c>
      <c r="N909" t="s">
        <v>7873</v>
      </c>
      <c r="O909" t="s">
        <v>7830</v>
      </c>
      <c r="P909" t="s">
        <v>7874</v>
      </c>
      <c r="Q909" t="s">
        <v>7875</v>
      </c>
      <c r="R909" t="s">
        <v>7876</v>
      </c>
      <c r="S909" s="2">
        <v>41975</v>
      </c>
      <c r="T909">
        <v>0</v>
      </c>
      <c r="U909" t="s">
        <v>7877</v>
      </c>
      <c r="V909">
        <v>1</v>
      </c>
      <c r="W909">
        <v>1</v>
      </c>
      <c r="X909">
        <v>199080</v>
      </c>
      <c r="Y909" t="s">
        <v>7878</v>
      </c>
      <c r="Z909" t="s">
        <v>7875</v>
      </c>
      <c r="AA909" t="s">
        <v>7831</v>
      </c>
      <c r="AB909" t="s">
        <v>45</v>
      </c>
      <c r="AC909" t="s">
        <v>7832</v>
      </c>
    </row>
    <row r="910" spans="1:29">
      <c r="A910" t="s">
        <v>1836</v>
      </c>
      <c r="B910" s="1">
        <v>122509</v>
      </c>
      <c r="C910" t="s">
        <v>902</v>
      </c>
      <c r="D910" t="s">
        <v>31</v>
      </c>
      <c r="E910" s="1">
        <v>-3757</v>
      </c>
      <c r="F910" t="s">
        <v>2020</v>
      </c>
      <c r="G910" t="s">
        <v>1881</v>
      </c>
      <c r="H910" t="s">
        <v>853</v>
      </c>
      <c r="I910">
        <v>4</v>
      </c>
      <c r="J910" t="s">
        <v>1008</v>
      </c>
      <c r="K910">
        <v>83</v>
      </c>
      <c r="L910" t="s">
        <v>7879</v>
      </c>
      <c r="M910" t="s">
        <v>7880</v>
      </c>
      <c r="N910" t="s">
        <v>6023</v>
      </c>
      <c r="O910" t="s">
        <v>7830</v>
      </c>
      <c r="P910" t="s">
        <v>7881</v>
      </c>
      <c r="Q910" t="s">
        <v>7882</v>
      </c>
      <c r="R910" t="s">
        <v>7883</v>
      </c>
      <c r="S910" s="2">
        <v>31640</v>
      </c>
      <c r="T910" t="s">
        <v>7884</v>
      </c>
      <c r="U910" t="s">
        <v>6028</v>
      </c>
      <c r="V910">
        <v>1</v>
      </c>
      <c r="W910">
        <v>0</v>
      </c>
      <c r="X910">
        <v>249293</v>
      </c>
      <c r="Y910" t="s">
        <v>5294</v>
      </c>
      <c r="Z910" t="s">
        <v>7882</v>
      </c>
      <c r="AA910" t="s">
        <v>7831</v>
      </c>
      <c r="AB910" t="s">
        <v>45</v>
      </c>
      <c r="AC910" t="s">
        <v>7832</v>
      </c>
    </row>
    <row r="911" spans="1:29">
      <c r="A911" t="s">
        <v>91</v>
      </c>
      <c r="B911" t="s">
        <v>7885</v>
      </c>
      <c r="C911" t="s">
        <v>902</v>
      </c>
      <c r="D911" t="s">
        <v>31</v>
      </c>
      <c r="E911" s="1">
        <v>-5697</v>
      </c>
      <c r="F911" t="s">
        <v>1202</v>
      </c>
      <c r="G911" t="s">
        <v>3543</v>
      </c>
      <c r="H911" t="s">
        <v>4242</v>
      </c>
      <c r="I911">
        <v>4</v>
      </c>
      <c r="J911" t="s">
        <v>1383</v>
      </c>
      <c r="K911">
        <v>83</v>
      </c>
      <c r="L911" t="s">
        <v>7886</v>
      </c>
      <c r="M911" t="s">
        <v>7887</v>
      </c>
      <c r="N911" t="b">
        <v>1</v>
      </c>
      <c r="O911" t="s">
        <v>7830</v>
      </c>
      <c r="P911" t="s">
        <v>7888</v>
      </c>
      <c r="Q911" t="s">
        <v>7889</v>
      </c>
      <c r="R911" t="s">
        <v>7890</v>
      </c>
      <c r="S911" s="2">
        <v>41275</v>
      </c>
      <c r="T911" t="s">
        <v>3377</v>
      </c>
      <c r="U911" t="s">
        <v>7891</v>
      </c>
      <c r="V911">
        <v>1</v>
      </c>
      <c r="W911">
        <v>2</v>
      </c>
      <c r="X911">
        <v>247427</v>
      </c>
      <c r="Y911" t="s">
        <v>5680</v>
      </c>
      <c r="Z911" t="s">
        <v>7889</v>
      </c>
      <c r="AA911" t="s">
        <v>7831</v>
      </c>
      <c r="AB911" t="s">
        <v>45</v>
      </c>
      <c r="AC911" t="s">
        <v>7832</v>
      </c>
    </row>
    <row r="912" spans="1:29">
      <c r="A912" t="s">
        <v>335</v>
      </c>
      <c r="B912" t="s">
        <v>7892</v>
      </c>
      <c r="C912" t="s">
        <v>1098</v>
      </c>
      <c r="D912" t="s">
        <v>31</v>
      </c>
      <c r="E912" s="1">
        <v>-3914</v>
      </c>
      <c r="F912" t="s">
        <v>515</v>
      </c>
      <c r="G912" t="s">
        <v>539</v>
      </c>
      <c r="H912" t="s">
        <v>7893</v>
      </c>
      <c r="I912">
        <v>4</v>
      </c>
      <c r="J912" t="s">
        <v>2917</v>
      </c>
      <c r="K912">
        <v>83</v>
      </c>
      <c r="L912" t="s">
        <v>7894</v>
      </c>
      <c r="M912" t="s">
        <v>7895</v>
      </c>
      <c r="N912" t="s">
        <v>7896</v>
      </c>
      <c r="O912" t="s">
        <v>7830</v>
      </c>
      <c r="P912" t="s">
        <v>7897</v>
      </c>
      <c r="Q912" t="s">
        <v>7898</v>
      </c>
      <c r="R912" t="s">
        <v>7899</v>
      </c>
      <c r="S912" s="2">
        <v>37938</v>
      </c>
      <c r="T912" t="s">
        <v>3648</v>
      </c>
      <c r="U912" t="s">
        <v>7900</v>
      </c>
      <c r="V912">
        <v>0</v>
      </c>
      <c r="W912">
        <v>5</v>
      </c>
      <c r="X912">
        <v>198800</v>
      </c>
      <c r="Y912" t="s">
        <v>7901</v>
      </c>
      <c r="Z912" t="s">
        <v>7898</v>
      </c>
      <c r="AA912" t="s">
        <v>7831</v>
      </c>
      <c r="AB912" t="s">
        <v>45</v>
      </c>
      <c r="AC912" t="s">
        <v>7832</v>
      </c>
    </row>
    <row r="913" spans="1:29">
      <c r="A913" t="s">
        <v>605</v>
      </c>
      <c r="B913" s="1">
        <v>125135</v>
      </c>
      <c r="C913" t="s">
        <v>622</v>
      </c>
      <c r="D913" t="s">
        <v>31</v>
      </c>
      <c r="E913" s="1">
        <v>-7498</v>
      </c>
      <c r="F913" t="s">
        <v>408</v>
      </c>
      <c r="G913" t="s">
        <v>1572</v>
      </c>
      <c r="H913" t="s">
        <v>7902</v>
      </c>
      <c r="I913">
        <v>4</v>
      </c>
      <c r="J913" t="s">
        <v>926</v>
      </c>
      <c r="K913">
        <v>83</v>
      </c>
      <c r="L913" t="s">
        <v>7903</v>
      </c>
      <c r="M913" t="s">
        <v>7904</v>
      </c>
      <c r="N913" t="s">
        <v>7905</v>
      </c>
      <c r="O913" t="s">
        <v>7830</v>
      </c>
      <c r="P913" t="s">
        <v>7906</v>
      </c>
      <c r="Q913" t="s">
        <v>7907</v>
      </c>
      <c r="R913" t="s">
        <v>7908</v>
      </c>
      <c r="S913" s="2">
        <v>30320</v>
      </c>
      <c r="T913">
        <v>0</v>
      </c>
      <c r="U913" t="s">
        <v>7909</v>
      </c>
      <c r="V913">
        <v>0</v>
      </c>
      <c r="W913">
        <v>0</v>
      </c>
      <c r="X913">
        <v>216933</v>
      </c>
      <c r="Y913" t="s">
        <v>292</v>
      </c>
      <c r="Z913" t="s">
        <v>7907</v>
      </c>
      <c r="AA913" t="s">
        <v>7831</v>
      </c>
      <c r="AB913" t="s">
        <v>45</v>
      </c>
      <c r="AC913" t="s">
        <v>7832</v>
      </c>
    </row>
    <row r="914" spans="1:29">
      <c r="A914" t="s">
        <v>3995</v>
      </c>
      <c r="B914" s="1">
        <v>120028</v>
      </c>
      <c r="C914" t="s">
        <v>904</v>
      </c>
      <c r="D914" t="s">
        <v>31</v>
      </c>
      <c r="E914" s="1">
        <v>-2718</v>
      </c>
      <c r="F914" t="s">
        <v>2763</v>
      </c>
      <c r="G914" t="s">
        <v>4326</v>
      </c>
      <c r="H914" t="s">
        <v>7910</v>
      </c>
      <c r="I914">
        <v>4</v>
      </c>
      <c r="J914" t="s">
        <v>2117</v>
      </c>
      <c r="K914">
        <v>83</v>
      </c>
      <c r="L914" t="s">
        <v>7911</v>
      </c>
      <c r="M914" t="s">
        <v>7912</v>
      </c>
      <c r="N914" t="s">
        <v>7913</v>
      </c>
      <c r="O914" t="s">
        <v>7830</v>
      </c>
      <c r="P914" t="s">
        <v>7914</v>
      </c>
      <c r="Q914" t="s">
        <v>7915</v>
      </c>
      <c r="R914" t="s">
        <v>7916</v>
      </c>
      <c r="S914" s="2">
        <v>40179</v>
      </c>
      <c r="T914">
        <v>0</v>
      </c>
      <c r="U914" t="s">
        <v>7917</v>
      </c>
      <c r="V914">
        <v>0</v>
      </c>
      <c r="W914">
        <v>2</v>
      </c>
      <c r="X914">
        <v>199693</v>
      </c>
      <c r="Y914" t="s">
        <v>4392</v>
      </c>
      <c r="Z914" t="s">
        <v>7915</v>
      </c>
      <c r="AA914" t="s">
        <v>7831</v>
      </c>
      <c r="AB914" t="s">
        <v>45</v>
      </c>
      <c r="AC914" t="s">
        <v>7832</v>
      </c>
    </row>
    <row r="915" spans="1:29">
      <c r="A915" t="s">
        <v>319</v>
      </c>
      <c r="B915" s="1">
        <v>99947</v>
      </c>
      <c r="C915" t="s">
        <v>293</v>
      </c>
      <c r="D915" t="s">
        <v>31</v>
      </c>
      <c r="E915" s="1">
        <v>-3669</v>
      </c>
      <c r="F915" t="s">
        <v>6120</v>
      </c>
      <c r="G915" t="s">
        <v>4044</v>
      </c>
      <c r="H915" t="s">
        <v>7237</v>
      </c>
      <c r="I915">
        <v>4</v>
      </c>
      <c r="J915" t="s">
        <v>3837</v>
      </c>
      <c r="K915">
        <v>83</v>
      </c>
      <c r="L915" t="s">
        <v>7918</v>
      </c>
      <c r="M915" t="s">
        <v>7919</v>
      </c>
      <c r="N915" t="s">
        <v>7920</v>
      </c>
      <c r="O915" t="s">
        <v>7830</v>
      </c>
      <c r="P915" t="s">
        <v>7921</v>
      </c>
      <c r="Q915" t="s">
        <v>7922</v>
      </c>
      <c r="R915" t="s">
        <v>7923</v>
      </c>
      <c r="S915" s="2">
        <v>42321</v>
      </c>
      <c r="T915">
        <v>0</v>
      </c>
      <c r="U915" t="s">
        <v>7924</v>
      </c>
      <c r="V915">
        <v>0</v>
      </c>
      <c r="W915">
        <v>0</v>
      </c>
      <c r="X915">
        <v>200787</v>
      </c>
      <c r="Y915" t="s">
        <v>7724</v>
      </c>
      <c r="Z915" t="s">
        <v>7922</v>
      </c>
      <c r="AA915" t="s">
        <v>7831</v>
      </c>
      <c r="AB915" t="s">
        <v>45</v>
      </c>
      <c r="AC915" t="s">
        <v>7832</v>
      </c>
    </row>
    <row r="916" spans="1:29">
      <c r="A916" t="s">
        <v>6756</v>
      </c>
      <c r="B916" s="1">
        <v>100804</v>
      </c>
      <c r="C916" t="s">
        <v>1641</v>
      </c>
      <c r="D916" t="s">
        <v>31</v>
      </c>
      <c r="E916" s="1">
        <v>-6514</v>
      </c>
      <c r="F916" t="s">
        <v>2972</v>
      </c>
      <c r="G916" t="s">
        <v>1949</v>
      </c>
      <c r="H916" t="s">
        <v>7925</v>
      </c>
      <c r="I916">
        <v>4</v>
      </c>
      <c r="J916" t="s">
        <v>841</v>
      </c>
      <c r="K916">
        <v>82</v>
      </c>
      <c r="L916" t="s">
        <v>7926</v>
      </c>
      <c r="M916" t="s">
        <v>7927</v>
      </c>
      <c r="N916" t="s">
        <v>7928</v>
      </c>
      <c r="O916" t="s">
        <v>7830</v>
      </c>
      <c r="P916" t="s">
        <v>7929</v>
      </c>
      <c r="Q916" t="s">
        <v>7930</v>
      </c>
      <c r="R916" t="s">
        <v>7931</v>
      </c>
      <c r="S916">
        <v>1976</v>
      </c>
      <c r="T916" t="s">
        <v>7932</v>
      </c>
      <c r="U916" t="s">
        <v>7933</v>
      </c>
      <c r="V916">
        <v>1</v>
      </c>
      <c r="W916">
        <v>9</v>
      </c>
      <c r="X916">
        <v>230400</v>
      </c>
      <c r="Y916" t="s">
        <v>1503</v>
      </c>
      <c r="Z916" t="s">
        <v>7930</v>
      </c>
      <c r="AA916" t="s">
        <v>7831</v>
      </c>
      <c r="AB916" t="s">
        <v>45</v>
      </c>
      <c r="AC916" t="s">
        <v>7832</v>
      </c>
    </row>
    <row r="917" spans="1:29">
      <c r="A917" t="s">
        <v>2984</v>
      </c>
      <c r="B917" s="1">
        <v>128035</v>
      </c>
      <c r="C917" t="s">
        <v>460</v>
      </c>
      <c r="D917" t="s">
        <v>31</v>
      </c>
      <c r="E917" s="1">
        <v>-4123</v>
      </c>
      <c r="F917" t="s">
        <v>825</v>
      </c>
      <c r="G917" t="s">
        <v>3950</v>
      </c>
      <c r="H917" t="s">
        <v>4232</v>
      </c>
      <c r="I917">
        <v>4</v>
      </c>
      <c r="J917" t="s">
        <v>4233</v>
      </c>
      <c r="K917">
        <v>82</v>
      </c>
      <c r="L917" t="s">
        <v>4234</v>
      </c>
      <c r="M917" t="s">
        <v>4235</v>
      </c>
      <c r="N917" t="s">
        <v>4236</v>
      </c>
      <c r="O917" t="s">
        <v>7830</v>
      </c>
      <c r="P917" t="s">
        <v>4237</v>
      </c>
      <c r="Q917" t="s">
        <v>4238</v>
      </c>
      <c r="R917" t="s">
        <v>4239</v>
      </c>
      <c r="S917" s="2">
        <v>41943</v>
      </c>
      <c r="T917">
        <v>0</v>
      </c>
      <c r="U917" t="s">
        <v>4240</v>
      </c>
      <c r="V917">
        <v>0</v>
      </c>
      <c r="W917">
        <v>2</v>
      </c>
      <c r="X917">
        <v>227267</v>
      </c>
      <c r="Y917" t="s">
        <v>4241</v>
      </c>
      <c r="Z917" t="s">
        <v>4238</v>
      </c>
      <c r="AA917" t="s">
        <v>7831</v>
      </c>
      <c r="AB917" t="s">
        <v>45</v>
      </c>
      <c r="AC917" t="s">
        <v>7832</v>
      </c>
    </row>
    <row r="918" spans="1:29">
      <c r="A918" t="s">
        <v>2651</v>
      </c>
      <c r="B918" s="1">
        <v>114742</v>
      </c>
      <c r="C918" t="s">
        <v>2467</v>
      </c>
      <c r="D918" t="s">
        <v>31</v>
      </c>
      <c r="E918" s="1">
        <v>-6492</v>
      </c>
      <c r="F918" t="s">
        <v>2403</v>
      </c>
      <c r="G918" t="s">
        <v>5448</v>
      </c>
      <c r="H918" t="s">
        <v>7934</v>
      </c>
      <c r="I918">
        <v>4</v>
      </c>
      <c r="J918" t="s">
        <v>7484</v>
      </c>
      <c r="K918">
        <v>82</v>
      </c>
      <c r="L918" t="s">
        <v>7935</v>
      </c>
      <c r="M918" t="s">
        <v>7936</v>
      </c>
      <c r="N918" t="s">
        <v>7937</v>
      </c>
      <c r="O918" t="s">
        <v>7830</v>
      </c>
      <c r="P918" t="s">
        <v>7938</v>
      </c>
      <c r="Q918" t="s">
        <v>7939</v>
      </c>
      <c r="R918" t="s">
        <v>7940</v>
      </c>
      <c r="S918" s="2">
        <v>39083</v>
      </c>
      <c r="T918" t="s">
        <v>3312</v>
      </c>
      <c r="U918" t="s">
        <v>7941</v>
      </c>
      <c r="V918">
        <v>1</v>
      </c>
      <c r="W918">
        <v>6</v>
      </c>
      <c r="X918">
        <v>179120</v>
      </c>
      <c r="Y918" t="s">
        <v>2884</v>
      </c>
      <c r="Z918" t="s">
        <v>7939</v>
      </c>
      <c r="AA918" t="s">
        <v>7831</v>
      </c>
      <c r="AB918" t="s">
        <v>45</v>
      </c>
      <c r="AC918" t="s">
        <v>7832</v>
      </c>
    </row>
    <row r="919" spans="1:29">
      <c r="A919" t="s">
        <v>2621</v>
      </c>
      <c r="B919" s="1">
        <v>129992</v>
      </c>
      <c r="C919" t="s">
        <v>3032</v>
      </c>
      <c r="D919" t="s">
        <v>31</v>
      </c>
      <c r="E919" s="1">
        <v>-4087</v>
      </c>
      <c r="F919" t="s">
        <v>348</v>
      </c>
      <c r="G919" t="s">
        <v>503</v>
      </c>
      <c r="H919" t="s">
        <v>4309</v>
      </c>
      <c r="I919">
        <v>4</v>
      </c>
      <c r="J919" t="s">
        <v>624</v>
      </c>
      <c r="K919">
        <v>82</v>
      </c>
      <c r="L919" t="s">
        <v>4310</v>
      </c>
      <c r="M919" t="s">
        <v>4311</v>
      </c>
      <c r="N919" t="s">
        <v>4312</v>
      </c>
      <c r="O919" t="s">
        <v>7830</v>
      </c>
      <c r="P919" t="s">
        <v>4313</v>
      </c>
      <c r="Q919" t="s">
        <v>4314</v>
      </c>
      <c r="R919" t="s">
        <v>4315</v>
      </c>
      <c r="S919">
        <v>2012</v>
      </c>
      <c r="T919">
        <v>0</v>
      </c>
      <c r="U919" t="s">
        <v>4316</v>
      </c>
      <c r="V919">
        <v>1</v>
      </c>
      <c r="W919">
        <v>11</v>
      </c>
      <c r="X919">
        <v>204160</v>
      </c>
      <c r="Y919" t="s">
        <v>405</v>
      </c>
      <c r="Z919" t="s">
        <v>4314</v>
      </c>
      <c r="AA919" t="s">
        <v>7831</v>
      </c>
      <c r="AB919" t="s">
        <v>45</v>
      </c>
      <c r="AC919" t="s">
        <v>7832</v>
      </c>
    </row>
    <row r="920" spans="1:29">
      <c r="A920" t="s">
        <v>1866</v>
      </c>
      <c r="B920" s="1">
        <v>125983</v>
      </c>
      <c r="C920" t="s">
        <v>2152</v>
      </c>
      <c r="D920" t="s">
        <v>31</v>
      </c>
      <c r="E920" s="1">
        <v>-5298</v>
      </c>
      <c r="F920" t="s">
        <v>3878</v>
      </c>
      <c r="G920" t="s">
        <v>1480</v>
      </c>
      <c r="H920" t="s">
        <v>4242</v>
      </c>
      <c r="I920">
        <v>4</v>
      </c>
      <c r="J920" t="s">
        <v>4243</v>
      </c>
      <c r="K920">
        <v>82</v>
      </c>
      <c r="L920" t="s">
        <v>4244</v>
      </c>
      <c r="M920" t="s">
        <v>4245</v>
      </c>
      <c r="N920" t="s">
        <v>4246</v>
      </c>
      <c r="O920" t="s">
        <v>7830</v>
      </c>
      <c r="P920" t="s">
        <v>4247</v>
      </c>
      <c r="Q920" t="s">
        <v>4248</v>
      </c>
      <c r="R920" t="s">
        <v>4249</v>
      </c>
      <c r="S920" s="2">
        <v>41640</v>
      </c>
      <c r="T920">
        <v>0</v>
      </c>
      <c r="U920" t="s">
        <v>4250</v>
      </c>
      <c r="V920">
        <v>1</v>
      </c>
      <c r="W920">
        <v>6</v>
      </c>
      <c r="X920">
        <v>176658</v>
      </c>
      <c r="Y920" t="s">
        <v>4251</v>
      </c>
      <c r="Z920" t="s">
        <v>4248</v>
      </c>
      <c r="AA920" t="s">
        <v>7831</v>
      </c>
      <c r="AB920" t="s">
        <v>45</v>
      </c>
      <c r="AC920" t="s">
        <v>7832</v>
      </c>
    </row>
    <row r="921" spans="1:29">
      <c r="A921" t="s">
        <v>4533</v>
      </c>
      <c r="B921" s="1">
        <v>119963</v>
      </c>
      <c r="C921" t="s">
        <v>1502</v>
      </c>
      <c r="D921" t="s">
        <v>31</v>
      </c>
      <c r="E921" s="1">
        <v>-3398</v>
      </c>
      <c r="F921" t="s">
        <v>2109</v>
      </c>
      <c r="G921" t="s">
        <v>1480</v>
      </c>
      <c r="H921" t="s">
        <v>7942</v>
      </c>
      <c r="I921">
        <v>4</v>
      </c>
      <c r="J921" t="s">
        <v>1528</v>
      </c>
      <c r="K921">
        <v>81</v>
      </c>
      <c r="L921" t="s">
        <v>7943</v>
      </c>
      <c r="M921" t="s">
        <v>7944</v>
      </c>
      <c r="N921" t="s">
        <v>3978</v>
      </c>
      <c r="O921" t="s">
        <v>7830</v>
      </c>
      <c r="P921" t="s">
        <v>7945</v>
      </c>
      <c r="Q921" t="s">
        <v>7946</v>
      </c>
      <c r="R921" t="s">
        <v>7947</v>
      </c>
      <c r="S921" s="2">
        <v>40267</v>
      </c>
      <c r="T921">
        <v>0</v>
      </c>
      <c r="U921" t="s">
        <v>3982</v>
      </c>
      <c r="V921">
        <v>0</v>
      </c>
      <c r="W921">
        <v>7</v>
      </c>
      <c r="X921">
        <v>220800</v>
      </c>
      <c r="Y921" t="s">
        <v>919</v>
      </c>
      <c r="Z921" t="s">
        <v>7946</v>
      </c>
      <c r="AA921" t="s">
        <v>7831</v>
      </c>
      <c r="AB921" t="s">
        <v>45</v>
      </c>
      <c r="AC921" t="s">
        <v>7832</v>
      </c>
    </row>
    <row r="922" spans="1:29">
      <c r="A922" t="s">
        <v>1917</v>
      </c>
      <c r="B922" t="s">
        <v>7948</v>
      </c>
      <c r="C922" t="s">
        <v>6644</v>
      </c>
      <c r="D922" t="s">
        <v>31</v>
      </c>
      <c r="E922" s="1">
        <v>-5745</v>
      </c>
      <c r="F922" t="s">
        <v>5766</v>
      </c>
      <c r="G922" t="s">
        <v>1620</v>
      </c>
      <c r="H922" t="s">
        <v>7893</v>
      </c>
      <c r="I922">
        <v>4</v>
      </c>
      <c r="J922" t="s">
        <v>7949</v>
      </c>
      <c r="K922">
        <v>81</v>
      </c>
      <c r="L922" t="s">
        <v>7950</v>
      </c>
      <c r="M922" t="s">
        <v>7951</v>
      </c>
      <c r="N922" t="s">
        <v>7952</v>
      </c>
      <c r="O922" t="s">
        <v>7830</v>
      </c>
      <c r="P922" t="s">
        <v>7953</v>
      </c>
      <c r="Q922" t="s">
        <v>7954</v>
      </c>
      <c r="R922" t="s">
        <v>7955</v>
      </c>
      <c r="S922" s="2">
        <v>36172</v>
      </c>
      <c r="T922" t="s">
        <v>7956</v>
      </c>
      <c r="U922" t="s">
        <v>7957</v>
      </c>
      <c r="V922">
        <v>0</v>
      </c>
      <c r="W922">
        <v>0</v>
      </c>
      <c r="X922">
        <v>211067</v>
      </c>
      <c r="Y922" t="s">
        <v>2392</v>
      </c>
      <c r="Z922" t="s">
        <v>7954</v>
      </c>
      <c r="AA922" t="s">
        <v>7831</v>
      </c>
      <c r="AB922" t="s">
        <v>45</v>
      </c>
      <c r="AC922" t="s">
        <v>7832</v>
      </c>
    </row>
    <row r="923" spans="1:29">
      <c r="A923" t="s">
        <v>199</v>
      </c>
      <c r="B923" s="1">
        <v>94948</v>
      </c>
      <c r="C923" t="s">
        <v>262</v>
      </c>
      <c r="D923" t="s">
        <v>31</v>
      </c>
      <c r="E923" s="1">
        <v>-5946</v>
      </c>
      <c r="F923" t="s">
        <v>1948</v>
      </c>
      <c r="G923" t="s">
        <v>4347</v>
      </c>
      <c r="H923" t="s">
        <v>5923</v>
      </c>
      <c r="I923">
        <v>4</v>
      </c>
      <c r="J923" t="s">
        <v>2031</v>
      </c>
      <c r="K923">
        <v>81</v>
      </c>
      <c r="L923" t="s">
        <v>7958</v>
      </c>
      <c r="M923" t="s">
        <v>7959</v>
      </c>
      <c r="N923" t="s">
        <v>7960</v>
      </c>
      <c r="O923" t="s">
        <v>7830</v>
      </c>
      <c r="P923" t="s">
        <v>7961</v>
      </c>
      <c r="Q923" t="s">
        <v>7962</v>
      </c>
      <c r="R923" t="s">
        <v>7963</v>
      </c>
      <c r="S923" s="2">
        <v>36830</v>
      </c>
      <c r="T923">
        <v>0</v>
      </c>
      <c r="U923" t="s">
        <v>7964</v>
      </c>
      <c r="V923">
        <v>0</v>
      </c>
      <c r="W923">
        <v>4</v>
      </c>
      <c r="X923">
        <v>270507</v>
      </c>
      <c r="Y923" t="s">
        <v>1799</v>
      </c>
      <c r="Z923" t="s">
        <v>7962</v>
      </c>
      <c r="AA923" t="s">
        <v>7831</v>
      </c>
      <c r="AB923" t="s">
        <v>45</v>
      </c>
      <c r="AC923" t="s">
        <v>7832</v>
      </c>
    </row>
    <row r="924" spans="1:29">
      <c r="A924" t="s">
        <v>199</v>
      </c>
      <c r="B924" s="1">
        <v>119001</v>
      </c>
      <c r="C924" t="s">
        <v>2733</v>
      </c>
      <c r="D924" t="s">
        <v>31</v>
      </c>
      <c r="E924" s="1">
        <v>-4618</v>
      </c>
      <c r="F924" t="s">
        <v>211</v>
      </c>
      <c r="G924" t="s">
        <v>1098</v>
      </c>
      <c r="H924" t="s">
        <v>242</v>
      </c>
      <c r="I924">
        <v>4</v>
      </c>
      <c r="J924" t="s">
        <v>423</v>
      </c>
      <c r="K924">
        <v>81</v>
      </c>
      <c r="L924" t="s">
        <v>7965</v>
      </c>
      <c r="M924" t="s">
        <v>7966</v>
      </c>
      <c r="N924" t="s">
        <v>7967</v>
      </c>
      <c r="O924" t="s">
        <v>7830</v>
      </c>
      <c r="P924" t="s">
        <v>7968</v>
      </c>
      <c r="Q924" t="s">
        <v>7969</v>
      </c>
      <c r="R924" t="s">
        <v>7970</v>
      </c>
      <c r="S924" s="2">
        <v>39448</v>
      </c>
      <c r="T924" t="s">
        <v>7971</v>
      </c>
      <c r="U924" t="s">
        <v>7972</v>
      </c>
      <c r="V924">
        <v>1</v>
      </c>
      <c r="W924">
        <v>4</v>
      </c>
      <c r="X924">
        <v>237200</v>
      </c>
      <c r="Y924" t="s">
        <v>1483</v>
      </c>
      <c r="Z924" t="s">
        <v>7969</v>
      </c>
      <c r="AA924" t="s">
        <v>7831</v>
      </c>
      <c r="AB924" t="s">
        <v>45</v>
      </c>
      <c r="AC924" t="s">
        <v>7832</v>
      </c>
    </row>
    <row r="925" spans="1:29">
      <c r="A925" t="s">
        <v>1865</v>
      </c>
      <c r="B925" s="1">
        <v>124022</v>
      </c>
      <c r="C925" t="s">
        <v>839</v>
      </c>
      <c r="D925" t="s">
        <v>31</v>
      </c>
      <c r="E925" s="1">
        <v>-5797</v>
      </c>
      <c r="F925" t="s">
        <v>422</v>
      </c>
      <c r="G925" t="s">
        <v>3114</v>
      </c>
      <c r="H925" t="s">
        <v>7973</v>
      </c>
      <c r="I925">
        <v>4</v>
      </c>
      <c r="J925" t="s">
        <v>6624</v>
      </c>
      <c r="K925">
        <v>82</v>
      </c>
      <c r="L925" t="s">
        <v>7974</v>
      </c>
      <c r="M925" t="s">
        <v>7975</v>
      </c>
      <c r="N925" t="s">
        <v>7976</v>
      </c>
      <c r="O925" t="s">
        <v>7830</v>
      </c>
      <c r="P925" t="s">
        <v>7977</v>
      </c>
      <c r="Q925" t="s">
        <v>7978</v>
      </c>
      <c r="R925" t="s">
        <v>7979</v>
      </c>
      <c r="S925" s="2">
        <v>41964</v>
      </c>
      <c r="T925">
        <v>0</v>
      </c>
      <c r="U925" t="s">
        <v>7980</v>
      </c>
      <c r="V925">
        <v>1</v>
      </c>
      <c r="W925">
        <v>1</v>
      </c>
      <c r="X925">
        <v>229360</v>
      </c>
      <c r="Y925" t="s">
        <v>5484</v>
      </c>
      <c r="Z925" t="s">
        <v>7978</v>
      </c>
      <c r="AA925" t="s">
        <v>7831</v>
      </c>
      <c r="AB925" t="s">
        <v>45</v>
      </c>
      <c r="AC925" t="s">
        <v>7832</v>
      </c>
    </row>
    <row r="926" spans="1:29">
      <c r="A926" t="s">
        <v>2569</v>
      </c>
      <c r="B926" s="1">
        <v>127949</v>
      </c>
      <c r="C926" t="s">
        <v>4291</v>
      </c>
      <c r="D926" t="s">
        <v>31</v>
      </c>
      <c r="E926" s="1">
        <v>-3556</v>
      </c>
      <c r="F926" t="s">
        <v>595</v>
      </c>
      <c r="G926" t="s">
        <v>699</v>
      </c>
      <c r="H926" t="s">
        <v>4292</v>
      </c>
      <c r="I926">
        <v>4</v>
      </c>
      <c r="J926" t="s">
        <v>2958</v>
      </c>
      <c r="K926">
        <v>81</v>
      </c>
      <c r="L926" t="s">
        <v>4293</v>
      </c>
      <c r="M926" t="s">
        <v>4294</v>
      </c>
      <c r="N926" t="s">
        <v>4236</v>
      </c>
      <c r="O926" t="s">
        <v>7830</v>
      </c>
      <c r="P926" t="s">
        <v>4295</v>
      </c>
      <c r="Q926" t="s">
        <v>4296</v>
      </c>
      <c r="R926" t="s">
        <v>4297</v>
      </c>
      <c r="S926" s="2">
        <v>41943</v>
      </c>
      <c r="T926" t="s">
        <v>4298</v>
      </c>
      <c r="U926" t="s">
        <v>4240</v>
      </c>
      <c r="V926">
        <v>0</v>
      </c>
      <c r="W926">
        <v>4</v>
      </c>
      <c r="X926">
        <v>222533</v>
      </c>
      <c r="Y926" t="s">
        <v>4299</v>
      </c>
      <c r="Z926" t="s">
        <v>4296</v>
      </c>
      <c r="AA926" t="s">
        <v>7831</v>
      </c>
      <c r="AB926" t="s">
        <v>45</v>
      </c>
      <c r="AC926" t="s">
        <v>7832</v>
      </c>
    </row>
    <row r="927" spans="1:29">
      <c r="A927" t="s">
        <v>727</v>
      </c>
      <c r="B927" s="1">
        <v>118818</v>
      </c>
      <c r="C927" t="s">
        <v>212</v>
      </c>
      <c r="D927" t="s">
        <v>31</v>
      </c>
      <c r="E927" s="1">
        <v>-8824</v>
      </c>
      <c r="F927" t="s">
        <v>2162</v>
      </c>
      <c r="G927" t="s">
        <v>2116</v>
      </c>
      <c r="H927" t="s">
        <v>7981</v>
      </c>
      <c r="I927">
        <v>4</v>
      </c>
      <c r="J927" t="s">
        <v>6195</v>
      </c>
      <c r="K927">
        <v>81</v>
      </c>
      <c r="L927" t="s">
        <v>7982</v>
      </c>
      <c r="M927" t="s">
        <v>7983</v>
      </c>
      <c r="N927" t="s">
        <v>7984</v>
      </c>
      <c r="O927" t="s">
        <v>7830</v>
      </c>
      <c r="P927" t="s">
        <v>7985</v>
      </c>
      <c r="Q927" t="s">
        <v>7986</v>
      </c>
      <c r="R927" t="s">
        <v>7987</v>
      </c>
      <c r="S927" s="2">
        <v>31930</v>
      </c>
      <c r="T927" t="s">
        <v>2466</v>
      </c>
      <c r="U927" t="s">
        <v>7988</v>
      </c>
      <c r="V927">
        <v>1</v>
      </c>
      <c r="W927">
        <v>1</v>
      </c>
      <c r="X927">
        <v>291293</v>
      </c>
      <c r="Y927" t="s">
        <v>1882</v>
      </c>
      <c r="Z927" t="s">
        <v>7986</v>
      </c>
      <c r="AA927" t="s">
        <v>7831</v>
      </c>
      <c r="AB927" t="s">
        <v>45</v>
      </c>
      <c r="AC927" t="s">
        <v>7832</v>
      </c>
    </row>
    <row r="928" spans="1:29">
      <c r="A928" t="s">
        <v>1289</v>
      </c>
      <c r="B928" s="1">
        <v>159805</v>
      </c>
      <c r="C928" t="s">
        <v>1880</v>
      </c>
      <c r="D928" t="s">
        <v>31</v>
      </c>
      <c r="E928" s="1">
        <v>-5093</v>
      </c>
      <c r="F928" t="s">
        <v>1812</v>
      </c>
      <c r="G928" t="s">
        <v>4367</v>
      </c>
      <c r="H928" t="s">
        <v>4368</v>
      </c>
      <c r="I928">
        <v>4</v>
      </c>
      <c r="J928" t="s">
        <v>1238</v>
      </c>
      <c r="K928">
        <v>80</v>
      </c>
      <c r="L928" t="s">
        <v>4369</v>
      </c>
      <c r="M928" t="s">
        <v>4370</v>
      </c>
      <c r="N928" t="s">
        <v>4371</v>
      </c>
      <c r="O928" t="s">
        <v>7830</v>
      </c>
      <c r="P928" t="s">
        <v>4372</v>
      </c>
      <c r="Q928" t="s">
        <v>4373</v>
      </c>
      <c r="R928" t="s">
        <v>4371</v>
      </c>
      <c r="S928" s="2">
        <v>42405</v>
      </c>
      <c r="T928" t="s">
        <v>4374</v>
      </c>
      <c r="U928" t="s">
        <v>4375</v>
      </c>
      <c r="V928">
        <v>1</v>
      </c>
      <c r="W928">
        <v>11</v>
      </c>
      <c r="X928">
        <v>208373</v>
      </c>
      <c r="Y928" t="s">
        <v>1553</v>
      </c>
      <c r="Z928" t="s">
        <v>4373</v>
      </c>
      <c r="AA928" t="s">
        <v>7831</v>
      </c>
      <c r="AB928" t="s">
        <v>45</v>
      </c>
      <c r="AC928" t="s">
        <v>7832</v>
      </c>
    </row>
    <row r="929" spans="1:29">
      <c r="A929" t="s">
        <v>6662</v>
      </c>
      <c r="B929" s="1">
        <v>113324</v>
      </c>
      <c r="C929" t="s">
        <v>503</v>
      </c>
      <c r="D929" t="s">
        <v>31</v>
      </c>
      <c r="E929" s="1">
        <v>-3131</v>
      </c>
      <c r="F929" t="s">
        <v>3123</v>
      </c>
      <c r="G929" t="s">
        <v>1374</v>
      </c>
      <c r="H929" t="s">
        <v>7893</v>
      </c>
      <c r="I929">
        <v>4</v>
      </c>
      <c r="J929" t="s">
        <v>7514</v>
      </c>
      <c r="K929">
        <v>80</v>
      </c>
      <c r="L929" t="s">
        <v>7989</v>
      </c>
      <c r="M929" t="s">
        <v>7990</v>
      </c>
      <c r="N929" t="s">
        <v>7991</v>
      </c>
      <c r="O929" t="s">
        <v>7830</v>
      </c>
      <c r="P929" t="s">
        <v>7992</v>
      </c>
      <c r="Q929" t="s">
        <v>7993</v>
      </c>
      <c r="R929" t="s">
        <v>7994</v>
      </c>
      <c r="S929" s="2">
        <v>39380</v>
      </c>
      <c r="T929" t="s">
        <v>1312</v>
      </c>
      <c r="U929" t="s">
        <v>7995</v>
      </c>
      <c r="V929">
        <v>1</v>
      </c>
      <c r="W929">
        <v>2</v>
      </c>
      <c r="X929">
        <v>251240</v>
      </c>
      <c r="Y929" t="s">
        <v>969</v>
      </c>
      <c r="Z929" t="s">
        <v>7993</v>
      </c>
      <c r="AA929" t="s">
        <v>7831</v>
      </c>
      <c r="AB929" t="s">
        <v>45</v>
      </c>
      <c r="AC929" t="s">
        <v>7832</v>
      </c>
    </row>
    <row r="930" spans="1:29">
      <c r="A930" t="s">
        <v>5156</v>
      </c>
      <c r="B930" t="s">
        <v>7996</v>
      </c>
      <c r="C930" t="s">
        <v>5292</v>
      </c>
      <c r="D930" t="s">
        <v>31</v>
      </c>
      <c r="E930" s="1">
        <v>-4282</v>
      </c>
      <c r="F930" t="s">
        <v>1599</v>
      </c>
      <c r="G930" t="s">
        <v>2219</v>
      </c>
      <c r="H930" t="s">
        <v>6476</v>
      </c>
      <c r="I930">
        <v>4</v>
      </c>
      <c r="J930" t="s">
        <v>7724</v>
      </c>
      <c r="K930">
        <v>80</v>
      </c>
      <c r="L930" t="s">
        <v>7997</v>
      </c>
      <c r="M930" t="s">
        <v>7998</v>
      </c>
      <c r="N930" t="s">
        <v>6480</v>
      </c>
      <c r="O930" t="s">
        <v>7830</v>
      </c>
      <c r="P930" t="s">
        <v>7999</v>
      </c>
      <c r="Q930" t="s">
        <v>8000</v>
      </c>
      <c r="R930" t="s">
        <v>6480</v>
      </c>
      <c r="S930" s="2">
        <v>42691</v>
      </c>
      <c r="T930">
        <v>0</v>
      </c>
      <c r="U930" t="s">
        <v>6484</v>
      </c>
      <c r="V930">
        <v>1</v>
      </c>
      <c r="W930">
        <v>1</v>
      </c>
      <c r="X930">
        <v>225983</v>
      </c>
      <c r="Y930" t="s">
        <v>4406</v>
      </c>
      <c r="Z930" t="s">
        <v>8000</v>
      </c>
      <c r="AA930" t="s">
        <v>7831</v>
      </c>
      <c r="AB930" t="s">
        <v>45</v>
      </c>
      <c r="AC930" t="s">
        <v>7832</v>
      </c>
    </row>
    <row r="931" spans="1:29">
      <c r="A931" t="s">
        <v>2118</v>
      </c>
      <c r="B931" s="1">
        <v>120372</v>
      </c>
      <c r="C931" t="s">
        <v>2830</v>
      </c>
      <c r="D931" t="s">
        <v>31</v>
      </c>
      <c r="E931" s="1">
        <v>-4897</v>
      </c>
      <c r="F931" t="s">
        <v>1264</v>
      </c>
      <c r="G931" t="s">
        <v>332</v>
      </c>
      <c r="H931" t="s">
        <v>8001</v>
      </c>
      <c r="I931">
        <v>4</v>
      </c>
      <c r="J931" t="s">
        <v>1013</v>
      </c>
      <c r="K931">
        <v>80</v>
      </c>
      <c r="L931" t="s">
        <v>8002</v>
      </c>
      <c r="M931" t="s">
        <v>8003</v>
      </c>
      <c r="N931" t="s">
        <v>8004</v>
      </c>
      <c r="O931" t="s">
        <v>7830</v>
      </c>
      <c r="P931" t="s">
        <v>8005</v>
      </c>
      <c r="Q931" t="s">
        <v>8006</v>
      </c>
      <c r="R931" t="s">
        <v>8007</v>
      </c>
      <c r="S931" s="2">
        <v>30603</v>
      </c>
      <c r="T931" t="s">
        <v>8008</v>
      </c>
      <c r="U931" t="s">
        <v>8009</v>
      </c>
      <c r="V931">
        <v>1</v>
      </c>
      <c r="W931">
        <v>6</v>
      </c>
      <c r="X931">
        <v>238267</v>
      </c>
      <c r="Y931" t="s">
        <v>4007</v>
      </c>
      <c r="Z931" t="s">
        <v>8006</v>
      </c>
      <c r="AA931" t="s">
        <v>7831</v>
      </c>
      <c r="AB931" t="s">
        <v>45</v>
      </c>
      <c r="AC931" t="s">
        <v>7832</v>
      </c>
    </row>
    <row r="932" spans="1:29">
      <c r="A932" t="s">
        <v>2918</v>
      </c>
      <c r="B932" t="s">
        <v>6030</v>
      </c>
      <c r="C932" t="s">
        <v>1456</v>
      </c>
      <c r="D932" t="s">
        <v>31</v>
      </c>
      <c r="E932" s="1">
        <v>-6205</v>
      </c>
      <c r="F932" t="s">
        <v>4151</v>
      </c>
      <c r="G932" t="s">
        <v>1098</v>
      </c>
      <c r="H932" t="s">
        <v>6031</v>
      </c>
      <c r="I932">
        <v>4</v>
      </c>
      <c r="J932" t="s">
        <v>5346</v>
      </c>
      <c r="K932">
        <v>80</v>
      </c>
      <c r="L932" t="s">
        <v>6032</v>
      </c>
      <c r="M932" t="s">
        <v>6033</v>
      </c>
      <c r="N932" t="s">
        <v>6034</v>
      </c>
      <c r="O932" t="s">
        <v>7830</v>
      </c>
      <c r="P932" t="s">
        <v>6035</v>
      </c>
      <c r="Q932" t="s">
        <v>6036</v>
      </c>
      <c r="R932" t="s">
        <v>6037</v>
      </c>
      <c r="S932" s="2">
        <v>30991</v>
      </c>
      <c r="T932">
        <v>0</v>
      </c>
      <c r="U932" t="s">
        <v>6038</v>
      </c>
      <c r="V932">
        <v>1</v>
      </c>
      <c r="W932">
        <v>2</v>
      </c>
      <c r="X932">
        <v>216053</v>
      </c>
      <c r="Y932" t="s">
        <v>6039</v>
      </c>
      <c r="Z932" t="s">
        <v>6036</v>
      </c>
      <c r="AA932" t="s">
        <v>7831</v>
      </c>
      <c r="AB932" t="s">
        <v>45</v>
      </c>
      <c r="AC932" t="s">
        <v>7832</v>
      </c>
    </row>
    <row r="933" spans="1:29">
      <c r="A933" t="s">
        <v>770</v>
      </c>
      <c r="B933" t="s">
        <v>8010</v>
      </c>
      <c r="C933" t="s">
        <v>460</v>
      </c>
      <c r="D933" t="s">
        <v>31</v>
      </c>
      <c r="E933" s="1">
        <v>-3293</v>
      </c>
      <c r="F933" t="s">
        <v>1653</v>
      </c>
      <c r="G933" t="s">
        <v>4065</v>
      </c>
      <c r="H933" t="s">
        <v>8011</v>
      </c>
      <c r="I933">
        <v>4</v>
      </c>
      <c r="J933" t="s">
        <v>2885</v>
      </c>
      <c r="K933">
        <v>80</v>
      </c>
      <c r="L933" t="s">
        <v>8012</v>
      </c>
      <c r="M933" t="s">
        <v>8013</v>
      </c>
      <c r="N933" t="s">
        <v>8014</v>
      </c>
      <c r="O933" t="s">
        <v>7830</v>
      </c>
      <c r="P933" t="s">
        <v>8015</v>
      </c>
      <c r="Q933" t="s">
        <v>8016</v>
      </c>
      <c r="R933" t="s">
        <v>8017</v>
      </c>
      <c r="S933" s="2">
        <v>40858</v>
      </c>
      <c r="T933">
        <v>0</v>
      </c>
      <c r="U933" t="s">
        <v>8018</v>
      </c>
      <c r="V933">
        <v>1</v>
      </c>
      <c r="W933">
        <v>9</v>
      </c>
      <c r="X933">
        <v>210960</v>
      </c>
      <c r="Y933" t="s">
        <v>8019</v>
      </c>
      <c r="Z933" t="s">
        <v>8016</v>
      </c>
      <c r="AA933" t="s">
        <v>7831</v>
      </c>
      <c r="AB933" t="s">
        <v>45</v>
      </c>
      <c r="AC933" t="s">
        <v>7832</v>
      </c>
    </row>
    <row r="934" spans="1:29">
      <c r="A934" t="s">
        <v>1679</v>
      </c>
      <c r="B934" s="1">
        <v>120021</v>
      </c>
      <c r="C934" t="s">
        <v>290</v>
      </c>
      <c r="D934" t="s">
        <v>31</v>
      </c>
      <c r="E934" s="1">
        <v>-6548</v>
      </c>
      <c r="F934" t="s">
        <v>1596</v>
      </c>
      <c r="G934" t="s">
        <v>654</v>
      </c>
      <c r="H934" t="s">
        <v>8020</v>
      </c>
      <c r="I934">
        <v>4</v>
      </c>
      <c r="J934" t="s">
        <v>5602</v>
      </c>
      <c r="K934">
        <v>80</v>
      </c>
      <c r="L934" t="s">
        <v>8021</v>
      </c>
      <c r="M934" t="s">
        <v>8022</v>
      </c>
      <c r="N934" t="s">
        <v>8023</v>
      </c>
      <c r="O934" t="s">
        <v>7830</v>
      </c>
      <c r="P934" t="s">
        <v>8024</v>
      </c>
      <c r="Q934" t="s">
        <v>8025</v>
      </c>
      <c r="R934" t="s">
        <v>8026</v>
      </c>
      <c r="S934" s="2">
        <v>40909</v>
      </c>
      <c r="T934" t="s">
        <v>8027</v>
      </c>
      <c r="U934" t="s">
        <v>8028</v>
      </c>
      <c r="V934">
        <v>1</v>
      </c>
      <c r="W934">
        <v>7</v>
      </c>
      <c r="X934">
        <v>193400</v>
      </c>
      <c r="Y934" t="s">
        <v>1734</v>
      </c>
      <c r="Z934" t="s">
        <v>8025</v>
      </c>
      <c r="AA934" t="s">
        <v>7831</v>
      </c>
      <c r="AB934" t="s">
        <v>45</v>
      </c>
      <c r="AC934" t="s">
        <v>7832</v>
      </c>
    </row>
    <row r="935" spans="1:29">
      <c r="A935" t="s">
        <v>630</v>
      </c>
      <c r="B935" t="s">
        <v>4695</v>
      </c>
      <c r="C935" t="s">
        <v>226</v>
      </c>
      <c r="D935" t="s">
        <v>31</v>
      </c>
      <c r="E935" s="1">
        <v>-2862</v>
      </c>
      <c r="F935" t="s">
        <v>5177</v>
      </c>
      <c r="G935" t="s">
        <v>2611</v>
      </c>
      <c r="H935" t="s">
        <v>8029</v>
      </c>
      <c r="I935">
        <v>4</v>
      </c>
      <c r="J935" t="s">
        <v>49</v>
      </c>
      <c r="K935">
        <v>80</v>
      </c>
      <c r="L935" t="s">
        <v>8030</v>
      </c>
      <c r="M935" t="s">
        <v>8031</v>
      </c>
      <c r="N935" t="s">
        <v>8032</v>
      </c>
      <c r="O935" t="s">
        <v>7830</v>
      </c>
      <c r="P935" t="s">
        <v>8033</v>
      </c>
      <c r="Q935" t="s">
        <v>8034</v>
      </c>
      <c r="R935" t="s">
        <v>8035</v>
      </c>
      <c r="S935" s="2">
        <v>43280</v>
      </c>
      <c r="T935">
        <v>0</v>
      </c>
      <c r="U935" t="s">
        <v>8036</v>
      </c>
      <c r="V935">
        <v>1</v>
      </c>
      <c r="W935">
        <v>7</v>
      </c>
      <c r="X935">
        <v>221176</v>
      </c>
      <c r="Y935" t="s">
        <v>1692</v>
      </c>
      <c r="Z935" t="s">
        <v>8034</v>
      </c>
      <c r="AA935" t="s">
        <v>7831</v>
      </c>
      <c r="AB935" t="s">
        <v>45</v>
      </c>
      <c r="AC935" t="s">
        <v>7832</v>
      </c>
    </row>
    <row r="936" spans="1:29">
      <c r="A936" t="s">
        <v>250</v>
      </c>
      <c r="B936" s="1">
        <v>126062</v>
      </c>
      <c r="C936" t="s">
        <v>215</v>
      </c>
      <c r="D936" t="s">
        <v>31</v>
      </c>
      <c r="E936" s="1">
        <v>-3674</v>
      </c>
      <c r="F936" t="s">
        <v>743</v>
      </c>
      <c r="G936" t="s">
        <v>1951</v>
      </c>
      <c r="H936" t="s">
        <v>4317</v>
      </c>
      <c r="I936">
        <v>4</v>
      </c>
      <c r="J936" t="s">
        <v>593</v>
      </c>
      <c r="K936">
        <v>80</v>
      </c>
      <c r="L936" t="s">
        <v>4318</v>
      </c>
      <c r="M936" t="s">
        <v>4319</v>
      </c>
      <c r="N936" t="s">
        <v>4320</v>
      </c>
      <c r="O936" t="s">
        <v>7830</v>
      </c>
      <c r="P936" t="s">
        <v>4321</v>
      </c>
      <c r="Q936" t="s">
        <v>4322</v>
      </c>
      <c r="R936" t="s">
        <v>4323</v>
      </c>
      <c r="S936" s="2">
        <v>41250</v>
      </c>
      <c r="T936" t="s">
        <v>1442</v>
      </c>
      <c r="U936" t="s">
        <v>4324</v>
      </c>
      <c r="V936">
        <v>0</v>
      </c>
      <c r="W936">
        <v>0</v>
      </c>
      <c r="X936">
        <v>245040</v>
      </c>
      <c r="Y936" t="s">
        <v>4325</v>
      </c>
      <c r="Z936" t="s">
        <v>4322</v>
      </c>
      <c r="AA936" t="s">
        <v>7831</v>
      </c>
      <c r="AB936" t="s">
        <v>45</v>
      </c>
      <c r="AC936" t="s">
        <v>7832</v>
      </c>
    </row>
    <row r="937" spans="1:29">
      <c r="A937" t="s">
        <v>1431</v>
      </c>
      <c r="B937" t="s">
        <v>8037</v>
      </c>
      <c r="C937" t="s">
        <v>5334</v>
      </c>
      <c r="D937" t="s">
        <v>31</v>
      </c>
      <c r="E937" s="1">
        <v>-5562</v>
      </c>
      <c r="F937" t="s">
        <v>8038</v>
      </c>
      <c r="G937" t="s">
        <v>1422</v>
      </c>
      <c r="H937" t="s">
        <v>8039</v>
      </c>
      <c r="I937">
        <v>4</v>
      </c>
      <c r="J937" t="s">
        <v>1276</v>
      </c>
      <c r="K937">
        <v>80</v>
      </c>
      <c r="L937" t="s">
        <v>8040</v>
      </c>
      <c r="M937" t="s">
        <v>8041</v>
      </c>
      <c r="N937" t="s">
        <v>8042</v>
      </c>
      <c r="O937" t="s">
        <v>7830</v>
      </c>
      <c r="P937" t="s">
        <v>8043</v>
      </c>
      <c r="Q937" t="s">
        <v>8044</v>
      </c>
      <c r="R937" t="s">
        <v>8045</v>
      </c>
      <c r="S937" s="2">
        <v>38972</v>
      </c>
      <c r="T937">
        <v>0</v>
      </c>
      <c r="U937" t="s">
        <v>8046</v>
      </c>
      <c r="V937">
        <v>0</v>
      </c>
      <c r="W937">
        <v>7</v>
      </c>
      <c r="X937">
        <v>242733</v>
      </c>
      <c r="Y937" t="s">
        <v>172</v>
      </c>
      <c r="Z937" t="s">
        <v>8044</v>
      </c>
      <c r="AA937" t="s">
        <v>7831</v>
      </c>
      <c r="AB937" t="s">
        <v>45</v>
      </c>
      <c r="AC937" t="s">
        <v>7832</v>
      </c>
    </row>
    <row r="938" spans="1:29">
      <c r="A938" t="s">
        <v>4462</v>
      </c>
      <c r="B938" s="1">
        <v>127966</v>
      </c>
      <c r="C938" t="s">
        <v>487</v>
      </c>
      <c r="D938" t="s">
        <v>31</v>
      </c>
      <c r="E938" s="1">
        <v>-6375</v>
      </c>
      <c r="F938" t="s">
        <v>1456</v>
      </c>
      <c r="G938" t="s">
        <v>3984</v>
      </c>
      <c r="H938" t="s">
        <v>8047</v>
      </c>
      <c r="I938">
        <v>4</v>
      </c>
      <c r="J938" t="s">
        <v>6107</v>
      </c>
      <c r="K938">
        <v>80</v>
      </c>
      <c r="L938" t="s">
        <v>8048</v>
      </c>
      <c r="M938" t="s">
        <v>8049</v>
      </c>
      <c r="N938" t="s">
        <v>8050</v>
      </c>
      <c r="O938" t="s">
        <v>7830</v>
      </c>
      <c r="P938" t="s">
        <v>8051</v>
      </c>
      <c r="Q938" t="s">
        <v>8052</v>
      </c>
      <c r="R938" t="s">
        <v>8053</v>
      </c>
      <c r="S938" s="2">
        <v>39814</v>
      </c>
      <c r="T938">
        <v>0</v>
      </c>
      <c r="U938" t="s">
        <v>8054</v>
      </c>
      <c r="V938">
        <v>1</v>
      </c>
      <c r="W938">
        <v>0</v>
      </c>
      <c r="X938">
        <v>289133</v>
      </c>
      <c r="Y938" t="s">
        <v>8055</v>
      </c>
      <c r="Z938" t="s">
        <v>8052</v>
      </c>
      <c r="AA938" t="s">
        <v>7831</v>
      </c>
      <c r="AB938" t="s">
        <v>45</v>
      </c>
      <c r="AC938" t="s">
        <v>7832</v>
      </c>
    </row>
    <row r="939" spans="1:29">
      <c r="A939" t="s">
        <v>2598</v>
      </c>
      <c r="B939" t="s">
        <v>8056</v>
      </c>
      <c r="C939" t="s">
        <v>4193</v>
      </c>
      <c r="D939" t="s">
        <v>31</v>
      </c>
      <c r="E939" s="1">
        <v>-8118</v>
      </c>
      <c r="F939" t="s">
        <v>8057</v>
      </c>
      <c r="G939" t="s">
        <v>1153</v>
      </c>
      <c r="H939" t="s">
        <v>7237</v>
      </c>
      <c r="I939">
        <v>4</v>
      </c>
      <c r="J939" t="s">
        <v>8058</v>
      </c>
      <c r="K939">
        <v>79</v>
      </c>
      <c r="L939" t="s">
        <v>8059</v>
      </c>
      <c r="M939" t="s">
        <v>8060</v>
      </c>
      <c r="N939" t="s">
        <v>7920</v>
      </c>
      <c r="O939" t="s">
        <v>7830</v>
      </c>
      <c r="P939" t="s">
        <v>8061</v>
      </c>
      <c r="Q939" t="s">
        <v>8062</v>
      </c>
      <c r="R939" t="s">
        <v>8063</v>
      </c>
      <c r="S939" s="2">
        <v>42321</v>
      </c>
      <c r="T939" t="s">
        <v>8064</v>
      </c>
      <c r="U939" t="s">
        <v>7924</v>
      </c>
      <c r="V939">
        <v>0</v>
      </c>
      <c r="W939">
        <v>5</v>
      </c>
      <c r="X939">
        <v>205680</v>
      </c>
      <c r="Y939" t="s">
        <v>2641</v>
      </c>
      <c r="Z939" t="s">
        <v>8062</v>
      </c>
      <c r="AA939" t="s">
        <v>7831</v>
      </c>
      <c r="AB939" t="s">
        <v>45</v>
      </c>
      <c r="AC939" t="s">
        <v>7832</v>
      </c>
    </row>
    <row r="940" spans="1:29">
      <c r="A940" t="s">
        <v>119</v>
      </c>
      <c r="B940" s="1">
        <v>122669</v>
      </c>
      <c r="C940" t="s">
        <v>2918</v>
      </c>
      <c r="D940" t="s">
        <v>31</v>
      </c>
      <c r="E940" s="1">
        <v>-5582</v>
      </c>
      <c r="F940" t="s">
        <v>8065</v>
      </c>
      <c r="G940" t="s">
        <v>2411</v>
      </c>
      <c r="H940" t="s">
        <v>8066</v>
      </c>
      <c r="I940">
        <v>4</v>
      </c>
      <c r="J940" t="s">
        <v>854</v>
      </c>
      <c r="K940">
        <v>79</v>
      </c>
      <c r="L940" t="s">
        <v>8067</v>
      </c>
      <c r="M940" t="s">
        <v>8068</v>
      </c>
      <c r="N940" t="s">
        <v>8069</v>
      </c>
      <c r="O940" t="s">
        <v>7830</v>
      </c>
      <c r="P940" t="s">
        <v>8070</v>
      </c>
      <c r="Q940" t="s">
        <v>8071</v>
      </c>
      <c r="R940" t="s">
        <v>8072</v>
      </c>
      <c r="S940" s="2">
        <v>39601</v>
      </c>
      <c r="T940" t="s">
        <v>8073</v>
      </c>
      <c r="U940" t="s">
        <v>8074</v>
      </c>
      <c r="V940">
        <v>0</v>
      </c>
      <c r="W940">
        <v>6</v>
      </c>
      <c r="X940">
        <v>267080</v>
      </c>
      <c r="Y940" t="s">
        <v>3026</v>
      </c>
      <c r="Z940" t="s">
        <v>8071</v>
      </c>
      <c r="AA940" t="s">
        <v>7831</v>
      </c>
      <c r="AB940" t="s">
        <v>45</v>
      </c>
      <c r="AC940" t="s">
        <v>7832</v>
      </c>
    </row>
    <row r="941" spans="1:29">
      <c r="A941" t="s">
        <v>1443</v>
      </c>
      <c r="B941" s="1">
        <v>110009</v>
      </c>
      <c r="C941" t="s">
        <v>1539</v>
      </c>
      <c r="D941" t="s">
        <v>31</v>
      </c>
      <c r="E941" s="1">
        <v>-6149</v>
      </c>
      <c r="F941" t="s">
        <v>3291</v>
      </c>
      <c r="G941" t="s">
        <v>5673</v>
      </c>
      <c r="H941" t="s">
        <v>8075</v>
      </c>
      <c r="I941">
        <v>4</v>
      </c>
      <c r="J941" t="s">
        <v>3134</v>
      </c>
      <c r="K941">
        <v>79</v>
      </c>
      <c r="L941" t="s">
        <v>8076</v>
      </c>
      <c r="M941" t="s">
        <v>8077</v>
      </c>
      <c r="N941" t="s">
        <v>8078</v>
      </c>
      <c r="O941" t="s">
        <v>7830</v>
      </c>
      <c r="P941" t="s">
        <v>8079</v>
      </c>
      <c r="Q941" t="s">
        <v>8080</v>
      </c>
      <c r="R941" t="s">
        <v>8081</v>
      </c>
      <c r="S941" s="2">
        <v>35065</v>
      </c>
      <c r="T941">
        <v>0</v>
      </c>
      <c r="U941" t="s">
        <v>8082</v>
      </c>
      <c r="V941">
        <v>1</v>
      </c>
      <c r="W941">
        <v>11</v>
      </c>
      <c r="X941">
        <v>173027</v>
      </c>
      <c r="Y941" t="s">
        <v>366</v>
      </c>
      <c r="Z941" t="s">
        <v>8080</v>
      </c>
      <c r="AA941" t="s">
        <v>7831</v>
      </c>
      <c r="AB941" t="s">
        <v>45</v>
      </c>
      <c r="AC941" t="s">
        <v>7832</v>
      </c>
    </row>
    <row r="942" spans="1:29">
      <c r="A942" t="s">
        <v>1989</v>
      </c>
      <c r="B942" s="1">
        <v>128046</v>
      </c>
      <c r="C942" t="s">
        <v>158</v>
      </c>
      <c r="D942" t="s">
        <v>31</v>
      </c>
      <c r="E942" t="s">
        <v>3470</v>
      </c>
      <c r="F942" t="s">
        <v>2437</v>
      </c>
      <c r="G942" t="s">
        <v>758</v>
      </c>
      <c r="H942" t="s">
        <v>8083</v>
      </c>
      <c r="I942">
        <v>4</v>
      </c>
      <c r="J942" t="s">
        <v>2866</v>
      </c>
      <c r="K942">
        <v>79</v>
      </c>
      <c r="L942" t="s">
        <v>8084</v>
      </c>
      <c r="M942" t="s">
        <v>8085</v>
      </c>
      <c r="N942" t="s">
        <v>8086</v>
      </c>
      <c r="O942" t="s">
        <v>7830</v>
      </c>
      <c r="P942" t="s">
        <v>8087</v>
      </c>
      <c r="Q942" t="s">
        <v>8088</v>
      </c>
      <c r="R942" t="s">
        <v>8089</v>
      </c>
      <c r="S942">
        <v>2010</v>
      </c>
      <c r="T942">
        <v>0</v>
      </c>
      <c r="U942" t="s">
        <v>8090</v>
      </c>
      <c r="V942">
        <v>0</v>
      </c>
      <c r="W942">
        <v>11</v>
      </c>
      <c r="X942">
        <v>201493</v>
      </c>
      <c r="Y942" t="s">
        <v>8091</v>
      </c>
      <c r="Z942" t="s">
        <v>8088</v>
      </c>
      <c r="AA942" t="s">
        <v>7831</v>
      </c>
      <c r="AB942" t="s">
        <v>45</v>
      </c>
      <c r="AC942" t="s">
        <v>7832</v>
      </c>
    </row>
    <row r="943" spans="1:29">
      <c r="A943" t="s">
        <v>2918</v>
      </c>
      <c r="B943" s="1">
        <v>95053</v>
      </c>
      <c r="C943" t="s">
        <v>1631</v>
      </c>
      <c r="D943" t="s">
        <v>31</v>
      </c>
      <c r="E943" s="1">
        <v>-5444</v>
      </c>
      <c r="F943" t="s">
        <v>93</v>
      </c>
      <c r="G943" t="s">
        <v>333</v>
      </c>
      <c r="H943" t="s">
        <v>7893</v>
      </c>
      <c r="I943">
        <v>4</v>
      </c>
      <c r="J943" t="s">
        <v>8092</v>
      </c>
      <c r="K943">
        <v>79</v>
      </c>
      <c r="L943" t="s">
        <v>8093</v>
      </c>
      <c r="M943" t="s">
        <v>8094</v>
      </c>
      <c r="N943" t="s">
        <v>8095</v>
      </c>
      <c r="O943" t="s">
        <v>7830</v>
      </c>
      <c r="P943" t="s">
        <v>8096</v>
      </c>
      <c r="Q943" t="s">
        <v>8097</v>
      </c>
      <c r="R943" t="s">
        <v>8098</v>
      </c>
      <c r="S943" s="2">
        <v>36662</v>
      </c>
      <c r="T943" t="s">
        <v>8099</v>
      </c>
      <c r="U943" t="s">
        <v>8100</v>
      </c>
      <c r="V943">
        <v>0</v>
      </c>
      <c r="W943">
        <v>1</v>
      </c>
      <c r="X943">
        <v>211160</v>
      </c>
      <c r="Y943" t="s">
        <v>185</v>
      </c>
      <c r="Z943" t="s">
        <v>8097</v>
      </c>
      <c r="AA943" t="s">
        <v>7831</v>
      </c>
      <c r="AB943" t="s">
        <v>45</v>
      </c>
      <c r="AC943" t="s">
        <v>7832</v>
      </c>
    </row>
    <row r="944" spans="1:29">
      <c r="A944" t="s">
        <v>241</v>
      </c>
      <c r="B944" s="1">
        <v>144438</v>
      </c>
      <c r="C944" t="s">
        <v>728</v>
      </c>
      <c r="D944" t="s">
        <v>31</v>
      </c>
      <c r="E944" s="1">
        <v>-8284</v>
      </c>
      <c r="F944" t="s">
        <v>96</v>
      </c>
      <c r="G944" t="s">
        <v>1736</v>
      </c>
      <c r="H944" t="s">
        <v>8101</v>
      </c>
      <c r="I944">
        <v>4</v>
      </c>
      <c r="J944" t="s">
        <v>1842</v>
      </c>
      <c r="K944">
        <v>79</v>
      </c>
      <c r="L944" t="s">
        <v>8102</v>
      </c>
      <c r="M944" t="s">
        <v>8103</v>
      </c>
      <c r="N944" t="s">
        <v>8104</v>
      </c>
      <c r="O944" t="s">
        <v>7830</v>
      </c>
      <c r="P944" t="s">
        <v>8105</v>
      </c>
      <c r="Q944" t="s">
        <v>8106</v>
      </c>
      <c r="R944" t="s">
        <v>8107</v>
      </c>
      <c r="S944">
        <v>1981</v>
      </c>
      <c r="T944">
        <v>0</v>
      </c>
      <c r="U944" t="s">
        <v>8108</v>
      </c>
      <c r="V944">
        <v>0</v>
      </c>
      <c r="W944">
        <v>0</v>
      </c>
      <c r="X944">
        <v>153800</v>
      </c>
      <c r="Y944" t="s">
        <v>6040</v>
      </c>
      <c r="Z944" t="s">
        <v>8106</v>
      </c>
      <c r="AA944" t="s">
        <v>7831</v>
      </c>
      <c r="AB944" t="s">
        <v>45</v>
      </c>
      <c r="AC944" t="s">
        <v>7832</v>
      </c>
    </row>
    <row r="945" spans="1:29">
      <c r="A945" t="s">
        <v>501</v>
      </c>
      <c r="B945" t="s">
        <v>8109</v>
      </c>
      <c r="C945" t="s">
        <v>1227</v>
      </c>
      <c r="D945" t="s">
        <v>31</v>
      </c>
      <c r="E945" s="1">
        <v>-4541</v>
      </c>
      <c r="F945" t="s">
        <v>2884</v>
      </c>
      <c r="G945" t="s">
        <v>2375</v>
      </c>
      <c r="H945" t="s">
        <v>8110</v>
      </c>
      <c r="I945">
        <v>4</v>
      </c>
      <c r="J945" t="s">
        <v>1879</v>
      </c>
      <c r="K945">
        <v>79</v>
      </c>
      <c r="L945" t="s">
        <v>8111</v>
      </c>
      <c r="M945" t="s">
        <v>8112</v>
      </c>
      <c r="N945" t="s">
        <v>7967</v>
      </c>
      <c r="O945" t="s">
        <v>7830</v>
      </c>
      <c r="P945" t="s">
        <v>8113</v>
      </c>
      <c r="Q945" t="s">
        <v>8114</v>
      </c>
      <c r="R945" t="s">
        <v>8115</v>
      </c>
      <c r="S945" s="2">
        <v>39448</v>
      </c>
      <c r="T945" t="s">
        <v>8116</v>
      </c>
      <c r="U945" t="s">
        <v>7972</v>
      </c>
      <c r="V945">
        <v>0</v>
      </c>
      <c r="W945">
        <v>1</v>
      </c>
      <c r="X945">
        <v>241933</v>
      </c>
      <c r="Y945" t="s">
        <v>382</v>
      </c>
      <c r="Z945" t="s">
        <v>8114</v>
      </c>
      <c r="AA945" t="s">
        <v>7831</v>
      </c>
      <c r="AB945" t="s">
        <v>45</v>
      </c>
      <c r="AC945" t="s">
        <v>7832</v>
      </c>
    </row>
    <row r="946" spans="1:29">
      <c r="A946" t="s">
        <v>4376</v>
      </c>
      <c r="B946" s="1">
        <v>128024</v>
      </c>
      <c r="C946" t="s">
        <v>4281</v>
      </c>
      <c r="D946" t="s">
        <v>31</v>
      </c>
      <c r="E946" s="1">
        <v>-4078</v>
      </c>
      <c r="F946" t="s">
        <v>349</v>
      </c>
      <c r="G946" t="s">
        <v>2751</v>
      </c>
      <c r="H946" t="s">
        <v>4377</v>
      </c>
      <c r="I946">
        <v>4</v>
      </c>
      <c r="J946" t="s">
        <v>2821</v>
      </c>
      <c r="K946">
        <v>79</v>
      </c>
      <c r="L946" t="s">
        <v>4378</v>
      </c>
      <c r="M946" t="s">
        <v>4379</v>
      </c>
      <c r="N946" t="s">
        <v>4236</v>
      </c>
      <c r="O946" t="s">
        <v>7830</v>
      </c>
      <c r="P946" t="s">
        <v>4380</v>
      </c>
      <c r="Q946" t="s">
        <v>4381</v>
      </c>
      <c r="R946" t="s">
        <v>4382</v>
      </c>
      <c r="S946" s="2">
        <v>41943</v>
      </c>
      <c r="T946" t="s">
        <v>681</v>
      </c>
      <c r="U946" t="s">
        <v>4240</v>
      </c>
      <c r="V946">
        <v>0</v>
      </c>
      <c r="W946">
        <v>0</v>
      </c>
      <c r="X946">
        <v>212960</v>
      </c>
      <c r="Y946" t="s">
        <v>4383</v>
      </c>
      <c r="Z946" t="s">
        <v>4381</v>
      </c>
      <c r="AA946" t="s">
        <v>7831</v>
      </c>
      <c r="AB946" t="s">
        <v>45</v>
      </c>
      <c r="AC946" t="s">
        <v>7832</v>
      </c>
    </row>
    <row r="947" spans="1:29">
      <c r="A947" t="s">
        <v>1552</v>
      </c>
      <c r="B947" t="s">
        <v>8117</v>
      </c>
      <c r="C947" t="s">
        <v>4347</v>
      </c>
      <c r="D947" t="s">
        <v>31</v>
      </c>
      <c r="E947" s="1">
        <v>-7961</v>
      </c>
      <c r="F947" t="s">
        <v>3736</v>
      </c>
      <c r="G947" t="s">
        <v>904</v>
      </c>
      <c r="H947" t="s">
        <v>8118</v>
      </c>
      <c r="I947">
        <v>5</v>
      </c>
      <c r="J947" t="s">
        <v>133</v>
      </c>
      <c r="K947">
        <v>78</v>
      </c>
      <c r="L947" t="s">
        <v>8119</v>
      </c>
      <c r="M947" t="s">
        <v>8120</v>
      </c>
      <c r="N947" t="s">
        <v>8121</v>
      </c>
      <c r="O947" t="s">
        <v>7830</v>
      </c>
      <c r="P947" t="s">
        <v>8122</v>
      </c>
      <c r="Q947" t="s">
        <v>8123</v>
      </c>
      <c r="R947" t="s">
        <v>8124</v>
      </c>
      <c r="S947" s="2">
        <v>38414</v>
      </c>
      <c r="T947" t="s">
        <v>8125</v>
      </c>
      <c r="U947" t="s">
        <v>8126</v>
      </c>
      <c r="V947">
        <v>1</v>
      </c>
      <c r="W947">
        <v>11</v>
      </c>
      <c r="X947">
        <v>209107</v>
      </c>
      <c r="Y947" t="s">
        <v>1739</v>
      </c>
      <c r="Z947" t="s">
        <v>8123</v>
      </c>
      <c r="AA947" t="s">
        <v>7831</v>
      </c>
      <c r="AB947" t="s">
        <v>45</v>
      </c>
      <c r="AC947" t="s">
        <v>7832</v>
      </c>
    </row>
    <row r="948" spans="1:29">
      <c r="A948" t="s">
        <v>538</v>
      </c>
      <c r="B948" s="1">
        <v>119528</v>
      </c>
      <c r="C948" t="s">
        <v>1445</v>
      </c>
      <c r="D948" t="s">
        <v>31</v>
      </c>
      <c r="E948" s="1">
        <v>-9655</v>
      </c>
      <c r="F948" t="s">
        <v>64</v>
      </c>
      <c r="G948" t="s">
        <v>2764</v>
      </c>
      <c r="H948" t="s">
        <v>7925</v>
      </c>
      <c r="I948">
        <v>4</v>
      </c>
      <c r="J948" t="s">
        <v>3260</v>
      </c>
      <c r="K948">
        <v>78</v>
      </c>
      <c r="L948" t="s">
        <v>8127</v>
      </c>
      <c r="M948" t="s">
        <v>8128</v>
      </c>
      <c r="N948" t="s">
        <v>8129</v>
      </c>
      <c r="O948" t="s">
        <v>7830</v>
      </c>
      <c r="P948" t="s">
        <v>8130</v>
      </c>
      <c r="Q948" t="s">
        <v>8131</v>
      </c>
      <c r="R948" t="s">
        <v>8132</v>
      </c>
      <c r="S948">
        <v>1979</v>
      </c>
      <c r="T948" t="s">
        <v>8133</v>
      </c>
      <c r="U948" t="s">
        <v>8134</v>
      </c>
      <c r="V948">
        <v>1</v>
      </c>
      <c r="W948">
        <v>10</v>
      </c>
      <c r="X948">
        <v>292613</v>
      </c>
      <c r="Y948" t="s">
        <v>7759</v>
      </c>
      <c r="Z948" t="s">
        <v>8131</v>
      </c>
      <c r="AA948" t="s">
        <v>7831</v>
      </c>
      <c r="AB948" t="s">
        <v>45</v>
      </c>
      <c r="AC948" t="s">
        <v>7832</v>
      </c>
    </row>
    <row r="949" spans="1:29">
      <c r="A949" t="s">
        <v>6765</v>
      </c>
      <c r="B949" s="1">
        <v>129042</v>
      </c>
      <c r="C949" t="s">
        <v>143</v>
      </c>
      <c r="D949" t="s">
        <v>31</v>
      </c>
      <c r="E949" s="1">
        <v>-3145</v>
      </c>
      <c r="F949" t="s">
        <v>255</v>
      </c>
      <c r="G949" t="s">
        <v>50</v>
      </c>
      <c r="H949" t="s">
        <v>8135</v>
      </c>
      <c r="I949">
        <v>4</v>
      </c>
      <c r="J949" t="s">
        <v>7327</v>
      </c>
      <c r="K949">
        <v>78</v>
      </c>
      <c r="L949" t="s">
        <v>8136</v>
      </c>
      <c r="M949" t="s">
        <v>8137</v>
      </c>
      <c r="N949" t="s">
        <v>8138</v>
      </c>
      <c r="O949" t="s">
        <v>7830</v>
      </c>
      <c r="P949" t="s">
        <v>8139</v>
      </c>
      <c r="Q949" t="s">
        <v>8140</v>
      </c>
      <c r="R949" t="s">
        <v>8141</v>
      </c>
      <c r="S949" s="2">
        <v>41166</v>
      </c>
      <c r="T949">
        <v>0</v>
      </c>
      <c r="U949" t="s">
        <v>8142</v>
      </c>
      <c r="V949">
        <v>0</v>
      </c>
      <c r="W949">
        <v>11</v>
      </c>
      <c r="X949">
        <v>212862</v>
      </c>
      <c r="Y949" t="s">
        <v>757</v>
      </c>
      <c r="Z949" t="s">
        <v>8140</v>
      </c>
      <c r="AA949" t="s">
        <v>7831</v>
      </c>
      <c r="AB949" t="s">
        <v>45</v>
      </c>
      <c r="AC949" t="s">
        <v>7832</v>
      </c>
    </row>
    <row r="950" spans="1:29">
      <c r="A950" t="s">
        <v>3577</v>
      </c>
      <c r="B950" s="1">
        <v>123063</v>
      </c>
      <c r="C950" t="s">
        <v>3634</v>
      </c>
      <c r="D950" t="s">
        <v>31</v>
      </c>
      <c r="E950" s="1">
        <v>-5098</v>
      </c>
      <c r="F950" t="s">
        <v>1200</v>
      </c>
      <c r="G950" t="s">
        <v>3634</v>
      </c>
      <c r="H950" t="s">
        <v>4336</v>
      </c>
      <c r="I950">
        <v>4</v>
      </c>
      <c r="J950" t="s">
        <v>4337</v>
      </c>
      <c r="K950">
        <v>78</v>
      </c>
      <c r="L950" t="s">
        <v>4338</v>
      </c>
      <c r="M950" t="s">
        <v>4339</v>
      </c>
      <c r="N950" t="s">
        <v>4340</v>
      </c>
      <c r="O950" t="s">
        <v>7830</v>
      </c>
      <c r="P950" t="s">
        <v>4341</v>
      </c>
      <c r="Q950" t="s">
        <v>4342</v>
      </c>
      <c r="R950" t="s">
        <v>4343</v>
      </c>
      <c r="S950" s="2">
        <v>42272</v>
      </c>
      <c r="T950">
        <v>0</v>
      </c>
      <c r="U950" t="s">
        <v>4344</v>
      </c>
      <c r="V950">
        <v>0</v>
      </c>
      <c r="W950">
        <v>5</v>
      </c>
      <c r="X950">
        <v>219043</v>
      </c>
      <c r="Y950" t="s">
        <v>4345</v>
      </c>
      <c r="Z950" t="s">
        <v>4342</v>
      </c>
      <c r="AA950" t="s">
        <v>7831</v>
      </c>
      <c r="AB950" t="s">
        <v>45</v>
      </c>
      <c r="AC950" t="s">
        <v>7832</v>
      </c>
    </row>
    <row r="951" spans="1:29">
      <c r="A951" t="s">
        <v>4326</v>
      </c>
      <c r="B951" s="1">
        <v>100972</v>
      </c>
      <c r="C951" t="s">
        <v>6809</v>
      </c>
      <c r="D951" t="s">
        <v>31</v>
      </c>
      <c r="E951" s="1">
        <v>-6055</v>
      </c>
      <c r="F951" t="s">
        <v>3956</v>
      </c>
      <c r="G951" t="s">
        <v>4763</v>
      </c>
      <c r="H951" t="s">
        <v>8143</v>
      </c>
      <c r="I951">
        <v>4</v>
      </c>
      <c r="J951" t="s">
        <v>595</v>
      </c>
      <c r="K951">
        <v>78</v>
      </c>
      <c r="L951" t="s">
        <v>8144</v>
      </c>
      <c r="M951" t="s">
        <v>8145</v>
      </c>
      <c r="N951" t="s">
        <v>8146</v>
      </c>
      <c r="O951" t="s">
        <v>7830</v>
      </c>
      <c r="P951" t="s">
        <v>8147</v>
      </c>
      <c r="Q951" t="s">
        <v>8148</v>
      </c>
      <c r="R951" t="s">
        <v>8149</v>
      </c>
      <c r="S951" s="2">
        <v>37564</v>
      </c>
      <c r="T951" t="s">
        <v>8150</v>
      </c>
      <c r="U951" t="s">
        <v>8151</v>
      </c>
      <c r="V951">
        <v>0</v>
      </c>
      <c r="W951">
        <v>4</v>
      </c>
      <c r="X951">
        <v>267267</v>
      </c>
      <c r="Y951" t="s">
        <v>4814</v>
      </c>
      <c r="Z951" t="s">
        <v>8148</v>
      </c>
      <c r="AA951" t="s">
        <v>7831</v>
      </c>
      <c r="AB951" t="s">
        <v>45</v>
      </c>
      <c r="AC951" t="s">
        <v>7832</v>
      </c>
    </row>
    <row r="952" spans="1:29">
      <c r="A952" t="s">
        <v>891</v>
      </c>
      <c r="B952" s="1">
        <v>124921</v>
      </c>
      <c r="C952" t="s">
        <v>3143</v>
      </c>
      <c r="D952" t="s">
        <v>31</v>
      </c>
      <c r="E952" s="1">
        <v>-4509</v>
      </c>
      <c r="F952" t="s">
        <v>2673</v>
      </c>
      <c r="G952" t="s">
        <v>4424</v>
      </c>
      <c r="H952" t="s">
        <v>8066</v>
      </c>
      <c r="I952">
        <v>4</v>
      </c>
      <c r="J952" t="s">
        <v>7294</v>
      </c>
      <c r="K952">
        <v>78</v>
      </c>
      <c r="L952" t="s">
        <v>8152</v>
      </c>
      <c r="M952" t="s">
        <v>8153</v>
      </c>
      <c r="N952" t="s">
        <v>8069</v>
      </c>
      <c r="O952" t="s">
        <v>7830</v>
      </c>
      <c r="P952" t="s">
        <v>8154</v>
      </c>
      <c r="Q952" t="s">
        <v>8155</v>
      </c>
      <c r="R952" t="s">
        <v>8156</v>
      </c>
      <c r="S952" s="2">
        <v>39601</v>
      </c>
      <c r="T952">
        <v>0</v>
      </c>
      <c r="U952" t="s">
        <v>8074</v>
      </c>
      <c r="V952">
        <v>0</v>
      </c>
      <c r="W952">
        <v>11</v>
      </c>
      <c r="X952">
        <v>238627</v>
      </c>
      <c r="Y952" t="s">
        <v>8157</v>
      </c>
      <c r="Z952" t="s">
        <v>8155</v>
      </c>
      <c r="AA952" t="s">
        <v>7831</v>
      </c>
      <c r="AB952" t="s">
        <v>45</v>
      </c>
      <c r="AC952" t="s">
        <v>7832</v>
      </c>
    </row>
    <row r="953" spans="1:29">
      <c r="A953" t="s">
        <v>238</v>
      </c>
      <c r="B953" s="1">
        <v>132975</v>
      </c>
      <c r="C953" t="s">
        <v>1335</v>
      </c>
      <c r="D953" t="s">
        <v>31</v>
      </c>
      <c r="E953" t="s">
        <v>8158</v>
      </c>
      <c r="F953" t="s">
        <v>7327</v>
      </c>
      <c r="G953" t="s">
        <v>3292</v>
      </c>
      <c r="H953" t="s">
        <v>8159</v>
      </c>
      <c r="I953">
        <v>4</v>
      </c>
      <c r="J953" t="s">
        <v>8160</v>
      </c>
      <c r="K953">
        <v>78</v>
      </c>
      <c r="L953" t="s">
        <v>8161</v>
      </c>
      <c r="M953" t="s">
        <v>8162</v>
      </c>
      <c r="N953" t="s">
        <v>8163</v>
      </c>
      <c r="O953" t="s">
        <v>7830</v>
      </c>
      <c r="P953" t="s">
        <v>8164</v>
      </c>
      <c r="Q953" t="s">
        <v>8165</v>
      </c>
      <c r="R953" t="s">
        <v>8163</v>
      </c>
      <c r="S953">
        <v>1998</v>
      </c>
      <c r="T953">
        <v>0</v>
      </c>
      <c r="U953" t="s">
        <v>8166</v>
      </c>
      <c r="V953">
        <v>1</v>
      </c>
      <c r="W953">
        <v>6</v>
      </c>
      <c r="X953">
        <v>239027</v>
      </c>
      <c r="Y953" t="s">
        <v>8167</v>
      </c>
      <c r="Z953" t="s">
        <v>8165</v>
      </c>
      <c r="AA953" t="s">
        <v>7831</v>
      </c>
      <c r="AB953" t="s">
        <v>45</v>
      </c>
      <c r="AC953" t="s">
        <v>7832</v>
      </c>
    </row>
    <row r="954" spans="1:29">
      <c r="A954" t="s">
        <v>6662</v>
      </c>
      <c r="B954" s="1">
        <v>131459</v>
      </c>
      <c r="C954" t="s">
        <v>2467</v>
      </c>
      <c r="D954" t="s">
        <v>31</v>
      </c>
      <c r="E954" s="1">
        <v>-8824</v>
      </c>
      <c r="F954" t="s">
        <v>8168</v>
      </c>
      <c r="G954" t="s">
        <v>92</v>
      </c>
      <c r="H954" t="s">
        <v>8169</v>
      </c>
      <c r="I954">
        <v>4</v>
      </c>
      <c r="J954" t="s">
        <v>8170</v>
      </c>
      <c r="K954">
        <v>78</v>
      </c>
      <c r="L954" t="s">
        <v>8171</v>
      </c>
      <c r="M954" t="s">
        <v>8172</v>
      </c>
      <c r="N954" t="s">
        <v>8173</v>
      </c>
      <c r="O954" t="s">
        <v>7830</v>
      </c>
      <c r="P954" t="s">
        <v>8174</v>
      </c>
      <c r="Q954" t="s">
        <v>8175</v>
      </c>
      <c r="R954" t="s">
        <v>8176</v>
      </c>
      <c r="S954" s="2">
        <v>27691</v>
      </c>
      <c r="T954" t="s">
        <v>8177</v>
      </c>
      <c r="U954" t="s">
        <v>8178</v>
      </c>
      <c r="V954">
        <v>1</v>
      </c>
      <c r="W954">
        <v>5</v>
      </c>
      <c r="X954">
        <v>275440</v>
      </c>
      <c r="Y954" t="s">
        <v>2013</v>
      </c>
      <c r="Z954" t="s">
        <v>8175</v>
      </c>
      <c r="AA954" t="s">
        <v>7831</v>
      </c>
      <c r="AB954" t="s">
        <v>45</v>
      </c>
      <c r="AC954" t="s">
        <v>7832</v>
      </c>
    </row>
    <row r="955" spans="1:29">
      <c r="A955" t="s">
        <v>346</v>
      </c>
      <c r="B955" s="1">
        <v>126007</v>
      </c>
      <c r="C955" t="s">
        <v>4462</v>
      </c>
      <c r="D955" t="s">
        <v>31</v>
      </c>
      <c r="E955" s="1">
        <v>-7516</v>
      </c>
      <c r="F955" t="s">
        <v>1211</v>
      </c>
      <c r="G955" t="s">
        <v>1422</v>
      </c>
      <c r="H955" t="s">
        <v>8179</v>
      </c>
      <c r="I955">
        <v>4</v>
      </c>
      <c r="J955" t="s">
        <v>7697</v>
      </c>
      <c r="K955">
        <v>78</v>
      </c>
      <c r="L955" t="s">
        <v>8180</v>
      </c>
      <c r="M955" t="s">
        <v>8181</v>
      </c>
      <c r="N955" t="s">
        <v>8182</v>
      </c>
      <c r="O955" t="s">
        <v>7830</v>
      </c>
      <c r="P955" t="s">
        <v>8183</v>
      </c>
      <c r="Q955" t="s">
        <v>8184</v>
      </c>
      <c r="R955" t="s">
        <v>8185</v>
      </c>
      <c r="S955" s="2">
        <v>37165</v>
      </c>
      <c r="T955" t="s">
        <v>1536</v>
      </c>
      <c r="U955" t="s">
        <v>8186</v>
      </c>
      <c r="V955">
        <v>0</v>
      </c>
      <c r="W955">
        <v>9</v>
      </c>
      <c r="X955">
        <v>230640</v>
      </c>
      <c r="Y955" t="s">
        <v>8187</v>
      </c>
      <c r="Z955" t="s">
        <v>8184</v>
      </c>
      <c r="AA955" t="s">
        <v>7831</v>
      </c>
      <c r="AB955" t="s">
        <v>45</v>
      </c>
      <c r="AC955" t="s">
        <v>7832</v>
      </c>
    </row>
    <row r="956" spans="1:29">
      <c r="A956" t="s">
        <v>2905</v>
      </c>
      <c r="B956" t="s">
        <v>8188</v>
      </c>
      <c r="C956" t="s">
        <v>5611</v>
      </c>
      <c r="D956" t="s">
        <v>31</v>
      </c>
      <c r="E956" s="1">
        <v>-4675</v>
      </c>
      <c r="F956" t="s">
        <v>2973</v>
      </c>
      <c r="G956" t="s">
        <v>1227</v>
      </c>
      <c r="H956" t="s">
        <v>8189</v>
      </c>
      <c r="I956">
        <v>4</v>
      </c>
      <c r="J956" t="s">
        <v>3010</v>
      </c>
      <c r="K956">
        <v>78</v>
      </c>
      <c r="L956" t="s">
        <v>8190</v>
      </c>
      <c r="M956" t="s">
        <v>8191</v>
      </c>
      <c r="N956" t="s">
        <v>8192</v>
      </c>
      <c r="O956" t="s">
        <v>7830</v>
      </c>
      <c r="P956" t="s">
        <v>8193</v>
      </c>
      <c r="Q956" t="s">
        <v>8194</v>
      </c>
      <c r="R956" t="s">
        <v>8195</v>
      </c>
      <c r="S956" s="2">
        <v>38621</v>
      </c>
      <c r="T956">
        <v>0</v>
      </c>
      <c r="U956" t="s">
        <v>8196</v>
      </c>
      <c r="V956">
        <v>0</v>
      </c>
      <c r="W956">
        <v>0</v>
      </c>
      <c r="X956">
        <v>218573</v>
      </c>
      <c r="Y956" t="s">
        <v>582</v>
      </c>
      <c r="Z956" t="s">
        <v>8194</v>
      </c>
      <c r="AA956" t="s">
        <v>7831</v>
      </c>
      <c r="AB956" t="s">
        <v>45</v>
      </c>
      <c r="AC956" t="s">
        <v>7832</v>
      </c>
    </row>
    <row r="957" spans="1:29">
      <c r="A957" t="s">
        <v>2151</v>
      </c>
      <c r="B957" s="1">
        <v>121981</v>
      </c>
      <c r="C957" t="s">
        <v>2886</v>
      </c>
      <c r="D957" t="s">
        <v>31</v>
      </c>
      <c r="E957" s="1">
        <v>-5456</v>
      </c>
      <c r="F957" t="s">
        <v>2755</v>
      </c>
      <c r="G957" t="s">
        <v>1492</v>
      </c>
      <c r="H957" t="s">
        <v>8197</v>
      </c>
      <c r="I957">
        <v>4</v>
      </c>
      <c r="J957" t="s">
        <v>2389</v>
      </c>
      <c r="K957">
        <v>78</v>
      </c>
      <c r="L957" t="s">
        <v>8198</v>
      </c>
      <c r="M957" t="s">
        <v>8199</v>
      </c>
      <c r="N957" t="s">
        <v>4786</v>
      </c>
      <c r="O957" t="s">
        <v>7830</v>
      </c>
      <c r="P957" t="s">
        <v>8200</v>
      </c>
      <c r="Q957" t="s">
        <v>8201</v>
      </c>
      <c r="R957" t="s">
        <v>8202</v>
      </c>
      <c r="S957" s="2">
        <v>41428</v>
      </c>
      <c r="T957" t="s">
        <v>8203</v>
      </c>
      <c r="U957" t="s">
        <v>4791</v>
      </c>
      <c r="V957">
        <v>1</v>
      </c>
      <c r="W957">
        <v>1</v>
      </c>
      <c r="X957">
        <v>255632</v>
      </c>
      <c r="Y957" t="s">
        <v>8204</v>
      </c>
      <c r="Z957" t="s">
        <v>8201</v>
      </c>
      <c r="AA957" t="s">
        <v>7831</v>
      </c>
      <c r="AB957" t="s">
        <v>45</v>
      </c>
      <c r="AC957" t="s">
        <v>7832</v>
      </c>
    </row>
    <row r="958" spans="1:29">
      <c r="A958" t="s">
        <v>4346</v>
      </c>
      <c r="B958" s="1">
        <v>127999</v>
      </c>
      <c r="C958" t="s">
        <v>190</v>
      </c>
      <c r="D958" t="s">
        <v>31</v>
      </c>
      <c r="E958" s="1">
        <v>-3863</v>
      </c>
      <c r="F958" t="s">
        <v>4141</v>
      </c>
      <c r="G958" t="s">
        <v>4347</v>
      </c>
      <c r="H958" t="s">
        <v>4242</v>
      </c>
      <c r="I958">
        <v>4</v>
      </c>
      <c r="J958" t="s">
        <v>4348</v>
      </c>
      <c r="K958">
        <v>78</v>
      </c>
      <c r="L958" t="s">
        <v>4349</v>
      </c>
      <c r="M958" t="s">
        <v>4350</v>
      </c>
      <c r="N958" t="s">
        <v>4351</v>
      </c>
      <c r="O958" t="s">
        <v>7830</v>
      </c>
      <c r="P958" t="s">
        <v>4352</v>
      </c>
      <c r="Q958" t="s">
        <v>4353</v>
      </c>
      <c r="R958" t="s">
        <v>4354</v>
      </c>
      <c r="S958" s="2">
        <v>42279</v>
      </c>
      <c r="T958">
        <v>0</v>
      </c>
      <c r="U958" t="s">
        <v>4355</v>
      </c>
      <c r="V958">
        <v>0</v>
      </c>
      <c r="W958">
        <v>6</v>
      </c>
      <c r="X958">
        <v>230613</v>
      </c>
      <c r="Y958" t="s">
        <v>1336</v>
      </c>
      <c r="Z958" t="s">
        <v>4353</v>
      </c>
      <c r="AA958" t="s">
        <v>7831</v>
      </c>
      <c r="AB958" t="s">
        <v>45</v>
      </c>
      <c r="AC958" t="s">
        <v>7832</v>
      </c>
    </row>
    <row r="959" spans="1:29">
      <c r="A959" t="s">
        <v>92</v>
      </c>
      <c r="B959" s="1">
        <v>130003</v>
      </c>
      <c r="C959" t="s">
        <v>1085</v>
      </c>
      <c r="D959" t="s">
        <v>31</v>
      </c>
      <c r="E959" s="1">
        <v>-5194</v>
      </c>
      <c r="F959" t="s">
        <v>4356</v>
      </c>
      <c r="G959" t="s">
        <v>1467</v>
      </c>
      <c r="H959" t="s">
        <v>4357</v>
      </c>
      <c r="I959">
        <v>4</v>
      </c>
      <c r="J959" t="s">
        <v>4358</v>
      </c>
      <c r="K959">
        <v>78</v>
      </c>
      <c r="L959" t="s">
        <v>4359</v>
      </c>
      <c r="M959" t="s">
        <v>4360</v>
      </c>
      <c r="N959" t="s">
        <v>4361</v>
      </c>
      <c r="O959" t="s">
        <v>7830</v>
      </c>
      <c r="P959" t="s">
        <v>4362</v>
      </c>
      <c r="Q959" t="s">
        <v>4363</v>
      </c>
      <c r="R959" t="s">
        <v>4364</v>
      </c>
      <c r="S959" s="2">
        <v>40662</v>
      </c>
      <c r="T959" t="s">
        <v>4365</v>
      </c>
      <c r="U959" t="s">
        <v>4366</v>
      </c>
      <c r="V959">
        <v>0</v>
      </c>
      <c r="W959">
        <v>3</v>
      </c>
      <c r="X959">
        <v>284867</v>
      </c>
      <c r="Y959" t="s">
        <v>2580</v>
      </c>
      <c r="Z959" t="s">
        <v>4363</v>
      </c>
      <c r="AA959" t="s">
        <v>7831</v>
      </c>
      <c r="AB959" t="s">
        <v>45</v>
      </c>
      <c r="AC959" t="s">
        <v>7832</v>
      </c>
    </row>
    <row r="960" spans="1:29">
      <c r="A960" t="s">
        <v>91</v>
      </c>
      <c r="B960" t="s">
        <v>8205</v>
      </c>
      <c r="C960" t="s">
        <v>63</v>
      </c>
      <c r="D960" t="s">
        <v>31</v>
      </c>
      <c r="E960" s="1">
        <v>-5852</v>
      </c>
      <c r="F960" t="s">
        <v>2240</v>
      </c>
      <c r="G960" t="s">
        <v>5955</v>
      </c>
      <c r="H960" t="s">
        <v>8206</v>
      </c>
      <c r="I960">
        <v>4</v>
      </c>
      <c r="J960" t="s">
        <v>6161</v>
      </c>
      <c r="K960">
        <v>78</v>
      </c>
      <c r="L960" t="s">
        <v>8207</v>
      </c>
      <c r="M960" t="s">
        <v>8208</v>
      </c>
      <c r="N960" t="s">
        <v>8209</v>
      </c>
      <c r="O960" t="s">
        <v>7830</v>
      </c>
      <c r="P960" t="s">
        <v>8210</v>
      </c>
      <c r="Q960" t="s">
        <v>8211</v>
      </c>
      <c r="R960" t="s">
        <v>8212</v>
      </c>
      <c r="S960">
        <v>1980</v>
      </c>
      <c r="T960" t="s">
        <v>8213</v>
      </c>
      <c r="U960" t="s">
        <v>8214</v>
      </c>
      <c r="V960">
        <v>1</v>
      </c>
      <c r="W960">
        <v>6</v>
      </c>
      <c r="X960">
        <v>162467</v>
      </c>
      <c r="Y960" t="s">
        <v>144</v>
      </c>
      <c r="Z960" t="s">
        <v>8211</v>
      </c>
      <c r="AA960" t="s">
        <v>7831</v>
      </c>
      <c r="AB960" t="s">
        <v>45</v>
      </c>
      <c r="AC960" t="s">
        <v>7832</v>
      </c>
    </row>
    <row r="961" spans="1:29">
      <c r="A961" t="s">
        <v>1049</v>
      </c>
      <c r="B961" s="1">
        <v>92887</v>
      </c>
      <c r="C961" t="s">
        <v>1825</v>
      </c>
      <c r="D961" t="s">
        <v>31</v>
      </c>
      <c r="E961" t="s">
        <v>3834</v>
      </c>
      <c r="F961" t="s">
        <v>2856</v>
      </c>
      <c r="G961" t="s">
        <v>3835</v>
      </c>
      <c r="H961" t="s">
        <v>3836</v>
      </c>
      <c r="I961">
        <v>4</v>
      </c>
      <c r="J961" t="s">
        <v>3837</v>
      </c>
      <c r="K961">
        <v>78</v>
      </c>
      <c r="L961" t="s">
        <v>3838</v>
      </c>
      <c r="M961" t="s">
        <v>3839</v>
      </c>
      <c r="N961" t="s">
        <v>3840</v>
      </c>
      <c r="O961" t="s">
        <v>7830</v>
      </c>
      <c r="P961" t="s">
        <v>3841</v>
      </c>
      <c r="Q961" t="s">
        <v>3842</v>
      </c>
      <c r="R961" t="s">
        <v>3843</v>
      </c>
      <c r="S961" s="2">
        <v>37131</v>
      </c>
      <c r="T961" t="s">
        <v>3844</v>
      </c>
      <c r="U961" t="s">
        <v>3845</v>
      </c>
      <c r="V961">
        <v>0</v>
      </c>
      <c r="W961">
        <v>8</v>
      </c>
      <c r="X961">
        <v>265867</v>
      </c>
      <c r="Y961" t="s">
        <v>279</v>
      </c>
      <c r="Z961" t="s">
        <v>3842</v>
      </c>
      <c r="AA961" t="s">
        <v>7831</v>
      </c>
      <c r="AB961" t="s">
        <v>45</v>
      </c>
      <c r="AC961" t="s">
        <v>7832</v>
      </c>
    </row>
    <row r="962" spans="1:29">
      <c r="A962" t="s">
        <v>4735</v>
      </c>
      <c r="B962" s="1">
        <v>160078</v>
      </c>
      <c r="C962" t="s">
        <v>1239</v>
      </c>
      <c r="D962" t="s">
        <v>31</v>
      </c>
      <c r="E962" s="1">
        <v>-5384</v>
      </c>
      <c r="F962" t="s">
        <v>3052</v>
      </c>
      <c r="G962" t="s">
        <v>1050</v>
      </c>
      <c r="H962" t="s">
        <v>4924</v>
      </c>
      <c r="I962">
        <v>4</v>
      </c>
      <c r="J962" t="s">
        <v>2558</v>
      </c>
      <c r="K962">
        <v>78</v>
      </c>
      <c r="L962" t="s">
        <v>8215</v>
      </c>
      <c r="M962" t="s">
        <v>8216</v>
      </c>
      <c r="N962" t="s">
        <v>8217</v>
      </c>
      <c r="O962" t="s">
        <v>7830</v>
      </c>
      <c r="P962" t="s">
        <v>8218</v>
      </c>
      <c r="Q962" t="s">
        <v>8219</v>
      </c>
      <c r="R962" t="s">
        <v>8220</v>
      </c>
      <c r="S962" s="2">
        <v>41640</v>
      </c>
      <c r="T962">
        <v>0</v>
      </c>
      <c r="U962" t="s">
        <v>8221</v>
      </c>
      <c r="V962">
        <v>1</v>
      </c>
      <c r="W962">
        <v>7</v>
      </c>
      <c r="X962">
        <v>219200</v>
      </c>
      <c r="Y962" t="s">
        <v>1941</v>
      </c>
      <c r="Z962" t="s">
        <v>8219</v>
      </c>
      <c r="AA962" t="s">
        <v>7831</v>
      </c>
      <c r="AB962" t="s">
        <v>45</v>
      </c>
      <c r="AC962" t="s">
        <v>7832</v>
      </c>
    </row>
    <row r="963" spans="1:29">
      <c r="A963" t="s">
        <v>529</v>
      </c>
      <c r="B963" s="1">
        <v>99017</v>
      </c>
      <c r="C963" t="s">
        <v>3043</v>
      </c>
      <c r="D963" t="s">
        <v>31</v>
      </c>
      <c r="E963" s="1">
        <v>-8415</v>
      </c>
      <c r="F963" t="s">
        <v>366</v>
      </c>
      <c r="G963" t="s">
        <v>2960</v>
      </c>
      <c r="H963" t="s">
        <v>8066</v>
      </c>
      <c r="I963">
        <v>4</v>
      </c>
      <c r="J963" t="s">
        <v>64</v>
      </c>
      <c r="K963">
        <v>78</v>
      </c>
      <c r="L963" t="s">
        <v>8222</v>
      </c>
      <c r="M963" t="s">
        <v>8223</v>
      </c>
      <c r="N963" t="s">
        <v>8224</v>
      </c>
      <c r="O963" t="s">
        <v>7830</v>
      </c>
      <c r="P963" t="s">
        <v>8225</v>
      </c>
      <c r="Q963" t="s">
        <v>8226</v>
      </c>
      <c r="R963" t="s">
        <v>8227</v>
      </c>
      <c r="S963" s="2">
        <v>38593</v>
      </c>
      <c r="T963" t="s">
        <v>8228</v>
      </c>
      <c r="U963" t="s">
        <v>8229</v>
      </c>
      <c r="V963">
        <v>1</v>
      </c>
      <c r="W963">
        <v>7</v>
      </c>
      <c r="X963">
        <v>246960</v>
      </c>
      <c r="Y963" t="s">
        <v>5662</v>
      </c>
      <c r="Z963" t="s">
        <v>8226</v>
      </c>
      <c r="AA963" t="s">
        <v>7831</v>
      </c>
      <c r="AB963" t="s">
        <v>45</v>
      </c>
      <c r="AC963" t="s">
        <v>7832</v>
      </c>
    </row>
    <row r="964" spans="1:29">
      <c r="A964" t="s">
        <v>62</v>
      </c>
      <c r="B964" s="1">
        <v>126041</v>
      </c>
      <c r="C964" t="s">
        <v>1121</v>
      </c>
      <c r="D964" t="s">
        <v>31</v>
      </c>
      <c r="E964" s="1">
        <v>-5627</v>
      </c>
      <c r="F964" t="s">
        <v>82</v>
      </c>
      <c r="G964" t="s">
        <v>1289</v>
      </c>
      <c r="H964" t="s">
        <v>8230</v>
      </c>
      <c r="I964">
        <v>4</v>
      </c>
      <c r="J964" t="s">
        <v>7571</v>
      </c>
      <c r="K964">
        <v>77</v>
      </c>
      <c r="L964" t="s">
        <v>8231</v>
      </c>
      <c r="M964" t="s">
        <v>8232</v>
      </c>
      <c r="N964" t="s">
        <v>8233</v>
      </c>
      <c r="O964" t="s">
        <v>7830</v>
      </c>
      <c r="P964" t="s">
        <v>8234</v>
      </c>
      <c r="Q964" t="s">
        <v>8235</v>
      </c>
      <c r="R964" t="s">
        <v>8236</v>
      </c>
      <c r="S964">
        <v>2001</v>
      </c>
      <c r="T964" t="s">
        <v>6283</v>
      </c>
      <c r="U964" t="s">
        <v>8237</v>
      </c>
      <c r="V964">
        <v>1</v>
      </c>
      <c r="W964">
        <v>6</v>
      </c>
      <c r="X964">
        <v>307154</v>
      </c>
      <c r="Y964" t="s">
        <v>8238</v>
      </c>
      <c r="Z964" t="s">
        <v>8235</v>
      </c>
      <c r="AA964" t="s">
        <v>7831</v>
      </c>
      <c r="AB964" t="s">
        <v>45</v>
      </c>
      <c r="AC964" t="s">
        <v>7832</v>
      </c>
    </row>
    <row r="965" spans="1:29">
      <c r="A965" t="s">
        <v>4160</v>
      </c>
      <c r="B965" s="1">
        <v>93764</v>
      </c>
      <c r="C965" t="s">
        <v>3657</v>
      </c>
      <c r="D965" t="s">
        <v>31</v>
      </c>
      <c r="E965" s="1">
        <v>-9689</v>
      </c>
      <c r="F965" t="s">
        <v>593</v>
      </c>
      <c r="G965" t="s">
        <v>3724</v>
      </c>
      <c r="H965" t="s">
        <v>8239</v>
      </c>
      <c r="I965">
        <v>4</v>
      </c>
      <c r="J965" t="s">
        <v>8160</v>
      </c>
      <c r="K965">
        <v>77</v>
      </c>
      <c r="L965" t="s">
        <v>8240</v>
      </c>
      <c r="M965" t="s">
        <v>8241</v>
      </c>
      <c r="N965" t="s">
        <v>8242</v>
      </c>
      <c r="O965" t="s">
        <v>7830</v>
      </c>
      <c r="P965" t="s">
        <v>8243</v>
      </c>
      <c r="Q965" t="s">
        <v>8244</v>
      </c>
      <c r="R965" t="s">
        <v>8245</v>
      </c>
      <c r="S965" s="2">
        <v>34327</v>
      </c>
      <c r="T965" t="s">
        <v>8203</v>
      </c>
      <c r="U965" t="s">
        <v>8246</v>
      </c>
      <c r="V965">
        <v>1</v>
      </c>
      <c r="W965">
        <v>11</v>
      </c>
      <c r="X965">
        <v>211213</v>
      </c>
      <c r="Y965" t="s">
        <v>8247</v>
      </c>
      <c r="Z965" t="s">
        <v>8244</v>
      </c>
      <c r="AA965" t="s">
        <v>7831</v>
      </c>
      <c r="AB965" t="s">
        <v>45</v>
      </c>
      <c r="AC965" t="s">
        <v>7832</v>
      </c>
    </row>
    <row r="966" spans="1:29">
      <c r="A966" t="s">
        <v>3257</v>
      </c>
      <c r="B966" s="1">
        <v>127075</v>
      </c>
      <c r="C966" t="s">
        <v>200</v>
      </c>
      <c r="D966" t="s">
        <v>31</v>
      </c>
      <c r="E966" s="1">
        <v>-5324</v>
      </c>
      <c r="F966" t="s">
        <v>1667</v>
      </c>
      <c r="G966" t="s">
        <v>1444</v>
      </c>
      <c r="H966" t="s">
        <v>4384</v>
      </c>
      <c r="I966">
        <v>4</v>
      </c>
      <c r="J966" t="s">
        <v>1313</v>
      </c>
      <c r="K966">
        <v>77</v>
      </c>
      <c r="L966" t="s">
        <v>4385</v>
      </c>
      <c r="M966" t="s">
        <v>4386</v>
      </c>
      <c r="N966" t="s">
        <v>4387</v>
      </c>
      <c r="O966" t="s">
        <v>7830</v>
      </c>
      <c r="P966" t="s">
        <v>4388</v>
      </c>
      <c r="Q966" t="s">
        <v>4389</v>
      </c>
      <c r="R966" t="s">
        <v>4390</v>
      </c>
      <c r="S966" s="2">
        <v>41082</v>
      </c>
      <c r="T966">
        <v>0</v>
      </c>
      <c r="U966" t="s">
        <v>4391</v>
      </c>
      <c r="V966">
        <v>0</v>
      </c>
      <c r="W966">
        <v>5</v>
      </c>
      <c r="X966">
        <v>232947</v>
      </c>
      <c r="Y966" t="s">
        <v>4392</v>
      </c>
      <c r="Z966" t="s">
        <v>4389</v>
      </c>
      <c r="AA966" t="s">
        <v>7831</v>
      </c>
      <c r="AB966" t="s">
        <v>45</v>
      </c>
      <c r="AC966" t="s">
        <v>7832</v>
      </c>
    </row>
    <row r="967" spans="1:29">
      <c r="A967" t="s">
        <v>4393</v>
      </c>
      <c r="B967" s="1">
        <v>116047</v>
      </c>
      <c r="C967" t="s">
        <v>1881</v>
      </c>
      <c r="D967" t="s">
        <v>31</v>
      </c>
      <c r="E967" s="1">
        <v>-8966</v>
      </c>
      <c r="F967" t="s">
        <v>366</v>
      </c>
      <c r="G967" t="s">
        <v>4394</v>
      </c>
      <c r="H967" t="s">
        <v>4395</v>
      </c>
      <c r="I967">
        <v>4</v>
      </c>
      <c r="J967" t="s">
        <v>4177</v>
      </c>
      <c r="K967">
        <v>77</v>
      </c>
      <c r="L967" t="s">
        <v>4396</v>
      </c>
      <c r="M967" t="s">
        <v>4397</v>
      </c>
      <c r="N967" t="s">
        <v>4398</v>
      </c>
      <c r="O967" t="s">
        <v>7830</v>
      </c>
      <c r="P967" t="s">
        <v>4399</v>
      </c>
      <c r="Q967" t="s">
        <v>4400</v>
      </c>
      <c r="R967" t="s">
        <v>4398</v>
      </c>
      <c r="S967" s="2">
        <v>41383</v>
      </c>
      <c r="T967" t="s">
        <v>4401</v>
      </c>
      <c r="U967" t="s">
        <v>4402</v>
      </c>
      <c r="V967">
        <v>0</v>
      </c>
      <c r="W967">
        <v>6</v>
      </c>
      <c r="X967">
        <v>248413</v>
      </c>
      <c r="Y967" t="s">
        <v>4403</v>
      </c>
      <c r="Z967" t="s">
        <v>4400</v>
      </c>
      <c r="AA967" t="s">
        <v>7831</v>
      </c>
      <c r="AB967" t="s">
        <v>45</v>
      </c>
      <c r="AC967" t="s">
        <v>7832</v>
      </c>
    </row>
    <row r="968" spans="1:29">
      <c r="A968" t="s">
        <v>2801</v>
      </c>
      <c r="B968" t="s">
        <v>8248</v>
      </c>
      <c r="C968" t="s">
        <v>985</v>
      </c>
      <c r="D968" t="s">
        <v>31</v>
      </c>
      <c r="E968" s="1">
        <v>-5941</v>
      </c>
      <c r="F968" t="s">
        <v>4712</v>
      </c>
      <c r="G968" t="s">
        <v>771</v>
      </c>
      <c r="H968" t="s">
        <v>4242</v>
      </c>
      <c r="I968">
        <v>4</v>
      </c>
      <c r="J968" t="s">
        <v>1564</v>
      </c>
      <c r="K968">
        <v>77</v>
      </c>
      <c r="L968" t="s">
        <v>8249</v>
      </c>
      <c r="M968" t="s">
        <v>8250</v>
      </c>
      <c r="N968" t="s">
        <v>8251</v>
      </c>
      <c r="O968" t="s">
        <v>7830</v>
      </c>
      <c r="P968" t="s">
        <v>8252</v>
      </c>
      <c r="Q968" t="s">
        <v>8253</v>
      </c>
      <c r="R968" t="s">
        <v>8254</v>
      </c>
      <c r="S968" s="2">
        <v>40844</v>
      </c>
      <c r="T968" t="s">
        <v>784</v>
      </c>
      <c r="U968" t="s">
        <v>8255</v>
      </c>
      <c r="V968">
        <v>0</v>
      </c>
      <c r="W968">
        <v>1</v>
      </c>
      <c r="X968">
        <v>199907</v>
      </c>
      <c r="Y968" t="s">
        <v>4907</v>
      </c>
      <c r="Z968" t="s">
        <v>8253</v>
      </c>
      <c r="AA968" t="s">
        <v>7831</v>
      </c>
      <c r="AB968" t="s">
        <v>45</v>
      </c>
      <c r="AC968" t="s">
        <v>7832</v>
      </c>
    </row>
    <row r="969" spans="1:29">
      <c r="A969" t="s">
        <v>1480</v>
      </c>
      <c r="B969" s="1">
        <v>117046</v>
      </c>
      <c r="C969" t="s">
        <v>1810</v>
      </c>
      <c r="D969" t="s">
        <v>31</v>
      </c>
      <c r="E969" s="1">
        <v>-3051</v>
      </c>
      <c r="F969" t="s">
        <v>1840</v>
      </c>
      <c r="G969" t="s">
        <v>2509</v>
      </c>
      <c r="H969" t="s">
        <v>8256</v>
      </c>
      <c r="I969">
        <v>4</v>
      </c>
      <c r="J969" t="s">
        <v>8257</v>
      </c>
      <c r="K969">
        <v>77</v>
      </c>
      <c r="L969" t="s">
        <v>8258</v>
      </c>
      <c r="M969" t="s">
        <v>8259</v>
      </c>
      <c r="N969" t="s">
        <v>8260</v>
      </c>
      <c r="O969" t="s">
        <v>7830</v>
      </c>
      <c r="P969" t="s">
        <v>8261</v>
      </c>
      <c r="Q969" t="s">
        <v>8262</v>
      </c>
      <c r="R969" t="s">
        <v>8263</v>
      </c>
      <c r="S969" s="2">
        <v>39486</v>
      </c>
      <c r="T969" t="s">
        <v>2131</v>
      </c>
      <c r="U969" t="s">
        <v>8264</v>
      </c>
      <c r="V969">
        <v>0</v>
      </c>
      <c r="W969">
        <v>11</v>
      </c>
      <c r="X969">
        <v>293827</v>
      </c>
      <c r="Y969" t="s">
        <v>8265</v>
      </c>
      <c r="Z969" t="s">
        <v>8262</v>
      </c>
      <c r="AA969" t="s">
        <v>7831</v>
      </c>
      <c r="AB969" t="s">
        <v>45</v>
      </c>
      <c r="AC969" t="s">
        <v>7832</v>
      </c>
    </row>
    <row r="970" spans="1:29">
      <c r="A970" t="s">
        <v>1300</v>
      </c>
      <c r="B970" s="1">
        <v>135956</v>
      </c>
      <c r="C970" t="s">
        <v>892</v>
      </c>
      <c r="D970" t="s">
        <v>31</v>
      </c>
      <c r="E970" s="1">
        <v>-3632</v>
      </c>
      <c r="F970" t="s">
        <v>8266</v>
      </c>
      <c r="G970" t="s">
        <v>2721</v>
      </c>
      <c r="H970" t="s">
        <v>8267</v>
      </c>
      <c r="I970">
        <v>4</v>
      </c>
      <c r="J970" t="s">
        <v>8268</v>
      </c>
      <c r="K970">
        <v>77</v>
      </c>
      <c r="L970" t="s">
        <v>8269</v>
      </c>
      <c r="M970" t="s">
        <v>8270</v>
      </c>
      <c r="N970" t="s">
        <v>4312</v>
      </c>
      <c r="O970" t="s">
        <v>7830</v>
      </c>
      <c r="P970" t="s">
        <v>8271</v>
      </c>
      <c r="Q970" t="s">
        <v>8272</v>
      </c>
      <c r="R970" t="s">
        <v>8273</v>
      </c>
      <c r="S970">
        <v>2012</v>
      </c>
      <c r="T970">
        <v>0</v>
      </c>
      <c r="U970" t="s">
        <v>4316</v>
      </c>
      <c r="V970">
        <v>1</v>
      </c>
      <c r="W970">
        <v>7</v>
      </c>
      <c r="X970">
        <v>229507</v>
      </c>
      <c r="Y970" t="s">
        <v>1291</v>
      </c>
      <c r="Z970" t="s">
        <v>8272</v>
      </c>
      <c r="AA970" t="s">
        <v>7831</v>
      </c>
      <c r="AB970" t="s">
        <v>45</v>
      </c>
      <c r="AC970" t="s">
        <v>7832</v>
      </c>
    </row>
    <row r="971" spans="1:29">
      <c r="A971" t="s">
        <v>813</v>
      </c>
      <c r="B971" s="1">
        <v>94379</v>
      </c>
      <c r="C971" t="s">
        <v>33</v>
      </c>
      <c r="D971" t="s">
        <v>31</v>
      </c>
      <c r="E971" s="1">
        <v>-5025</v>
      </c>
      <c r="F971" t="s">
        <v>814</v>
      </c>
      <c r="G971" t="s">
        <v>815</v>
      </c>
      <c r="H971" t="s">
        <v>816</v>
      </c>
      <c r="I971">
        <v>4</v>
      </c>
      <c r="J971" t="s">
        <v>136</v>
      </c>
      <c r="K971">
        <v>77</v>
      </c>
      <c r="L971" t="s">
        <v>817</v>
      </c>
      <c r="M971" t="s">
        <v>818</v>
      </c>
      <c r="N971" t="s">
        <v>819</v>
      </c>
      <c r="O971" t="s">
        <v>7830</v>
      </c>
      <c r="P971" t="s">
        <v>820</v>
      </c>
      <c r="Q971" t="s">
        <v>821</v>
      </c>
      <c r="R971" t="s">
        <v>822</v>
      </c>
      <c r="S971" s="2">
        <v>29908</v>
      </c>
      <c r="T971">
        <v>0</v>
      </c>
      <c r="U971" t="s">
        <v>823</v>
      </c>
      <c r="V971">
        <v>1</v>
      </c>
      <c r="W971">
        <v>4</v>
      </c>
      <c r="X971">
        <v>175173</v>
      </c>
      <c r="Y971" t="s">
        <v>824</v>
      </c>
      <c r="Z971" t="s">
        <v>821</v>
      </c>
      <c r="AA971" t="s">
        <v>7831</v>
      </c>
      <c r="AB971" t="s">
        <v>45</v>
      </c>
      <c r="AC971" t="s">
        <v>7832</v>
      </c>
    </row>
    <row r="972" spans="1:29">
      <c r="A972" t="s">
        <v>2081</v>
      </c>
      <c r="B972" s="1">
        <v>99165</v>
      </c>
      <c r="C972" t="s">
        <v>460</v>
      </c>
      <c r="D972" t="s">
        <v>31</v>
      </c>
      <c r="E972" s="1">
        <v>-6596</v>
      </c>
      <c r="F972" t="s">
        <v>8274</v>
      </c>
      <c r="G972" t="s">
        <v>580</v>
      </c>
      <c r="H972" t="s">
        <v>8275</v>
      </c>
      <c r="I972">
        <v>4</v>
      </c>
      <c r="J972" t="s">
        <v>2947</v>
      </c>
      <c r="K972">
        <v>77</v>
      </c>
      <c r="L972" t="s">
        <v>8276</v>
      </c>
      <c r="M972" t="s">
        <v>8277</v>
      </c>
      <c r="N972" t="s">
        <v>8278</v>
      </c>
      <c r="O972" t="s">
        <v>7830</v>
      </c>
      <c r="P972" t="s">
        <v>8279</v>
      </c>
      <c r="Q972" t="s">
        <v>8280</v>
      </c>
      <c r="R972" t="s">
        <v>8281</v>
      </c>
      <c r="S972" s="2">
        <v>37796</v>
      </c>
      <c r="T972">
        <v>0</v>
      </c>
      <c r="U972" t="s">
        <v>8282</v>
      </c>
      <c r="V972">
        <v>0</v>
      </c>
      <c r="W972">
        <v>2</v>
      </c>
      <c r="X972">
        <v>236133</v>
      </c>
      <c r="Y972" t="s">
        <v>8283</v>
      </c>
      <c r="Z972" t="s">
        <v>8280</v>
      </c>
      <c r="AA972" t="s">
        <v>7831</v>
      </c>
      <c r="AB972" t="s">
        <v>45</v>
      </c>
      <c r="AC972" t="s">
        <v>7832</v>
      </c>
    </row>
    <row r="973" spans="1:29">
      <c r="A973" t="s">
        <v>1407</v>
      </c>
      <c r="B973" s="1">
        <v>123962</v>
      </c>
      <c r="C973" t="s">
        <v>2240</v>
      </c>
      <c r="D973" t="s">
        <v>31</v>
      </c>
      <c r="E973" s="1">
        <v>-2787</v>
      </c>
      <c r="F973" t="s">
        <v>3965</v>
      </c>
      <c r="G973" t="s">
        <v>1666</v>
      </c>
      <c r="H973" t="s">
        <v>4445</v>
      </c>
      <c r="I973">
        <v>4</v>
      </c>
      <c r="J973" t="s">
        <v>4446</v>
      </c>
      <c r="K973">
        <v>77</v>
      </c>
      <c r="L973" t="s">
        <v>4447</v>
      </c>
      <c r="M973" t="s">
        <v>4448</v>
      </c>
      <c r="N973" t="s">
        <v>4449</v>
      </c>
      <c r="O973" t="s">
        <v>7830</v>
      </c>
      <c r="P973" t="s">
        <v>4450</v>
      </c>
      <c r="Q973" t="s">
        <v>4451</v>
      </c>
      <c r="R973" t="s">
        <v>4449</v>
      </c>
      <c r="S973" s="2">
        <v>42489</v>
      </c>
      <c r="T973" t="s">
        <v>1483</v>
      </c>
      <c r="U973" t="s">
        <v>4452</v>
      </c>
      <c r="V973">
        <v>0</v>
      </c>
      <c r="W973">
        <v>9</v>
      </c>
      <c r="X973">
        <v>222160</v>
      </c>
      <c r="Y973" t="s">
        <v>526</v>
      </c>
      <c r="Z973" t="s">
        <v>4451</v>
      </c>
      <c r="AA973" t="s">
        <v>7831</v>
      </c>
      <c r="AB973" t="s">
        <v>45</v>
      </c>
      <c r="AC973" t="s">
        <v>7832</v>
      </c>
    </row>
    <row r="974" spans="1:29">
      <c r="A974" t="s">
        <v>7081</v>
      </c>
      <c r="B974" s="1">
        <v>146078</v>
      </c>
      <c r="C974" t="s">
        <v>1371</v>
      </c>
      <c r="D974" t="s">
        <v>31</v>
      </c>
      <c r="E974" s="1">
        <v>-4457</v>
      </c>
      <c r="F974" t="s">
        <v>4660</v>
      </c>
      <c r="G974" t="s">
        <v>2509</v>
      </c>
      <c r="H974" t="s">
        <v>8284</v>
      </c>
      <c r="I974">
        <v>4</v>
      </c>
      <c r="J974" t="s">
        <v>8285</v>
      </c>
      <c r="K974">
        <v>76</v>
      </c>
      <c r="L974" t="s">
        <v>8286</v>
      </c>
      <c r="M974" t="s">
        <v>8287</v>
      </c>
      <c r="N974" t="s">
        <v>8288</v>
      </c>
      <c r="O974" t="s">
        <v>7830</v>
      </c>
      <c r="P974" t="s">
        <v>8289</v>
      </c>
      <c r="Q974" t="s">
        <v>8290</v>
      </c>
      <c r="R974" t="s">
        <v>8291</v>
      </c>
      <c r="S974" s="2">
        <v>41191</v>
      </c>
      <c r="T974">
        <v>0</v>
      </c>
      <c r="U974" t="s">
        <v>8292</v>
      </c>
      <c r="V974">
        <v>1</v>
      </c>
      <c r="W974">
        <v>2</v>
      </c>
      <c r="X974">
        <v>258343</v>
      </c>
      <c r="Y974" t="s">
        <v>5922</v>
      </c>
      <c r="Z974" t="s">
        <v>8290</v>
      </c>
      <c r="AA974" t="s">
        <v>7831</v>
      </c>
      <c r="AB974" t="s">
        <v>45</v>
      </c>
      <c r="AC974" t="s">
        <v>7832</v>
      </c>
    </row>
    <row r="975" spans="1:29">
      <c r="A975" t="s">
        <v>813</v>
      </c>
      <c r="B975" s="1">
        <v>125006</v>
      </c>
      <c r="C975" t="s">
        <v>48</v>
      </c>
      <c r="D975" t="s">
        <v>31</v>
      </c>
      <c r="E975" s="1">
        <v>-2457</v>
      </c>
      <c r="F975" t="s">
        <v>3390</v>
      </c>
      <c r="G975" t="s">
        <v>1631</v>
      </c>
      <c r="H975" t="s">
        <v>8293</v>
      </c>
      <c r="I975">
        <v>4</v>
      </c>
      <c r="J975" t="s">
        <v>3646</v>
      </c>
      <c r="K975">
        <v>76</v>
      </c>
      <c r="L975" t="s">
        <v>8294</v>
      </c>
      <c r="M975" t="s">
        <v>8295</v>
      </c>
      <c r="N975" t="s">
        <v>8296</v>
      </c>
      <c r="O975" t="s">
        <v>7830</v>
      </c>
      <c r="P975" t="s">
        <v>8297</v>
      </c>
      <c r="Q975" t="s">
        <v>8298</v>
      </c>
      <c r="R975" t="s">
        <v>8299</v>
      </c>
      <c r="S975" s="2">
        <v>40909</v>
      </c>
      <c r="T975">
        <v>0</v>
      </c>
      <c r="U975" t="s">
        <v>8300</v>
      </c>
      <c r="V975">
        <v>0</v>
      </c>
      <c r="W975">
        <v>11</v>
      </c>
      <c r="X975">
        <v>210627</v>
      </c>
      <c r="Y975" t="s">
        <v>2022</v>
      </c>
      <c r="Z975" t="s">
        <v>8298</v>
      </c>
      <c r="AA975" t="s">
        <v>7831</v>
      </c>
      <c r="AB975" t="s">
        <v>45</v>
      </c>
      <c r="AC975" t="s">
        <v>7832</v>
      </c>
    </row>
    <row r="976" spans="1:29">
      <c r="A976" t="s">
        <v>460</v>
      </c>
      <c r="B976" s="1">
        <v>88634</v>
      </c>
      <c r="C976" t="s">
        <v>2116</v>
      </c>
      <c r="D976" t="s">
        <v>31</v>
      </c>
      <c r="E976" s="1">
        <v>-4674</v>
      </c>
      <c r="F976" t="s">
        <v>8301</v>
      </c>
      <c r="G976" t="s">
        <v>77</v>
      </c>
      <c r="H976" t="s">
        <v>8302</v>
      </c>
      <c r="I976">
        <v>4</v>
      </c>
      <c r="J976" t="s">
        <v>5248</v>
      </c>
      <c r="K976">
        <v>76</v>
      </c>
      <c r="L976" t="s">
        <v>8303</v>
      </c>
      <c r="M976" t="s">
        <v>8304</v>
      </c>
      <c r="N976" t="s">
        <v>8305</v>
      </c>
      <c r="O976" t="s">
        <v>7830</v>
      </c>
      <c r="P976" t="s">
        <v>8306</v>
      </c>
      <c r="Q976" t="s">
        <v>8307</v>
      </c>
      <c r="R976" t="s">
        <v>8308</v>
      </c>
      <c r="S976" s="2">
        <v>35317</v>
      </c>
      <c r="T976">
        <v>0</v>
      </c>
      <c r="U976" t="s">
        <v>8309</v>
      </c>
      <c r="V976">
        <v>0</v>
      </c>
      <c r="W976">
        <v>1</v>
      </c>
      <c r="X976">
        <v>304600</v>
      </c>
      <c r="Y976" t="s">
        <v>6078</v>
      </c>
      <c r="Z976" t="s">
        <v>8307</v>
      </c>
      <c r="AA976" t="s">
        <v>7831</v>
      </c>
      <c r="AB976" t="s">
        <v>45</v>
      </c>
      <c r="AC976" t="s">
        <v>7832</v>
      </c>
    </row>
    <row r="977" spans="1:29">
      <c r="A977" t="s">
        <v>6756</v>
      </c>
      <c r="B977" s="1">
        <v>109901</v>
      </c>
      <c r="C977" t="s">
        <v>6309</v>
      </c>
      <c r="D977" t="s">
        <v>31</v>
      </c>
      <c r="E977" t="s">
        <v>8310</v>
      </c>
      <c r="F977" t="s">
        <v>540</v>
      </c>
      <c r="G977" t="s">
        <v>970</v>
      </c>
      <c r="H977" t="s">
        <v>8311</v>
      </c>
      <c r="I977">
        <v>4</v>
      </c>
      <c r="J977" t="s">
        <v>7595</v>
      </c>
      <c r="K977">
        <v>76</v>
      </c>
      <c r="L977" t="s">
        <v>8312</v>
      </c>
      <c r="M977" t="s">
        <v>8313</v>
      </c>
      <c r="N977" t="s">
        <v>8311</v>
      </c>
      <c r="O977" t="s">
        <v>7830</v>
      </c>
      <c r="P977" t="s">
        <v>8314</v>
      </c>
      <c r="Q977" t="s">
        <v>8315</v>
      </c>
      <c r="R977" t="s">
        <v>8316</v>
      </c>
      <c r="S977">
        <v>1985</v>
      </c>
      <c r="T977" t="s">
        <v>942</v>
      </c>
      <c r="U977" t="s">
        <v>8317</v>
      </c>
      <c r="V977">
        <v>1</v>
      </c>
      <c r="W977">
        <v>10</v>
      </c>
      <c r="X977">
        <v>238733</v>
      </c>
      <c r="Y977" t="s">
        <v>8091</v>
      </c>
      <c r="Z977" t="s">
        <v>8315</v>
      </c>
      <c r="AA977" t="s">
        <v>7831</v>
      </c>
      <c r="AB977" t="s">
        <v>45</v>
      </c>
      <c r="AC977" t="s">
        <v>7832</v>
      </c>
    </row>
    <row r="978" spans="1:29">
      <c r="A978" t="s">
        <v>1289</v>
      </c>
      <c r="B978" s="1">
        <v>127966</v>
      </c>
      <c r="C978" t="s">
        <v>2711</v>
      </c>
      <c r="D978" t="s">
        <v>31</v>
      </c>
      <c r="E978" s="1">
        <v>-3911</v>
      </c>
      <c r="F978" t="s">
        <v>1223</v>
      </c>
      <c r="G978" t="s">
        <v>4485</v>
      </c>
      <c r="H978" t="s">
        <v>4486</v>
      </c>
      <c r="I978">
        <v>4</v>
      </c>
      <c r="J978" t="s">
        <v>1130</v>
      </c>
      <c r="K978">
        <v>76</v>
      </c>
      <c r="L978" t="s">
        <v>4487</v>
      </c>
      <c r="M978" t="s">
        <v>4488</v>
      </c>
      <c r="N978" t="s">
        <v>4489</v>
      </c>
      <c r="O978" t="s">
        <v>7830</v>
      </c>
      <c r="P978" t="s">
        <v>4490</v>
      </c>
      <c r="Q978" t="s">
        <v>4491</v>
      </c>
      <c r="R978" t="s">
        <v>4492</v>
      </c>
      <c r="S978" s="2">
        <v>40506</v>
      </c>
      <c r="T978">
        <v>0</v>
      </c>
      <c r="U978" t="s">
        <v>4493</v>
      </c>
      <c r="V978">
        <v>1</v>
      </c>
      <c r="W978">
        <v>0</v>
      </c>
      <c r="X978">
        <v>234560</v>
      </c>
      <c r="Y978" t="s">
        <v>103</v>
      </c>
      <c r="Z978" t="s">
        <v>4491</v>
      </c>
      <c r="AA978" t="s">
        <v>7831</v>
      </c>
      <c r="AB978" t="s">
        <v>45</v>
      </c>
      <c r="AC978" t="s">
        <v>7832</v>
      </c>
    </row>
    <row r="979" spans="1:29">
      <c r="A979" t="s">
        <v>376</v>
      </c>
      <c r="B979" t="s">
        <v>8318</v>
      </c>
      <c r="C979" t="s">
        <v>77</v>
      </c>
      <c r="D979" t="s">
        <v>31</v>
      </c>
      <c r="E979" s="1">
        <v>-3035</v>
      </c>
      <c r="F979" t="s">
        <v>7769</v>
      </c>
      <c r="G979" t="s">
        <v>1608</v>
      </c>
      <c r="H979" t="s">
        <v>8319</v>
      </c>
      <c r="I979">
        <v>4</v>
      </c>
      <c r="J979" t="s">
        <v>3747</v>
      </c>
      <c r="K979">
        <v>77</v>
      </c>
      <c r="L979" t="s">
        <v>8320</v>
      </c>
      <c r="M979" t="s">
        <v>8321</v>
      </c>
      <c r="N979" t="s">
        <v>4217</v>
      </c>
      <c r="O979" t="s">
        <v>7830</v>
      </c>
      <c r="P979" t="s">
        <v>8322</v>
      </c>
      <c r="Q979" t="s">
        <v>8323</v>
      </c>
      <c r="R979" t="s">
        <v>8324</v>
      </c>
      <c r="S979" s="2">
        <v>40711</v>
      </c>
      <c r="T979">
        <v>0</v>
      </c>
      <c r="U979" t="s">
        <v>4221</v>
      </c>
      <c r="V979">
        <v>0</v>
      </c>
      <c r="W979">
        <v>0</v>
      </c>
      <c r="X979">
        <v>227280</v>
      </c>
      <c r="Y979" t="s">
        <v>8325</v>
      </c>
      <c r="Z979" t="s">
        <v>8323</v>
      </c>
      <c r="AA979" t="s">
        <v>7831</v>
      </c>
      <c r="AB979" t="s">
        <v>45</v>
      </c>
      <c r="AC979" t="s">
        <v>7832</v>
      </c>
    </row>
    <row r="980" spans="1:29">
      <c r="A980" t="s">
        <v>1501</v>
      </c>
      <c r="B980" s="1">
        <v>137547</v>
      </c>
      <c r="C980" t="s">
        <v>1445</v>
      </c>
      <c r="D980" t="s">
        <v>31</v>
      </c>
      <c r="E980" s="1">
        <v>-7011</v>
      </c>
      <c r="F980" t="s">
        <v>4575</v>
      </c>
      <c r="G980" t="s">
        <v>6835</v>
      </c>
      <c r="H980" t="s">
        <v>7925</v>
      </c>
      <c r="I980">
        <v>4</v>
      </c>
      <c r="J980" t="s">
        <v>1269</v>
      </c>
      <c r="K980">
        <v>76</v>
      </c>
      <c r="L980" t="s">
        <v>8326</v>
      </c>
      <c r="M980" t="s">
        <v>8327</v>
      </c>
      <c r="N980" t="s">
        <v>8328</v>
      </c>
      <c r="O980" t="s">
        <v>7830</v>
      </c>
      <c r="P980" t="s">
        <v>8329</v>
      </c>
      <c r="Q980" t="s">
        <v>8330</v>
      </c>
      <c r="R980" t="s">
        <v>8331</v>
      </c>
      <c r="S980">
        <v>1975</v>
      </c>
      <c r="T980" t="s">
        <v>8332</v>
      </c>
      <c r="U980" t="s">
        <v>8333</v>
      </c>
      <c r="V980">
        <v>1</v>
      </c>
      <c r="W980">
        <v>2</v>
      </c>
      <c r="X980">
        <v>213267</v>
      </c>
      <c r="Y980" t="s">
        <v>463</v>
      </c>
      <c r="Z980" t="s">
        <v>8330</v>
      </c>
      <c r="AA980" t="s">
        <v>7831</v>
      </c>
      <c r="AB980" t="s">
        <v>45</v>
      </c>
      <c r="AC980" t="s">
        <v>7832</v>
      </c>
    </row>
    <row r="981" spans="1:29">
      <c r="A981" t="s">
        <v>5317</v>
      </c>
      <c r="B981" s="1">
        <v>117656</v>
      </c>
      <c r="C981" t="s">
        <v>380</v>
      </c>
      <c r="D981" t="s">
        <v>31</v>
      </c>
      <c r="E981" s="1">
        <v>-8125</v>
      </c>
      <c r="F981" t="s">
        <v>75</v>
      </c>
      <c r="G981" t="s">
        <v>8334</v>
      </c>
      <c r="H981" t="s">
        <v>8335</v>
      </c>
      <c r="I981">
        <v>4</v>
      </c>
      <c r="J981" t="s">
        <v>4670</v>
      </c>
      <c r="K981">
        <v>76</v>
      </c>
      <c r="L981" t="s">
        <v>8336</v>
      </c>
      <c r="M981" t="s">
        <v>8337</v>
      </c>
      <c r="N981" t="s">
        <v>8338</v>
      </c>
      <c r="O981" t="s">
        <v>7830</v>
      </c>
      <c r="P981" t="s">
        <v>8339</v>
      </c>
      <c r="Q981" t="s">
        <v>8340</v>
      </c>
      <c r="R981" t="s">
        <v>8341</v>
      </c>
      <c r="S981">
        <v>1981</v>
      </c>
      <c r="T981">
        <v>0</v>
      </c>
      <c r="U981" t="s">
        <v>8342</v>
      </c>
      <c r="V981">
        <v>0</v>
      </c>
      <c r="W981">
        <v>9</v>
      </c>
      <c r="X981">
        <v>236920</v>
      </c>
      <c r="Y981" t="s">
        <v>1619</v>
      </c>
      <c r="Z981" t="s">
        <v>8340</v>
      </c>
      <c r="AA981" t="s">
        <v>7831</v>
      </c>
      <c r="AB981" t="s">
        <v>45</v>
      </c>
      <c r="AC981" t="s">
        <v>7832</v>
      </c>
    </row>
    <row r="982" spans="1:29">
      <c r="A982" t="s">
        <v>5174</v>
      </c>
      <c r="B982" t="s">
        <v>8343</v>
      </c>
      <c r="C982" t="s">
        <v>1598</v>
      </c>
      <c r="D982" t="s">
        <v>31</v>
      </c>
      <c r="E982" s="1">
        <v>-5715</v>
      </c>
      <c r="F982" t="s">
        <v>201</v>
      </c>
      <c r="G982" t="s">
        <v>2251</v>
      </c>
      <c r="H982" t="s">
        <v>8143</v>
      </c>
      <c r="I982">
        <v>4</v>
      </c>
      <c r="J982" t="s">
        <v>3646</v>
      </c>
      <c r="K982">
        <v>76</v>
      </c>
      <c r="L982" t="s">
        <v>8344</v>
      </c>
      <c r="M982" t="s">
        <v>8345</v>
      </c>
      <c r="N982" t="s">
        <v>8346</v>
      </c>
      <c r="O982" t="s">
        <v>7830</v>
      </c>
      <c r="P982" t="s">
        <v>8347</v>
      </c>
      <c r="Q982" t="s">
        <v>8348</v>
      </c>
      <c r="R982" t="s">
        <v>8346</v>
      </c>
      <c r="S982" s="2">
        <v>42496</v>
      </c>
      <c r="T982">
        <v>0</v>
      </c>
      <c r="U982" t="s">
        <v>8349</v>
      </c>
      <c r="V982">
        <v>1</v>
      </c>
      <c r="W982">
        <v>0</v>
      </c>
      <c r="X982">
        <v>236002</v>
      </c>
      <c r="Y982" t="s">
        <v>8350</v>
      </c>
      <c r="Z982" t="s">
        <v>8348</v>
      </c>
      <c r="AA982" t="s">
        <v>7831</v>
      </c>
      <c r="AB982" t="s">
        <v>45</v>
      </c>
      <c r="AC982" t="s">
        <v>7832</v>
      </c>
    </row>
    <row r="983" spans="1:29">
      <c r="A983" t="s">
        <v>653</v>
      </c>
      <c r="B983" s="1">
        <v>131715</v>
      </c>
      <c r="C983" t="s">
        <v>1865</v>
      </c>
      <c r="D983" t="s">
        <v>31</v>
      </c>
      <c r="E983" s="1">
        <v>-10791</v>
      </c>
      <c r="F983" t="s">
        <v>3956</v>
      </c>
      <c r="G983" t="s">
        <v>2621</v>
      </c>
      <c r="H983" t="s">
        <v>8351</v>
      </c>
      <c r="I983">
        <v>4</v>
      </c>
      <c r="J983" t="s">
        <v>8352</v>
      </c>
      <c r="K983">
        <v>76</v>
      </c>
      <c r="L983" t="s">
        <v>8353</v>
      </c>
      <c r="M983" t="s">
        <v>8354</v>
      </c>
      <c r="N983" t="s">
        <v>8355</v>
      </c>
      <c r="O983" t="s">
        <v>7830</v>
      </c>
      <c r="P983" t="s">
        <v>8356</v>
      </c>
      <c r="Q983" t="s">
        <v>8357</v>
      </c>
      <c r="R983" t="s">
        <v>8358</v>
      </c>
      <c r="S983" t="s">
        <v>8359</v>
      </c>
      <c r="T983" t="s">
        <v>8360</v>
      </c>
      <c r="U983" t="s">
        <v>8361</v>
      </c>
      <c r="V983">
        <v>0</v>
      </c>
      <c r="W983">
        <v>2</v>
      </c>
      <c r="X983">
        <v>288293</v>
      </c>
      <c r="Y983" t="s">
        <v>767</v>
      </c>
      <c r="Z983" t="s">
        <v>8357</v>
      </c>
      <c r="AA983" t="s">
        <v>7831</v>
      </c>
      <c r="AB983" t="s">
        <v>45</v>
      </c>
      <c r="AC983" t="s">
        <v>7832</v>
      </c>
    </row>
    <row r="984" spans="1:29">
      <c r="A984" t="s">
        <v>4494</v>
      </c>
      <c r="B984" s="1">
        <v>126094</v>
      </c>
      <c r="C984" t="s">
        <v>2803</v>
      </c>
      <c r="D984" t="s">
        <v>31</v>
      </c>
      <c r="E984" s="1">
        <v>-3405</v>
      </c>
      <c r="F984" t="s">
        <v>1211</v>
      </c>
      <c r="G984" t="s">
        <v>4472</v>
      </c>
      <c r="H984" t="s">
        <v>4495</v>
      </c>
      <c r="I984">
        <v>4</v>
      </c>
      <c r="J984" t="s">
        <v>4496</v>
      </c>
      <c r="K984">
        <v>76</v>
      </c>
      <c r="L984" t="s">
        <v>4497</v>
      </c>
      <c r="M984" t="s">
        <v>4498</v>
      </c>
      <c r="N984" t="s">
        <v>4236</v>
      </c>
      <c r="O984" t="s">
        <v>7830</v>
      </c>
      <c r="P984" t="s">
        <v>4499</v>
      </c>
      <c r="Q984" t="s">
        <v>4500</v>
      </c>
      <c r="R984" t="s">
        <v>4501</v>
      </c>
      <c r="S984" s="2">
        <v>41943</v>
      </c>
      <c r="T984" t="s">
        <v>4502</v>
      </c>
      <c r="U984" t="s">
        <v>4240</v>
      </c>
      <c r="V984">
        <v>1</v>
      </c>
      <c r="W984">
        <v>8</v>
      </c>
      <c r="X984">
        <v>184280</v>
      </c>
      <c r="Y984" t="s">
        <v>715</v>
      </c>
      <c r="Z984" t="s">
        <v>4500</v>
      </c>
      <c r="AA984" t="s">
        <v>7831</v>
      </c>
      <c r="AB984" t="s">
        <v>45</v>
      </c>
      <c r="AC984" t="s">
        <v>7832</v>
      </c>
    </row>
    <row r="985" spans="1:29">
      <c r="A985" t="s">
        <v>3257</v>
      </c>
      <c r="B985" s="1">
        <v>93989</v>
      </c>
      <c r="C985" t="s">
        <v>1583</v>
      </c>
      <c r="D985" t="s">
        <v>31</v>
      </c>
      <c r="E985" s="1">
        <v>-2652</v>
      </c>
      <c r="F985" t="s">
        <v>905</v>
      </c>
      <c r="G985" t="s">
        <v>289</v>
      </c>
      <c r="H985" t="s">
        <v>8362</v>
      </c>
      <c r="I985">
        <v>4</v>
      </c>
      <c r="J985" t="s">
        <v>8363</v>
      </c>
      <c r="K985">
        <v>76</v>
      </c>
      <c r="L985" t="s">
        <v>8364</v>
      </c>
      <c r="M985" t="s">
        <v>8365</v>
      </c>
      <c r="N985" t="s">
        <v>8366</v>
      </c>
      <c r="O985" t="s">
        <v>7830</v>
      </c>
      <c r="P985" t="s">
        <v>8367</v>
      </c>
      <c r="Q985" t="s">
        <v>8368</v>
      </c>
      <c r="R985" t="s">
        <v>8366</v>
      </c>
      <c r="S985" s="2">
        <v>43489</v>
      </c>
      <c r="T985" t="s">
        <v>8369</v>
      </c>
      <c r="U985" t="s">
        <v>8370</v>
      </c>
      <c r="V985">
        <v>0</v>
      </c>
      <c r="W985">
        <v>8</v>
      </c>
      <c r="X985">
        <v>193227</v>
      </c>
      <c r="Y985" t="s">
        <v>437</v>
      </c>
      <c r="Z985" t="s">
        <v>8368</v>
      </c>
      <c r="AA985" t="s">
        <v>7831</v>
      </c>
      <c r="AB985" t="s">
        <v>45</v>
      </c>
      <c r="AC985" t="s">
        <v>7832</v>
      </c>
    </row>
    <row r="986" spans="1:29">
      <c r="A986" t="s">
        <v>2733</v>
      </c>
      <c r="B986" s="1">
        <v>126885</v>
      </c>
      <c r="C986" t="s">
        <v>158</v>
      </c>
      <c r="D986" t="s">
        <v>31</v>
      </c>
      <c r="E986" s="1">
        <v>-3873</v>
      </c>
      <c r="F986" t="s">
        <v>1596</v>
      </c>
      <c r="G986" t="s">
        <v>3163</v>
      </c>
      <c r="H986" t="s">
        <v>8371</v>
      </c>
      <c r="I986">
        <v>4</v>
      </c>
      <c r="J986" t="s">
        <v>7714</v>
      </c>
      <c r="K986">
        <v>76</v>
      </c>
      <c r="L986" t="s">
        <v>8372</v>
      </c>
      <c r="M986" t="s">
        <v>8373</v>
      </c>
      <c r="N986" t="s">
        <v>8374</v>
      </c>
      <c r="O986" t="s">
        <v>7830</v>
      </c>
      <c r="P986" t="s">
        <v>8375</v>
      </c>
      <c r="Q986" t="s">
        <v>8376</v>
      </c>
      <c r="R986" t="s">
        <v>8377</v>
      </c>
      <c r="S986" s="2">
        <v>40544</v>
      </c>
      <c r="T986">
        <v>0</v>
      </c>
      <c r="U986" t="s">
        <v>8378</v>
      </c>
      <c r="V986">
        <v>0</v>
      </c>
      <c r="W986">
        <v>7</v>
      </c>
      <c r="X986">
        <v>197936</v>
      </c>
      <c r="Y986" t="s">
        <v>8019</v>
      </c>
      <c r="Z986" t="s">
        <v>8376</v>
      </c>
      <c r="AA986" t="s">
        <v>7831</v>
      </c>
      <c r="AB986" t="s">
        <v>45</v>
      </c>
      <c r="AC986" t="s">
        <v>7832</v>
      </c>
    </row>
    <row r="987" spans="1:29">
      <c r="A987" t="s">
        <v>3347</v>
      </c>
      <c r="B987" s="1">
        <v>98007</v>
      </c>
      <c r="C987" t="s">
        <v>916</v>
      </c>
      <c r="D987" t="s">
        <v>31</v>
      </c>
      <c r="E987" s="1">
        <v>-3081</v>
      </c>
      <c r="F987" t="s">
        <v>3556</v>
      </c>
      <c r="G987" t="s">
        <v>198</v>
      </c>
      <c r="H987" t="s">
        <v>8379</v>
      </c>
      <c r="I987">
        <v>4</v>
      </c>
      <c r="J987" t="s">
        <v>8380</v>
      </c>
      <c r="K987">
        <v>76</v>
      </c>
      <c r="L987" t="s">
        <v>8381</v>
      </c>
      <c r="M987" t="s">
        <v>8382</v>
      </c>
      <c r="N987" t="s">
        <v>8383</v>
      </c>
      <c r="O987" t="s">
        <v>7830</v>
      </c>
      <c r="P987" t="s">
        <v>8384</v>
      </c>
      <c r="Q987" t="s">
        <v>8385</v>
      </c>
      <c r="R987" t="s">
        <v>8386</v>
      </c>
      <c r="S987" s="2">
        <v>42335</v>
      </c>
      <c r="T987" t="s">
        <v>8387</v>
      </c>
      <c r="U987" t="s">
        <v>8388</v>
      </c>
      <c r="V987">
        <v>0</v>
      </c>
      <c r="W987">
        <v>7</v>
      </c>
      <c r="X987">
        <v>176561</v>
      </c>
      <c r="Y987" t="s">
        <v>8389</v>
      </c>
      <c r="Z987" t="s">
        <v>8385</v>
      </c>
      <c r="AA987" t="s">
        <v>7831</v>
      </c>
      <c r="AB987" t="s">
        <v>45</v>
      </c>
      <c r="AC987" t="s">
        <v>7832</v>
      </c>
    </row>
    <row r="988" spans="1:29">
      <c r="A988" t="s">
        <v>684</v>
      </c>
      <c r="B988" s="1">
        <v>128011</v>
      </c>
      <c r="C988" t="s">
        <v>1537</v>
      </c>
      <c r="D988" t="s">
        <v>31</v>
      </c>
      <c r="E988" s="1">
        <v>-4444</v>
      </c>
      <c r="F988" t="s">
        <v>8390</v>
      </c>
      <c r="G988" t="s">
        <v>1893</v>
      </c>
      <c r="H988" t="s">
        <v>8391</v>
      </c>
      <c r="I988">
        <v>4</v>
      </c>
      <c r="J988" t="s">
        <v>8392</v>
      </c>
      <c r="K988">
        <v>76</v>
      </c>
      <c r="L988" t="s">
        <v>8393</v>
      </c>
      <c r="M988" t="s">
        <v>8394</v>
      </c>
      <c r="N988" t="s">
        <v>4387</v>
      </c>
      <c r="O988" t="s">
        <v>7830</v>
      </c>
      <c r="P988" t="s">
        <v>8395</v>
      </c>
      <c r="Q988" t="s">
        <v>8396</v>
      </c>
      <c r="R988" t="s">
        <v>8397</v>
      </c>
      <c r="S988" s="2">
        <v>41082</v>
      </c>
      <c r="T988" t="s">
        <v>7847</v>
      </c>
      <c r="U988" t="s">
        <v>4391</v>
      </c>
      <c r="V988">
        <v>0</v>
      </c>
      <c r="W988">
        <v>1</v>
      </c>
      <c r="X988">
        <v>248133</v>
      </c>
      <c r="Y988" t="s">
        <v>4577</v>
      </c>
      <c r="Z988" t="s">
        <v>8396</v>
      </c>
      <c r="AA988" t="s">
        <v>7831</v>
      </c>
      <c r="AB988" t="s">
        <v>45</v>
      </c>
      <c r="AC988" t="s">
        <v>7832</v>
      </c>
    </row>
    <row r="989" spans="1:29">
      <c r="A989" t="s">
        <v>3555</v>
      </c>
      <c r="B989" s="1">
        <v>119958</v>
      </c>
      <c r="C989" t="s">
        <v>2579</v>
      </c>
      <c r="D989" t="s">
        <v>31</v>
      </c>
      <c r="E989" s="1">
        <v>-9204</v>
      </c>
      <c r="F989" t="s">
        <v>3826</v>
      </c>
      <c r="G989" t="s">
        <v>1121</v>
      </c>
      <c r="H989" t="s">
        <v>4453</v>
      </c>
      <c r="I989">
        <v>4</v>
      </c>
      <c r="J989" t="s">
        <v>597</v>
      </c>
      <c r="K989">
        <v>75</v>
      </c>
      <c r="L989" t="s">
        <v>4454</v>
      </c>
      <c r="M989" t="s">
        <v>4455</v>
      </c>
      <c r="N989" t="s">
        <v>4456</v>
      </c>
      <c r="O989" t="s">
        <v>7830</v>
      </c>
      <c r="P989" t="s">
        <v>4457</v>
      </c>
      <c r="Q989" t="s">
        <v>4458</v>
      </c>
      <c r="R989" t="s">
        <v>4459</v>
      </c>
      <c r="S989" s="2">
        <v>40179</v>
      </c>
      <c r="T989" t="s">
        <v>4460</v>
      </c>
      <c r="U989" t="s">
        <v>4461</v>
      </c>
      <c r="V989">
        <v>0</v>
      </c>
      <c r="W989">
        <v>1</v>
      </c>
      <c r="X989">
        <v>206067</v>
      </c>
      <c r="Y989" t="s">
        <v>178</v>
      </c>
      <c r="Z989" t="s">
        <v>4458</v>
      </c>
      <c r="AA989" t="s">
        <v>7831</v>
      </c>
      <c r="AB989" t="s">
        <v>45</v>
      </c>
      <c r="AC989" t="s">
        <v>7832</v>
      </c>
    </row>
    <row r="990" spans="1:29">
      <c r="A990" t="s">
        <v>4462</v>
      </c>
      <c r="B990" s="1">
        <v>127975</v>
      </c>
      <c r="C990" t="s">
        <v>1279</v>
      </c>
      <c r="D990" t="s">
        <v>31</v>
      </c>
      <c r="E990" s="1">
        <v>-4485</v>
      </c>
      <c r="F990" t="s">
        <v>1596</v>
      </c>
      <c r="G990" t="s">
        <v>2905</v>
      </c>
      <c r="H990" t="s">
        <v>4463</v>
      </c>
      <c r="I990">
        <v>4</v>
      </c>
      <c r="J990" t="s">
        <v>928</v>
      </c>
      <c r="K990">
        <v>75</v>
      </c>
      <c r="L990" t="s">
        <v>4464</v>
      </c>
      <c r="M990" t="s">
        <v>4465</v>
      </c>
      <c r="N990" t="s">
        <v>4466</v>
      </c>
      <c r="O990" t="s">
        <v>7830</v>
      </c>
      <c r="P990" t="s">
        <v>4467</v>
      </c>
      <c r="Q990" t="s">
        <v>4468</v>
      </c>
      <c r="R990" t="s">
        <v>4469</v>
      </c>
      <c r="S990" s="2">
        <v>40866</v>
      </c>
      <c r="T990" t="s">
        <v>4470</v>
      </c>
      <c r="U990" t="s">
        <v>4471</v>
      </c>
      <c r="V990">
        <v>1</v>
      </c>
      <c r="W990">
        <v>1</v>
      </c>
      <c r="X990">
        <v>215227</v>
      </c>
      <c r="Y990" t="s">
        <v>3648</v>
      </c>
      <c r="Z990" t="s">
        <v>4468</v>
      </c>
      <c r="AA990" t="s">
        <v>7831</v>
      </c>
      <c r="AB990" t="s">
        <v>45</v>
      </c>
      <c r="AC990" t="s">
        <v>7832</v>
      </c>
    </row>
    <row r="991" spans="1:29">
      <c r="A991" t="s">
        <v>1866</v>
      </c>
      <c r="B991" s="1">
        <v>129981</v>
      </c>
      <c r="C991" t="s">
        <v>3633</v>
      </c>
      <c r="D991" t="s">
        <v>31</v>
      </c>
      <c r="E991" s="1">
        <v>-6219</v>
      </c>
      <c r="F991" t="s">
        <v>6060</v>
      </c>
      <c r="G991" t="s">
        <v>770</v>
      </c>
      <c r="H991" t="s">
        <v>1240</v>
      </c>
      <c r="I991">
        <v>4</v>
      </c>
      <c r="J991" t="s">
        <v>926</v>
      </c>
      <c r="K991">
        <v>75</v>
      </c>
      <c r="L991" t="s">
        <v>6061</v>
      </c>
      <c r="M991" t="s">
        <v>6062</v>
      </c>
      <c r="N991" t="s">
        <v>1765</v>
      </c>
      <c r="O991" t="s">
        <v>7830</v>
      </c>
      <c r="P991" t="s">
        <v>6063</v>
      </c>
      <c r="Q991" t="s">
        <v>6064</v>
      </c>
      <c r="R991" t="s">
        <v>6065</v>
      </c>
      <c r="S991" s="2">
        <v>30685</v>
      </c>
      <c r="T991" t="s">
        <v>6066</v>
      </c>
      <c r="U991" t="s">
        <v>1770</v>
      </c>
      <c r="V991">
        <v>1</v>
      </c>
      <c r="W991">
        <v>0</v>
      </c>
      <c r="X991">
        <v>241600</v>
      </c>
      <c r="Y991" t="s">
        <v>1436</v>
      </c>
      <c r="Z991" t="s">
        <v>6064</v>
      </c>
      <c r="AA991" t="s">
        <v>7831</v>
      </c>
      <c r="AB991" t="s">
        <v>45</v>
      </c>
      <c r="AC991" t="s">
        <v>7832</v>
      </c>
    </row>
    <row r="992" spans="1:29">
      <c r="A992" t="s">
        <v>642</v>
      </c>
      <c r="B992" t="s">
        <v>8398</v>
      </c>
      <c r="C992" t="s">
        <v>581</v>
      </c>
      <c r="D992" t="s">
        <v>31</v>
      </c>
      <c r="E992" s="1">
        <v>-4269</v>
      </c>
      <c r="F992" t="s">
        <v>3144</v>
      </c>
      <c r="G992" t="s">
        <v>3311</v>
      </c>
      <c r="H992" t="s">
        <v>8399</v>
      </c>
      <c r="I992">
        <v>4</v>
      </c>
      <c r="J992" t="s">
        <v>476</v>
      </c>
      <c r="K992">
        <v>75</v>
      </c>
      <c r="L992" t="s">
        <v>8400</v>
      </c>
      <c r="M992" t="s">
        <v>8401</v>
      </c>
      <c r="N992" t="s">
        <v>8402</v>
      </c>
      <c r="O992" t="s">
        <v>7830</v>
      </c>
      <c r="P992" t="s">
        <v>8403</v>
      </c>
      <c r="Q992" t="s">
        <v>8404</v>
      </c>
      <c r="R992" t="s">
        <v>8405</v>
      </c>
      <c r="S992" s="2">
        <v>41138</v>
      </c>
      <c r="T992" t="s">
        <v>8406</v>
      </c>
      <c r="U992" t="s">
        <v>8407</v>
      </c>
      <c r="V992">
        <v>1</v>
      </c>
      <c r="W992">
        <v>3</v>
      </c>
      <c r="X992">
        <v>205933</v>
      </c>
      <c r="Y992" t="s">
        <v>8408</v>
      </c>
      <c r="Z992" t="s">
        <v>8404</v>
      </c>
      <c r="AA992" t="s">
        <v>7831</v>
      </c>
      <c r="AB992" t="s">
        <v>45</v>
      </c>
      <c r="AC992" t="s">
        <v>7832</v>
      </c>
    </row>
    <row r="993" spans="1:29">
      <c r="A993" t="s">
        <v>1631</v>
      </c>
      <c r="B993" s="1">
        <v>91031</v>
      </c>
      <c r="C993" t="s">
        <v>1537</v>
      </c>
      <c r="D993" t="s">
        <v>31</v>
      </c>
      <c r="E993" s="1">
        <v>-6323</v>
      </c>
      <c r="F993" t="s">
        <v>2673</v>
      </c>
      <c r="G993" t="s">
        <v>1864</v>
      </c>
      <c r="H993" t="s">
        <v>8409</v>
      </c>
      <c r="I993">
        <v>4</v>
      </c>
      <c r="J993" t="s">
        <v>1061</v>
      </c>
      <c r="K993">
        <v>75</v>
      </c>
      <c r="L993" t="s">
        <v>8410</v>
      </c>
      <c r="M993" t="s">
        <v>8411</v>
      </c>
      <c r="N993" t="s">
        <v>8412</v>
      </c>
      <c r="O993" t="s">
        <v>7830</v>
      </c>
      <c r="P993" t="s">
        <v>8413</v>
      </c>
      <c r="Q993" t="s">
        <v>8414</v>
      </c>
      <c r="R993" t="s">
        <v>8412</v>
      </c>
      <c r="S993" s="2">
        <v>40043</v>
      </c>
      <c r="T993">
        <v>0</v>
      </c>
      <c r="U993" t="s">
        <v>8415</v>
      </c>
      <c r="V993">
        <v>1</v>
      </c>
      <c r="W993">
        <v>9</v>
      </c>
      <c r="X993">
        <v>182307</v>
      </c>
      <c r="Y993" t="s">
        <v>1238</v>
      </c>
      <c r="Z993" t="s">
        <v>8414</v>
      </c>
      <c r="AA993" t="s">
        <v>7831</v>
      </c>
      <c r="AB993" t="s">
        <v>45</v>
      </c>
      <c r="AC993" t="s">
        <v>7832</v>
      </c>
    </row>
    <row r="994" spans="1:29">
      <c r="A994" t="s">
        <v>2251</v>
      </c>
      <c r="B994" s="1">
        <v>129948</v>
      </c>
      <c r="C994" t="s">
        <v>157</v>
      </c>
      <c r="D994" t="s">
        <v>31</v>
      </c>
      <c r="E994" s="1">
        <v>-5325</v>
      </c>
      <c r="F994" t="s">
        <v>351</v>
      </c>
      <c r="G994" t="s">
        <v>2283</v>
      </c>
      <c r="H994" t="s">
        <v>8416</v>
      </c>
      <c r="I994">
        <v>4</v>
      </c>
      <c r="J994" t="s">
        <v>8417</v>
      </c>
      <c r="K994">
        <v>75</v>
      </c>
      <c r="L994" t="s">
        <v>8418</v>
      </c>
      <c r="M994" t="s">
        <v>8419</v>
      </c>
      <c r="N994" t="s">
        <v>8420</v>
      </c>
      <c r="O994" t="s">
        <v>7830</v>
      </c>
      <c r="P994" t="s">
        <v>8421</v>
      </c>
      <c r="Q994" t="s">
        <v>8422</v>
      </c>
      <c r="R994" t="s">
        <v>8423</v>
      </c>
      <c r="S994" s="2">
        <v>41873</v>
      </c>
      <c r="T994" t="s">
        <v>8424</v>
      </c>
      <c r="U994" t="s">
        <v>8425</v>
      </c>
      <c r="V994">
        <v>0</v>
      </c>
      <c r="W994">
        <v>7</v>
      </c>
      <c r="X994">
        <v>214840</v>
      </c>
      <c r="Y994" t="s">
        <v>8426</v>
      </c>
      <c r="Z994" t="s">
        <v>8422</v>
      </c>
      <c r="AA994" t="s">
        <v>7831</v>
      </c>
      <c r="AB994" t="s">
        <v>45</v>
      </c>
      <c r="AC994" t="s">
        <v>7832</v>
      </c>
    </row>
    <row r="995" spans="1:29">
      <c r="A995" t="s">
        <v>4533</v>
      </c>
      <c r="B995" t="s">
        <v>8427</v>
      </c>
      <c r="C995" t="s">
        <v>3930</v>
      </c>
      <c r="D995" t="s">
        <v>31</v>
      </c>
      <c r="E995" s="1">
        <v>-4221</v>
      </c>
      <c r="F995" t="s">
        <v>6776</v>
      </c>
      <c r="G995" t="s">
        <v>3634</v>
      </c>
      <c r="H995" t="s">
        <v>8428</v>
      </c>
      <c r="I995">
        <v>4</v>
      </c>
      <c r="J995" t="s">
        <v>783</v>
      </c>
      <c r="K995">
        <v>75</v>
      </c>
      <c r="L995" t="s">
        <v>8429</v>
      </c>
      <c r="M995" t="s">
        <v>8430</v>
      </c>
      <c r="N995" t="s">
        <v>8431</v>
      </c>
      <c r="O995" t="s">
        <v>7830</v>
      </c>
      <c r="P995" t="s">
        <v>8432</v>
      </c>
      <c r="Q995" t="s">
        <v>8433</v>
      </c>
      <c r="R995" t="s">
        <v>8434</v>
      </c>
      <c r="S995" s="2">
        <v>35751</v>
      </c>
      <c r="T995" t="s">
        <v>474</v>
      </c>
      <c r="U995" t="s">
        <v>8435</v>
      </c>
      <c r="V995">
        <v>0</v>
      </c>
      <c r="W995">
        <v>2</v>
      </c>
      <c r="X995">
        <v>213394</v>
      </c>
      <c r="Y995" t="s">
        <v>202</v>
      </c>
      <c r="Z995" t="s">
        <v>8433</v>
      </c>
      <c r="AA995" t="s">
        <v>7831</v>
      </c>
      <c r="AB995" t="s">
        <v>45</v>
      </c>
      <c r="AC995" t="s">
        <v>7832</v>
      </c>
    </row>
    <row r="996" spans="1:29">
      <c r="A996" t="s">
        <v>293</v>
      </c>
      <c r="B996" t="s">
        <v>8436</v>
      </c>
      <c r="C996" t="s">
        <v>3633</v>
      </c>
      <c r="D996" t="s">
        <v>31</v>
      </c>
      <c r="E996" s="1">
        <v>-7027</v>
      </c>
      <c r="F996" t="s">
        <v>8437</v>
      </c>
      <c r="G996" t="s">
        <v>2571</v>
      </c>
      <c r="H996" t="s">
        <v>8438</v>
      </c>
      <c r="I996">
        <v>4</v>
      </c>
      <c r="J996" t="s">
        <v>8170</v>
      </c>
      <c r="K996">
        <v>75</v>
      </c>
      <c r="L996" t="s">
        <v>8439</v>
      </c>
      <c r="M996" t="s">
        <v>8440</v>
      </c>
      <c r="N996" t="s">
        <v>8441</v>
      </c>
      <c r="O996" t="s">
        <v>7830</v>
      </c>
      <c r="P996" t="s">
        <v>8442</v>
      </c>
      <c r="Q996" t="s">
        <v>8443</v>
      </c>
      <c r="R996" t="s">
        <v>8444</v>
      </c>
      <c r="S996" s="2">
        <v>30622</v>
      </c>
      <c r="T996" t="s">
        <v>8445</v>
      </c>
      <c r="U996" t="s">
        <v>8446</v>
      </c>
      <c r="V996">
        <v>0</v>
      </c>
      <c r="W996">
        <v>7</v>
      </c>
      <c r="X996">
        <v>237053</v>
      </c>
      <c r="Y996" t="s">
        <v>8447</v>
      </c>
      <c r="Z996" t="s">
        <v>8443</v>
      </c>
      <c r="AA996" t="s">
        <v>7831</v>
      </c>
      <c r="AB996" t="s">
        <v>45</v>
      </c>
      <c r="AC996" t="s">
        <v>7832</v>
      </c>
    </row>
    <row r="997" spans="1:29">
      <c r="A997" t="s">
        <v>105</v>
      </c>
      <c r="B997" s="1">
        <v>101875</v>
      </c>
      <c r="C997" t="s">
        <v>2293</v>
      </c>
      <c r="D997" t="s">
        <v>31</v>
      </c>
      <c r="E997" t="s">
        <v>8448</v>
      </c>
      <c r="F997" t="s">
        <v>585</v>
      </c>
      <c r="G997" t="s">
        <v>3114</v>
      </c>
      <c r="H997" t="s">
        <v>8449</v>
      </c>
      <c r="I997">
        <v>4</v>
      </c>
      <c r="J997" t="s">
        <v>6735</v>
      </c>
      <c r="K997">
        <v>75</v>
      </c>
      <c r="L997" t="s">
        <v>8450</v>
      </c>
      <c r="M997" t="s">
        <v>8451</v>
      </c>
      <c r="N997" t="s">
        <v>8452</v>
      </c>
      <c r="O997" t="s">
        <v>7830</v>
      </c>
      <c r="P997" t="s">
        <v>8453</v>
      </c>
      <c r="Q997" t="s">
        <v>8454</v>
      </c>
      <c r="R997" t="s">
        <v>8455</v>
      </c>
      <c r="S997" s="2">
        <v>36704</v>
      </c>
      <c r="T997" t="s">
        <v>8456</v>
      </c>
      <c r="U997" t="s">
        <v>8457</v>
      </c>
      <c r="V997">
        <v>1</v>
      </c>
      <c r="W997">
        <v>7</v>
      </c>
      <c r="X997">
        <v>291782</v>
      </c>
      <c r="Y997" t="s">
        <v>6272</v>
      </c>
      <c r="Z997" t="s">
        <v>8454</v>
      </c>
      <c r="AA997" t="s">
        <v>7831</v>
      </c>
      <c r="AB997" t="s">
        <v>45</v>
      </c>
      <c r="AC997" t="s">
        <v>7832</v>
      </c>
    </row>
    <row r="998" spans="1:29">
      <c r="A998" t="s">
        <v>2651</v>
      </c>
      <c r="B998" t="s">
        <v>8458</v>
      </c>
      <c r="C998" t="s">
        <v>1267</v>
      </c>
      <c r="D998" t="s">
        <v>31</v>
      </c>
      <c r="E998" s="1">
        <v>-6752</v>
      </c>
      <c r="F998" t="s">
        <v>8390</v>
      </c>
      <c r="G998" t="s">
        <v>6809</v>
      </c>
      <c r="H998" t="s">
        <v>8459</v>
      </c>
      <c r="I998">
        <v>4</v>
      </c>
      <c r="J998" t="s">
        <v>2229</v>
      </c>
      <c r="K998">
        <v>75</v>
      </c>
      <c r="L998" t="s">
        <v>8460</v>
      </c>
      <c r="M998" t="s">
        <v>8461</v>
      </c>
      <c r="N998" t="s">
        <v>8462</v>
      </c>
      <c r="O998" t="s">
        <v>7830</v>
      </c>
      <c r="P998" t="s">
        <v>8463</v>
      </c>
      <c r="Q998" t="s">
        <v>8464</v>
      </c>
      <c r="R998" t="s">
        <v>8465</v>
      </c>
      <c r="S998" s="2">
        <v>36360</v>
      </c>
      <c r="T998">
        <v>0</v>
      </c>
      <c r="U998" t="s">
        <v>8466</v>
      </c>
      <c r="V998">
        <v>0</v>
      </c>
      <c r="W998">
        <v>5</v>
      </c>
      <c r="X998">
        <v>220293</v>
      </c>
      <c r="Y998" t="s">
        <v>593</v>
      </c>
      <c r="Z998" t="s">
        <v>8464</v>
      </c>
      <c r="AA998" t="s">
        <v>7831</v>
      </c>
      <c r="AB998" t="s">
        <v>45</v>
      </c>
      <c r="AC998" t="s">
        <v>7832</v>
      </c>
    </row>
    <row r="999" spans="1:29">
      <c r="A999" t="s">
        <v>1097</v>
      </c>
      <c r="B999" s="1">
        <v>122746</v>
      </c>
      <c r="C999" t="s">
        <v>4347</v>
      </c>
      <c r="D999" t="s">
        <v>31</v>
      </c>
      <c r="E999" s="1">
        <v>-8618</v>
      </c>
      <c r="F999" t="s">
        <v>438</v>
      </c>
      <c r="G999" t="s">
        <v>1747</v>
      </c>
      <c r="H999" t="s">
        <v>4513</v>
      </c>
      <c r="I999">
        <v>4</v>
      </c>
      <c r="J999" t="s">
        <v>279</v>
      </c>
      <c r="K999">
        <v>74</v>
      </c>
      <c r="L999" t="s">
        <v>4514</v>
      </c>
      <c r="M999" t="s">
        <v>4515</v>
      </c>
      <c r="N999" t="s">
        <v>4516</v>
      </c>
      <c r="O999" t="s">
        <v>7830</v>
      </c>
      <c r="P999" t="s">
        <v>4517</v>
      </c>
      <c r="Q999" t="s">
        <v>4518</v>
      </c>
      <c r="R999" t="s">
        <v>4519</v>
      </c>
      <c r="S999" s="2">
        <v>36962</v>
      </c>
      <c r="T999">
        <v>0</v>
      </c>
      <c r="U999" t="s">
        <v>4520</v>
      </c>
      <c r="V999">
        <v>1</v>
      </c>
      <c r="W999">
        <v>2</v>
      </c>
      <c r="X999">
        <v>320357</v>
      </c>
      <c r="Y999" t="s">
        <v>4521</v>
      </c>
      <c r="Z999" t="s">
        <v>4518</v>
      </c>
      <c r="AA999" t="s">
        <v>7831</v>
      </c>
      <c r="AB999" t="s">
        <v>45</v>
      </c>
      <c r="AC999" t="s">
        <v>7832</v>
      </c>
    </row>
    <row r="1000" spans="1:29">
      <c r="A1000" t="s">
        <v>1608</v>
      </c>
      <c r="B1000" s="1">
        <v>125035</v>
      </c>
      <c r="C1000" t="s">
        <v>1289</v>
      </c>
      <c r="D1000" t="s">
        <v>31</v>
      </c>
      <c r="E1000" s="1">
        <v>-8698</v>
      </c>
      <c r="F1000" t="s">
        <v>135</v>
      </c>
      <c r="G1000" t="s">
        <v>3349</v>
      </c>
      <c r="H1000" t="s">
        <v>8467</v>
      </c>
      <c r="I1000">
        <v>4</v>
      </c>
      <c r="J1000" t="s">
        <v>224</v>
      </c>
      <c r="K1000">
        <v>75</v>
      </c>
      <c r="L1000" t="s">
        <v>8468</v>
      </c>
      <c r="M1000" t="s">
        <v>8469</v>
      </c>
      <c r="N1000" t="s">
        <v>8470</v>
      </c>
      <c r="O1000" t="s">
        <v>7830</v>
      </c>
      <c r="P1000" t="s">
        <v>8471</v>
      </c>
      <c r="Q1000" t="s">
        <v>8472</v>
      </c>
      <c r="R1000" t="s">
        <v>8473</v>
      </c>
      <c r="S1000" s="2">
        <v>29904</v>
      </c>
      <c r="T1000" t="s">
        <v>8474</v>
      </c>
      <c r="U1000" t="s">
        <v>8475</v>
      </c>
      <c r="V1000">
        <v>0</v>
      </c>
      <c r="W1000">
        <v>11</v>
      </c>
      <c r="X1000">
        <v>339320</v>
      </c>
      <c r="Y1000" t="s">
        <v>211</v>
      </c>
      <c r="Z1000" t="s">
        <v>8472</v>
      </c>
      <c r="AA1000" t="s">
        <v>7831</v>
      </c>
      <c r="AB1000" t="s">
        <v>45</v>
      </c>
      <c r="AC1000" t="s">
        <v>7832</v>
      </c>
    </row>
    <row r="1001" spans="1:29">
      <c r="A1001" t="s">
        <v>262</v>
      </c>
      <c r="B1001" s="1">
        <v>117662</v>
      </c>
      <c r="C1001" t="s">
        <v>1492</v>
      </c>
      <c r="D1001" t="s">
        <v>31</v>
      </c>
      <c r="E1001" s="1">
        <v>-6908</v>
      </c>
      <c r="F1001" t="s">
        <v>59</v>
      </c>
      <c r="G1001" t="s">
        <v>1142</v>
      </c>
      <c r="H1001" t="s">
        <v>6067</v>
      </c>
      <c r="I1001">
        <v>4</v>
      </c>
      <c r="J1001" t="s">
        <v>5425</v>
      </c>
      <c r="K1001">
        <v>74</v>
      </c>
      <c r="L1001" t="s">
        <v>6068</v>
      </c>
      <c r="M1001" t="s">
        <v>6069</v>
      </c>
      <c r="N1001" t="s">
        <v>6070</v>
      </c>
      <c r="O1001" t="s">
        <v>7830</v>
      </c>
      <c r="P1001" t="s">
        <v>6071</v>
      </c>
      <c r="Q1001" t="s">
        <v>6072</v>
      </c>
      <c r="R1001" t="s">
        <v>6073</v>
      </c>
      <c r="S1001">
        <v>1986</v>
      </c>
      <c r="T1001" t="s">
        <v>6074</v>
      </c>
      <c r="U1001" t="s">
        <v>6075</v>
      </c>
      <c r="V1001">
        <v>0</v>
      </c>
      <c r="W1001">
        <v>6</v>
      </c>
      <c r="X1001">
        <v>310333</v>
      </c>
      <c r="Y1001" t="s">
        <v>6076</v>
      </c>
      <c r="Z1001" t="s">
        <v>6072</v>
      </c>
      <c r="AA1001" t="s">
        <v>7831</v>
      </c>
      <c r="AB1001" t="s">
        <v>45</v>
      </c>
      <c r="AC1001" t="s">
        <v>7832</v>
      </c>
    </row>
    <row r="1002" spans="1:29">
      <c r="A1002" t="s">
        <v>1726</v>
      </c>
      <c r="B1002" s="1">
        <v>107657</v>
      </c>
      <c r="C1002" t="s">
        <v>1881</v>
      </c>
      <c r="D1002" t="s">
        <v>31</v>
      </c>
      <c r="E1002" s="1">
        <v>-4862</v>
      </c>
      <c r="F1002" t="s">
        <v>146</v>
      </c>
      <c r="G1002" t="s">
        <v>2252</v>
      </c>
      <c r="H1002" t="s">
        <v>3175</v>
      </c>
      <c r="I1002">
        <v>4</v>
      </c>
      <c r="J1002" t="s">
        <v>5602</v>
      </c>
      <c r="K1002">
        <v>74</v>
      </c>
      <c r="L1002" t="s">
        <v>8476</v>
      </c>
      <c r="M1002" t="s">
        <v>8477</v>
      </c>
      <c r="N1002" t="s">
        <v>8478</v>
      </c>
      <c r="O1002" t="s">
        <v>7830</v>
      </c>
      <c r="P1002" t="s">
        <v>8479</v>
      </c>
      <c r="Q1002" t="s">
        <v>8480</v>
      </c>
      <c r="R1002" t="s">
        <v>8481</v>
      </c>
      <c r="S1002" s="2">
        <v>37208</v>
      </c>
      <c r="T1002" t="s">
        <v>6240</v>
      </c>
      <c r="U1002" t="s">
        <v>8482</v>
      </c>
      <c r="V1002">
        <v>0</v>
      </c>
      <c r="W1002">
        <v>1</v>
      </c>
      <c r="X1002">
        <v>196160</v>
      </c>
      <c r="Y1002" t="s">
        <v>5956</v>
      </c>
      <c r="Z1002" t="s">
        <v>8480</v>
      </c>
      <c r="AA1002" t="s">
        <v>7831</v>
      </c>
      <c r="AB1002" t="s">
        <v>45</v>
      </c>
      <c r="AC1002" t="s">
        <v>7832</v>
      </c>
    </row>
    <row r="1003" spans="1:29">
      <c r="A1003" t="s">
        <v>8483</v>
      </c>
      <c r="B1003" s="1">
        <v>128016</v>
      </c>
      <c r="C1003" t="s">
        <v>3094</v>
      </c>
      <c r="D1003" t="s">
        <v>31</v>
      </c>
      <c r="E1003" s="1">
        <v>-4804</v>
      </c>
      <c r="F1003" t="s">
        <v>5004</v>
      </c>
      <c r="G1003" t="s">
        <v>252</v>
      </c>
      <c r="H1003" t="s">
        <v>8484</v>
      </c>
      <c r="I1003">
        <v>4</v>
      </c>
      <c r="J1003" t="s">
        <v>3294</v>
      </c>
      <c r="K1003">
        <v>74</v>
      </c>
      <c r="L1003" t="s">
        <v>8485</v>
      </c>
      <c r="M1003" t="s">
        <v>8486</v>
      </c>
      <c r="N1003" t="s">
        <v>8487</v>
      </c>
      <c r="O1003" t="s">
        <v>7830</v>
      </c>
      <c r="P1003" t="s">
        <v>8488</v>
      </c>
      <c r="Q1003" t="s">
        <v>8489</v>
      </c>
      <c r="R1003" t="s">
        <v>8490</v>
      </c>
      <c r="S1003" s="2">
        <v>39132</v>
      </c>
      <c r="T1003" t="s">
        <v>8491</v>
      </c>
      <c r="U1003" t="s">
        <v>8492</v>
      </c>
      <c r="V1003">
        <v>1</v>
      </c>
      <c r="W1003">
        <v>2</v>
      </c>
      <c r="X1003">
        <v>223112</v>
      </c>
      <c r="Y1003" t="s">
        <v>5670</v>
      </c>
      <c r="Z1003" t="s">
        <v>8489</v>
      </c>
      <c r="AA1003" t="s">
        <v>7831</v>
      </c>
      <c r="AB1003" t="s">
        <v>45</v>
      </c>
      <c r="AC1003" t="s">
        <v>7832</v>
      </c>
    </row>
    <row r="1004" spans="1:29">
      <c r="A1004" t="s">
        <v>1938</v>
      </c>
      <c r="B1004" s="1">
        <v>108016</v>
      </c>
      <c r="C1004" t="s">
        <v>380</v>
      </c>
      <c r="D1004" t="s">
        <v>31</v>
      </c>
      <c r="E1004" s="1">
        <v>-4219</v>
      </c>
      <c r="F1004" t="s">
        <v>5958</v>
      </c>
      <c r="G1004" t="s">
        <v>8493</v>
      </c>
      <c r="H1004" t="s">
        <v>8494</v>
      </c>
      <c r="I1004">
        <v>4</v>
      </c>
      <c r="J1004" t="s">
        <v>1515</v>
      </c>
      <c r="K1004">
        <v>74</v>
      </c>
      <c r="L1004" t="s">
        <v>8495</v>
      </c>
      <c r="M1004" t="s">
        <v>8496</v>
      </c>
      <c r="N1004" t="s">
        <v>8497</v>
      </c>
      <c r="O1004" t="s">
        <v>7830</v>
      </c>
      <c r="P1004" t="s">
        <v>8498</v>
      </c>
      <c r="Q1004" t="s">
        <v>8499</v>
      </c>
      <c r="R1004" t="s">
        <v>8500</v>
      </c>
      <c r="S1004" s="2">
        <v>35654</v>
      </c>
      <c r="T1004">
        <v>0</v>
      </c>
      <c r="U1004" t="s">
        <v>8501</v>
      </c>
      <c r="V1004">
        <v>0</v>
      </c>
      <c r="W1004">
        <v>10</v>
      </c>
      <c r="X1004">
        <v>225360</v>
      </c>
      <c r="Y1004" t="s">
        <v>7793</v>
      </c>
      <c r="Z1004" t="s">
        <v>8499</v>
      </c>
      <c r="AA1004" t="s">
        <v>7831</v>
      </c>
      <c r="AB1004" t="s">
        <v>45</v>
      </c>
      <c r="AC1004" t="s">
        <v>7832</v>
      </c>
    </row>
    <row r="1005" spans="1:29">
      <c r="A1005" t="s">
        <v>1772</v>
      </c>
      <c r="B1005" s="1">
        <v>111038</v>
      </c>
      <c r="C1005" t="s">
        <v>4160</v>
      </c>
      <c r="D1005" t="s">
        <v>31</v>
      </c>
      <c r="E1005" s="1">
        <v>-5285</v>
      </c>
      <c r="F1005" t="s">
        <v>2884</v>
      </c>
      <c r="G1005" t="s">
        <v>96</v>
      </c>
      <c r="H1005" t="s">
        <v>8502</v>
      </c>
      <c r="I1005">
        <v>4</v>
      </c>
      <c r="J1005" t="s">
        <v>1842</v>
      </c>
      <c r="K1005">
        <v>74</v>
      </c>
      <c r="L1005" t="s">
        <v>8503</v>
      </c>
      <c r="M1005" t="s">
        <v>8504</v>
      </c>
      <c r="N1005" t="s">
        <v>8505</v>
      </c>
      <c r="O1005" t="s">
        <v>7830</v>
      </c>
      <c r="P1005" t="s">
        <v>8506</v>
      </c>
      <c r="Q1005" t="s">
        <v>8507</v>
      </c>
      <c r="R1005" t="s">
        <v>8508</v>
      </c>
      <c r="S1005" s="2">
        <v>40074</v>
      </c>
      <c r="T1005" t="s">
        <v>8509</v>
      </c>
      <c r="U1005" t="s">
        <v>8510</v>
      </c>
      <c r="V1005">
        <v>1</v>
      </c>
      <c r="W1005">
        <v>5</v>
      </c>
      <c r="X1005">
        <v>342680</v>
      </c>
      <c r="Y1005" t="s">
        <v>2033</v>
      </c>
      <c r="Z1005" t="s">
        <v>8507</v>
      </c>
      <c r="AA1005" t="s">
        <v>7831</v>
      </c>
      <c r="AB1005" t="s">
        <v>45</v>
      </c>
      <c r="AC1005" t="s">
        <v>7832</v>
      </c>
    </row>
    <row r="1006" spans="1:29">
      <c r="A1006" t="s">
        <v>1772</v>
      </c>
      <c r="B1006" s="1">
        <v>132032</v>
      </c>
      <c r="C1006" t="s">
        <v>1537</v>
      </c>
      <c r="D1006" t="s">
        <v>31</v>
      </c>
      <c r="E1006" s="1">
        <v>-3956</v>
      </c>
      <c r="F1006" t="s">
        <v>8392</v>
      </c>
      <c r="G1006" t="s">
        <v>4533</v>
      </c>
      <c r="H1006" t="s">
        <v>7594</v>
      </c>
      <c r="I1006">
        <v>4</v>
      </c>
      <c r="J1006" t="s">
        <v>3526</v>
      </c>
      <c r="K1006">
        <v>74</v>
      </c>
      <c r="L1006" t="s">
        <v>8511</v>
      </c>
      <c r="M1006" t="s">
        <v>8512</v>
      </c>
      <c r="N1006" t="s">
        <v>8513</v>
      </c>
      <c r="O1006" t="s">
        <v>7830</v>
      </c>
      <c r="P1006" t="s">
        <v>8514</v>
      </c>
      <c r="Q1006" t="s">
        <v>8515</v>
      </c>
      <c r="R1006" t="s">
        <v>8516</v>
      </c>
      <c r="S1006" s="2">
        <v>39616</v>
      </c>
      <c r="T1006">
        <v>0</v>
      </c>
      <c r="U1006" t="s">
        <v>8517</v>
      </c>
      <c r="V1006">
        <v>1</v>
      </c>
      <c r="W1006">
        <v>7</v>
      </c>
      <c r="X1006">
        <v>220227</v>
      </c>
      <c r="Y1006" t="s">
        <v>8518</v>
      </c>
      <c r="Z1006" t="s">
        <v>8515</v>
      </c>
      <c r="AA1006" t="s">
        <v>7831</v>
      </c>
      <c r="AB1006" t="s">
        <v>45</v>
      </c>
      <c r="AC1006" t="s">
        <v>7832</v>
      </c>
    </row>
    <row r="1007" spans="1:29">
      <c r="A1007" t="s">
        <v>2710</v>
      </c>
      <c r="B1007" s="1">
        <v>172656</v>
      </c>
      <c r="C1007" t="s">
        <v>3132</v>
      </c>
      <c r="D1007" t="s">
        <v>31</v>
      </c>
      <c r="E1007" s="1">
        <v>-4806</v>
      </c>
      <c r="F1007" t="s">
        <v>3075</v>
      </c>
      <c r="G1007" t="s">
        <v>6513</v>
      </c>
      <c r="H1007" t="s">
        <v>8519</v>
      </c>
      <c r="I1007">
        <v>4</v>
      </c>
      <c r="J1007" t="s">
        <v>8520</v>
      </c>
      <c r="K1007">
        <v>74</v>
      </c>
      <c r="L1007" t="s">
        <v>8521</v>
      </c>
      <c r="M1007" t="s">
        <v>8522</v>
      </c>
      <c r="N1007" t="s">
        <v>8523</v>
      </c>
      <c r="O1007" t="s">
        <v>7830</v>
      </c>
      <c r="P1007" t="s">
        <v>8524</v>
      </c>
      <c r="Q1007" t="s">
        <v>8525</v>
      </c>
      <c r="R1007" t="s">
        <v>8526</v>
      </c>
      <c r="S1007" s="2">
        <v>36606</v>
      </c>
      <c r="T1007" t="s">
        <v>7670</v>
      </c>
      <c r="U1007" t="s">
        <v>8527</v>
      </c>
      <c r="V1007">
        <v>0</v>
      </c>
      <c r="W1007">
        <v>8</v>
      </c>
      <c r="X1007">
        <v>200560</v>
      </c>
      <c r="Y1007" t="s">
        <v>1669</v>
      </c>
      <c r="Z1007" t="s">
        <v>8525</v>
      </c>
      <c r="AA1007" t="s">
        <v>7831</v>
      </c>
      <c r="AB1007" t="s">
        <v>45</v>
      </c>
      <c r="AC1007" t="s">
        <v>7832</v>
      </c>
    </row>
    <row r="1008" spans="1:29">
      <c r="A1008" t="s">
        <v>392</v>
      </c>
      <c r="B1008" s="1">
        <v>107075</v>
      </c>
      <c r="C1008" t="s">
        <v>4743</v>
      </c>
      <c r="D1008" t="s">
        <v>31</v>
      </c>
      <c r="E1008" s="1">
        <v>-4753</v>
      </c>
      <c r="F1008" t="s">
        <v>474</v>
      </c>
      <c r="G1008" t="s">
        <v>1825</v>
      </c>
      <c r="H1008" t="s">
        <v>8528</v>
      </c>
      <c r="I1008">
        <v>4</v>
      </c>
      <c r="J1008" t="s">
        <v>2101</v>
      </c>
      <c r="K1008">
        <v>74</v>
      </c>
      <c r="L1008" t="s">
        <v>8529</v>
      </c>
      <c r="M1008" t="s">
        <v>8530</v>
      </c>
      <c r="N1008" t="s">
        <v>4145</v>
      </c>
      <c r="O1008" t="s">
        <v>7830</v>
      </c>
      <c r="P1008" t="s">
        <v>8531</v>
      </c>
      <c r="Q1008" t="s">
        <v>8532</v>
      </c>
      <c r="R1008" t="s">
        <v>8533</v>
      </c>
      <c r="S1008" s="2">
        <v>37432</v>
      </c>
      <c r="T1008">
        <v>0</v>
      </c>
      <c r="U1008" t="s">
        <v>4149</v>
      </c>
      <c r="V1008">
        <v>0</v>
      </c>
      <c r="W1008">
        <v>11</v>
      </c>
      <c r="X1008">
        <v>228240</v>
      </c>
      <c r="Y1008" t="s">
        <v>351</v>
      </c>
      <c r="Z1008" t="s">
        <v>8532</v>
      </c>
      <c r="AA1008" t="s">
        <v>7831</v>
      </c>
      <c r="AB1008" t="s">
        <v>45</v>
      </c>
      <c r="AC1008" t="s">
        <v>7832</v>
      </c>
    </row>
    <row r="1009" spans="1:29">
      <c r="A1009" t="s">
        <v>2132</v>
      </c>
      <c r="B1009" s="1">
        <v>107064</v>
      </c>
      <c r="C1009" t="s">
        <v>1893</v>
      </c>
      <c r="D1009" t="s">
        <v>31</v>
      </c>
      <c r="E1009" s="1">
        <v>-8123</v>
      </c>
      <c r="F1009" t="s">
        <v>515</v>
      </c>
      <c r="G1009" t="s">
        <v>539</v>
      </c>
      <c r="H1009" t="s">
        <v>7925</v>
      </c>
      <c r="I1009">
        <v>4</v>
      </c>
      <c r="J1009" t="s">
        <v>4783</v>
      </c>
      <c r="K1009">
        <v>74</v>
      </c>
      <c r="L1009" t="s">
        <v>8534</v>
      </c>
      <c r="M1009" t="s">
        <v>8535</v>
      </c>
      <c r="N1009" t="s">
        <v>8536</v>
      </c>
      <c r="O1009" t="s">
        <v>7830</v>
      </c>
      <c r="P1009" t="s">
        <v>8537</v>
      </c>
      <c r="Q1009" t="s">
        <v>8538</v>
      </c>
      <c r="R1009" t="s">
        <v>8539</v>
      </c>
      <c r="S1009">
        <v>1977</v>
      </c>
      <c r="T1009">
        <v>0</v>
      </c>
      <c r="U1009" t="s">
        <v>8540</v>
      </c>
      <c r="V1009">
        <v>1</v>
      </c>
      <c r="W1009">
        <v>11</v>
      </c>
      <c r="X1009">
        <v>243933</v>
      </c>
      <c r="Y1009" t="s">
        <v>1200</v>
      </c>
      <c r="Z1009" t="s">
        <v>8538</v>
      </c>
      <c r="AA1009" t="s">
        <v>7831</v>
      </c>
      <c r="AB1009" t="s">
        <v>45</v>
      </c>
      <c r="AC1009" t="s">
        <v>7832</v>
      </c>
    </row>
    <row r="1010" spans="1:29">
      <c r="A1010" t="s">
        <v>6513</v>
      </c>
      <c r="B1010" s="1">
        <v>129991</v>
      </c>
      <c r="C1010" t="s">
        <v>304</v>
      </c>
      <c r="D1010" t="s">
        <v>31</v>
      </c>
      <c r="E1010" s="1">
        <v>-10998</v>
      </c>
      <c r="F1010" t="s">
        <v>5692</v>
      </c>
      <c r="G1010" t="s">
        <v>4930</v>
      </c>
      <c r="H1010" t="s">
        <v>8541</v>
      </c>
      <c r="I1010">
        <v>4</v>
      </c>
      <c r="J1010" t="s">
        <v>8542</v>
      </c>
      <c r="K1010">
        <v>74</v>
      </c>
      <c r="L1010" t="s">
        <v>8543</v>
      </c>
      <c r="M1010" t="s">
        <v>8544</v>
      </c>
      <c r="N1010" t="s">
        <v>8545</v>
      </c>
      <c r="O1010" t="s">
        <v>7830</v>
      </c>
      <c r="P1010" t="s">
        <v>8546</v>
      </c>
      <c r="Q1010" t="s">
        <v>8547</v>
      </c>
      <c r="R1010" t="s">
        <v>8548</v>
      </c>
      <c r="S1010" s="2">
        <v>35431</v>
      </c>
      <c r="T1010" t="s">
        <v>4565</v>
      </c>
      <c r="U1010" t="s">
        <v>8549</v>
      </c>
      <c r="V1010">
        <v>0</v>
      </c>
      <c r="W1010">
        <v>1</v>
      </c>
      <c r="X1010">
        <v>197960</v>
      </c>
      <c r="Y1010" t="s">
        <v>8550</v>
      </c>
      <c r="Z1010" t="s">
        <v>8547</v>
      </c>
      <c r="AA1010" t="s">
        <v>7831</v>
      </c>
      <c r="AB1010" t="s">
        <v>45</v>
      </c>
      <c r="AC1010" t="s">
        <v>7832</v>
      </c>
    </row>
    <row r="1011" spans="1:29">
      <c r="A1011" t="s">
        <v>605</v>
      </c>
      <c r="B1011" s="1">
        <v>110621</v>
      </c>
      <c r="C1011" t="s">
        <v>8551</v>
      </c>
      <c r="D1011" t="s">
        <v>31</v>
      </c>
      <c r="E1011" s="1">
        <v>-3904</v>
      </c>
      <c r="F1011" t="s">
        <v>8552</v>
      </c>
      <c r="G1011" t="s">
        <v>3577</v>
      </c>
      <c r="H1011" t="s">
        <v>8553</v>
      </c>
      <c r="I1011">
        <v>4</v>
      </c>
      <c r="J1011" t="s">
        <v>4753</v>
      </c>
      <c r="K1011">
        <v>74</v>
      </c>
      <c r="L1011" t="s">
        <v>8554</v>
      </c>
      <c r="M1011" t="s">
        <v>8555</v>
      </c>
      <c r="N1011" t="s">
        <v>7937</v>
      </c>
      <c r="O1011" t="s">
        <v>7830</v>
      </c>
      <c r="P1011" t="s">
        <v>8556</v>
      </c>
      <c r="Q1011" t="s">
        <v>8557</v>
      </c>
      <c r="R1011" t="s">
        <v>8558</v>
      </c>
      <c r="S1011" s="2">
        <v>39174</v>
      </c>
      <c r="T1011" t="s">
        <v>8559</v>
      </c>
      <c r="U1011" t="s">
        <v>8560</v>
      </c>
      <c r="V1011">
        <v>1</v>
      </c>
      <c r="W1011">
        <v>8</v>
      </c>
      <c r="X1011">
        <v>234027</v>
      </c>
      <c r="Y1011" t="s">
        <v>2673</v>
      </c>
      <c r="Z1011" t="s">
        <v>8557</v>
      </c>
      <c r="AA1011" t="s">
        <v>7831</v>
      </c>
      <c r="AB1011" t="s">
        <v>45</v>
      </c>
      <c r="AC1011" t="s">
        <v>7832</v>
      </c>
    </row>
    <row r="1012" spans="1:29">
      <c r="A1012" t="s">
        <v>2241</v>
      </c>
      <c r="B1012" s="1">
        <v>128168</v>
      </c>
      <c r="C1012" t="s">
        <v>4462</v>
      </c>
      <c r="D1012" t="s">
        <v>31</v>
      </c>
      <c r="E1012" s="1">
        <v>-9362</v>
      </c>
      <c r="F1012" t="s">
        <v>1617</v>
      </c>
      <c r="G1012" t="s">
        <v>1665</v>
      </c>
      <c r="H1012" t="s">
        <v>8561</v>
      </c>
      <c r="I1012">
        <v>4</v>
      </c>
      <c r="J1012" t="s">
        <v>1064</v>
      </c>
      <c r="K1012">
        <v>74</v>
      </c>
      <c r="L1012" t="s">
        <v>8562</v>
      </c>
      <c r="M1012" t="s">
        <v>8563</v>
      </c>
      <c r="N1012" t="s">
        <v>8564</v>
      </c>
      <c r="O1012" t="s">
        <v>7830</v>
      </c>
      <c r="P1012" t="s">
        <v>8565</v>
      </c>
      <c r="Q1012" t="s">
        <v>8566</v>
      </c>
      <c r="R1012" t="s">
        <v>8567</v>
      </c>
      <c r="S1012" s="2">
        <v>29892</v>
      </c>
      <c r="T1012" t="s">
        <v>172</v>
      </c>
      <c r="U1012" t="s">
        <v>8568</v>
      </c>
      <c r="V1012">
        <v>1</v>
      </c>
      <c r="W1012">
        <v>0</v>
      </c>
      <c r="X1012">
        <v>220893</v>
      </c>
      <c r="Y1012" t="s">
        <v>2844</v>
      </c>
      <c r="Z1012" t="s">
        <v>8566</v>
      </c>
      <c r="AA1012" t="s">
        <v>7831</v>
      </c>
      <c r="AB1012" t="s">
        <v>45</v>
      </c>
      <c r="AC1012" t="s">
        <v>7832</v>
      </c>
    </row>
    <row r="1013" spans="1:29">
      <c r="A1013" t="s">
        <v>33</v>
      </c>
      <c r="B1013" s="1">
        <v>103644</v>
      </c>
      <c r="C1013" t="s">
        <v>3143</v>
      </c>
      <c r="D1013" t="s">
        <v>31</v>
      </c>
      <c r="E1013" s="1">
        <v>-19793</v>
      </c>
      <c r="F1013" t="s">
        <v>8569</v>
      </c>
      <c r="G1013" t="s">
        <v>1371</v>
      </c>
      <c r="H1013" t="s">
        <v>8570</v>
      </c>
      <c r="I1013">
        <v>4</v>
      </c>
      <c r="J1013" t="s">
        <v>3589</v>
      </c>
      <c r="K1013">
        <v>74</v>
      </c>
      <c r="L1013" t="s">
        <v>8571</v>
      </c>
      <c r="M1013" t="s">
        <v>8572</v>
      </c>
      <c r="N1013" t="s">
        <v>8573</v>
      </c>
      <c r="O1013" t="s">
        <v>7830</v>
      </c>
      <c r="P1013" t="s">
        <v>8574</v>
      </c>
      <c r="Q1013" t="s">
        <v>8575</v>
      </c>
      <c r="R1013" t="s">
        <v>8576</v>
      </c>
      <c r="S1013" s="2">
        <v>28472</v>
      </c>
      <c r="T1013" t="s">
        <v>5610</v>
      </c>
      <c r="U1013" t="s">
        <v>8577</v>
      </c>
      <c r="V1013">
        <v>0</v>
      </c>
      <c r="W1013">
        <v>10</v>
      </c>
      <c r="X1013">
        <v>92867</v>
      </c>
      <c r="Y1013" t="s">
        <v>2099</v>
      </c>
      <c r="Z1013" t="s">
        <v>8575</v>
      </c>
      <c r="AA1013" t="s">
        <v>7831</v>
      </c>
      <c r="AB1013" t="s">
        <v>45</v>
      </c>
      <c r="AC1013" t="s">
        <v>7832</v>
      </c>
    </row>
    <row r="1014" spans="1:29">
      <c r="A1014" t="s">
        <v>347</v>
      </c>
      <c r="B1014" s="1">
        <v>95487</v>
      </c>
      <c r="C1014" t="s">
        <v>4222</v>
      </c>
      <c r="D1014" t="s">
        <v>31</v>
      </c>
      <c r="E1014" s="1">
        <v>-5379</v>
      </c>
      <c r="F1014" t="s">
        <v>264</v>
      </c>
      <c r="G1014" t="s">
        <v>143</v>
      </c>
      <c r="H1014" t="s">
        <v>8578</v>
      </c>
      <c r="I1014">
        <v>4</v>
      </c>
      <c r="J1014" t="s">
        <v>1596</v>
      </c>
      <c r="K1014">
        <v>73</v>
      </c>
      <c r="L1014" t="s">
        <v>8579</v>
      </c>
      <c r="M1014" t="s">
        <v>8580</v>
      </c>
      <c r="N1014" t="s">
        <v>8581</v>
      </c>
      <c r="O1014" t="s">
        <v>7830</v>
      </c>
      <c r="P1014" t="s">
        <v>8582</v>
      </c>
      <c r="Q1014" t="s">
        <v>8583</v>
      </c>
      <c r="R1014" t="s">
        <v>8581</v>
      </c>
      <c r="S1014" s="2">
        <v>35177</v>
      </c>
      <c r="T1014">
        <v>0</v>
      </c>
      <c r="U1014" t="s">
        <v>8584</v>
      </c>
      <c r="V1014">
        <v>1</v>
      </c>
      <c r="W1014">
        <v>2</v>
      </c>
      <c r="X1014">
        <v>213093</v>
      </c>
      <c r="Y1014" t="s">
        <v>8585</v>
      </c>
      <c r="Z1014" t="s">
        <v>8583</v>
      </c>
      <c r="AA1014" t="s">
        <v>7831</v>
      </c>
      <c r="AB1014" t="s">
        <v>45</v>
      </c>
      <c r="AC1014" t="s">
        <v>7832</v>
      </c>
    </row>
    <row r="1015" spans="1:29">
      <c r="A1015" t="s">
        <v>5783</v>
      </c>
      <c r="B1015" s="1">
        <v>118881</v>
      </c>
      <c r="C1015" t="s">
        <v>2143</v>
      </c>
      <c r="D1015" t="s">
        <v>31</v>
      </c>
      <c r="E1015" s="1">
        <v>-9875</v>
      </c>
      <c r="F1015" t="s">
        <v>1617</v>
      </c>
      <c r="G1015" t="s">
        <v>8586</v>
      </c>
      <c r="H1015" t="s">
        <v>8256</v>
      </c>
      <c r="I1015">
        <v>4</v>
      </c>
      <c r="J1015" t="s">
        <v>1959</v>
      </c>
      <c r="K1015">
        <v>73</v>
      </c>
      <c r="L1015" t="s">
        <v>8587</v>
      </c>
      <c r="M1015" t="s">
        <v>8588</v>
      </c>
      <c r="N1015" t="s">
        <v>8589</v>
      </c>
      <c r="O1015" t="s">
        <v>7830</v>
      </c>
      <c r="P1015" t="s">
        <v>8590</v>
      </c>
      <c r="Q1015" t="s">
        <v>8591</v>
      </c>
      <c r="R1015" t="s">
        <v>8592</v>
      </c>
      <c r="S1015" s="2">
        <v>29077</v>
      </c>
      <c r="T1015" t="s">
        <v>1541</v>
      </c>
      <c r="U1015" t="s">
        <v>8593</v>
      </c>
      <c r="V1015">
        <v>1</v>
      </c>
      <c r="W1015">
        <v>11</v>
      </c>
      <c r="X1015">
        <v>365467</v>
      </c>
      <c r="Y1015" t="s">
        <v>135</v>
      </c>
      <c r="Z1015" t="s">
        <v>8591</v>
      </c>
      <c r="AA1015" t="s">
        <v>7831</v>
      </c>
      <c r="AB1015" t="s">
        <v>45</v>
      </c>
      <c r="AC1015" t="s">
        <v>7832</v>
      </c>
    </row>
    <row r="1016" spans="1:29">
      <c r="A1016" t="s">
        <v>4394</v>
      </c>
      <c r="B1016" s="1">
        <v>128036</v>
      </c>
      <c r="C1016" t="s">
        <v>3798</v>
      </c>
      <c r="D1016" t="s">
        <v>31</v>
      </c>
      <c r="E1016" t="s">
        <v>4574</v>
      </c>
      <c r="F1016" t="s">
        <v>2377</v>
      </c>
      <c r="G1016" t="s">
        <v>4575</v>
      </c>
      <c r="H1016" t="s">
        <v>4576</v>
      </c>
      <c r="I1016">
        <v>4</v>
      </c>
      <c r="J1016" t="s">
        <v>4577</v>
      </c>
      <c r="K1016">
        <v>73</v>
      </c>
      <c r="L1016" t="s">
        <v>4578</v>
      </c>
      <c r="M1016" t="s">
        <v>4579</v>
      </c>
      <c r="N1016" t="s">
        <v>4580</v>
      </c>
      <c r="O1016" t="s">
        <v>7830</v>
      </c>
      <c r="P1016" t="s">
        <v>4581</v>
      </c>
      <c r="Q1016" t="s">
        <v>4582</v>
      </c>
      <c r="R1016" t="s">
        <v>4583</v>
      </c>
      <c r="S1016" s="2">
        <v>39575</v>
      </c>
      <c r="T1016" t="s">
        <v>4584</v>
      </c>
      <c r="U1016" t="s">
        <v>4585</v>
      </c>
      <c r="V1016">
        <v>0</v>
      </c>
      <c r="W1016">
        <v>7</v>
      </c>
      <c r="X1016">
        <v>192294</v>
      </c>
      <c r="Y1016" t="s">
        <v>4586</v>
      </c>
      <c r="Z1016" t="s">
        <v>4582</v>
      </c>
      <c r="AA1016" t="s">
        <v>7831</v>
      </c>
      <c r="AB1016" t="s">
        <v>45</v>
      </c>
      <c r="AC1016" t="s">
        <v>7832</v>
      </c>
    </row>
    <row r="1017" spans="1:29">
      <c r="A1017" t="s">
        <v>4376</v>
      </c>
      <c r="B1017" s="1">
        <v>119975</v>
      </c>
      <c r="C1017" t="s">
        <v>581</v>
      </c>
      <c r="D1017" t="s">
        <v>31</v>
      </c>
      <c r="E1017" s="1">
        <v>-4145</v>
      </c>
      <c r="F1017" t="s">
        <v>2002</v>
      </c>
      <c r="G1017" t="s">
        <v>1607</v>
      </c>
      <c r="H1017" t="s">
        <v>4587</v>
      </c>
      <c r="I1017">
        <v>4</v>
      </c>
      <c r="J1017" t="s">
        <v>1511</v>
      </c>
      <c r="K1017">
        <v>73</v>
      </c>
      <c r="L1017" t="s">
        <v>4588</v>
      </c>
      <c r="M1017" t="s">
        <v>4589</v>
      </c>
      <c r="N1017" t="s">
        <v>4590</v>
      </c>
      <c r="O1017" t="s">
        <v>7830</v>
      </c>
      <c r="P1017" t="s">
        <v>4591</v>
      </c>
      <c r="Q1017" t="s">
        <v>4592</v>
      </c>
      <c r="R1017" t="s">
        <v>4593</v>
      </c>
      <c r="S1017" s="2">
        <v>42195</v>
      </c>
      <c r="T1017">
        <v>0</v>
      </c>
      <c r="U1017" t="s">
        <v>4594</v>
      </c>
      <c r="V1017">
        <v>0</v>
      </c>
      <c r="W1017">
        <v>4</v>
      </c>
      <c r="X1017">
        <v>215360</v>
      </c>
      <c r="Y1017" t="s">
        <v>4595</v>
      </c>
      <c r="Z1017" t="s">
        <v>4592</v>
      </c>
      <c r="AA1017" t="s">
        <v>7831</v>
      </c>
      <c r="AB1017" t="s">
        <v>45</v>
      </c>
      <c r="AC1017" t="s">
        <v>7832</v>
      </c>
    </row>
    <row r="1018" spans="1:29">
      <c r="A1018" t="s">
        <v>131</v>
      </c>
      <c r="B1018" s="1">
        <v>104409</v>
      </c>
      <c r="C1018" t="s">
        <v>1583</v>
      </c>
      <c r="D1018" t="s">
        <v>31</v>
      </c>
      <c r="E1018" s="1">
        <v>-13489</v>
      </c>
      <c r="F1018" t="s">
        <v>8594</v>
      </c>
      <c r="G1018" t="s">
        <v>5334</v>
      </c>
      <c r="H1018" t="s">
        <v>8595</v>
      </c>
      <c r="I1018">
        <v>4</v>
      </c>
      <c r="J1018" t="s">
        <v>671</v>
      </c>
      <c r="K1018">
        <v>73</v>
      </c>
      <c r="L1018" t="s">
        <v>8596</v>
      </c>
      <c r="M1018" t="s">
        <v>8597</v>
      </c>
      <c r="N1018" t="s">
        <v>8598</v>
      </c>
      <c r="O1018" t="s">
        <v>7830</v>
      </c>
      <c r="P1018" t="s">
        <v>8599</v>
      </c>
      <c r="Q1018" t="s">
        <v>8600</v>
      </c>
      <c r="R1018" t="s">
        <v>8601</v>
      </c>
      <c r="S1018">
        <v>1975</v>
      </c>
      <c r="T1018" t="s">
        <v>8602</v>
      </c>
      <c r="U1018" t="s">
        <v>8603</v>
      </c>
      <c r="V1018">
        <v>1</v>
      </c>
      <c r="W1018">
        <v>1</v>
      </c>
      <c r="X1018">
        <v>197147</v>
      </c>
      <c r="Y1018" t="s">
        <v>4577</v>
      </c>
      <c r="Z1018" t="s">
        <v>8600</v>
      </c>
      <c r="AA1018" t="s">
        <v>7831</v>
      </c>
      <c r="AB1018" t="s">
        <v>45</v>
      </c>
      <c r="AC1018" t="s">
        <v>7832</v>
      </c>
    </row>
    <row r="1019" spans="1:29">
      <c r="A1019" t="s">
        <v>1917</v>
      </c>
      <c r="B1019" s="1">
        <v>122987</v>
      </c>
      <c r="C1019" t="s">
        <v>4393</v>
      </c>
      <c r="D1019" t="s">
        <v>31</v>
      </c>
      <c r="E1019" s="1">
        <v>-5211</v>
      </c>
      <c r="F1019" t="s">
        <v>3965</v>
      </c>
      <c r="G1019" t="s">
        <v>2262</v>
      </c>
      <c r="H1019" t="s">
        <v>8604</v>
      </c>
      <c r="I1019">
        <v>4</v>
      </c>
      <c r="J1019" t="s">
        <v>2917</v>
      </c>
      <c r="K1019">
        <v>73</v>
      </c>
      <c r="L1019" t="s">
        <v>8605</v>
      </c>
      <c r="M1019" t="s">
        <v>8606</v>
      </c>
      <c r="N1019" t="s">
        <v>8607</v>
      </c>
      <c r="O1019" t="s">
        <v>7830</v>
      </c>
      <c r="P1019" t="s">
        <v>8608</v>
      </c>
      <c r="Q1019" t="s">
        <v>8609</v>
      </c>
      <c r="R1019" t="s">
        <v>8610</v>
      </c>
      <c r="S1019" s="2">
        <v>42104</v>
      </c>
      <c r="T1019" t="s">
        <v>8611</v>
      </c>
      <c r="U1019" t="s">
        <v>8612</v>
      </c>
      <c r="V1019">
        <v>1</v>
      </c>
      <c r="W1019">
        <v>7</v>
      </c>
      <c r="X1019">
        <v>214789</v>
      </c>
      <c r="Y1019" t="s">
        <v>8613</v>
      </c>
      <c r="Z1019" t="s">
        <v>8609</v>
      </c>
      <c r="AA1019" t="s">
        <v>7831</v>
      </c>
      <c r="AB1019" t="s">
        <v>45</v>
      </c>
      <c r="AC1019" t="s">
        <v>7832</v>
      </c>
    </row>
    <row r="1020" spans="1:29">
      <c r="A1020" t="s">
        <v>8483</v>
      </c>
      <c r="B1020" s="1">
        <v>178043</v>
      </c>
      <c r="C1020" t="s">
        <v>4367</v>
      </c>
      <c r="D1020" t="s">
        <v>31</v>
      </c>
      <c r="E1020" s="1">
        <v>-3756</v>
      </c>
      <c r="F1020" t="s">
        <v>8614</v>
      </c>
      <c r="G1020" t="s">
        <v>8615</v>
      </c>
      <c r="H1020" t="s">
        <v>8616</v>
      </c>
      <c r="I1020">
        <v>4</v>
      </c>
      <c r="J1020" t="s">
        <v>1600</v>
      </c>
      <c r="K1020">
        <v>73</v>
      </c>
      <c r="L1020" t="s">
        <v>8617</v>
      </c>
      <c r="M1020" t="s">
        <v>8618</v>
      </c>
      <c r="N1020" t="s">
        <v>8616</v>
      </c>
      <c r="O1020" t="s">
        <v>7830</v>
      </c>
      <c r="P1020" t="s">
        <v>8619</v>
      </c>
      <c r="Q1020" t="s">
        <v>8620</v>
      </c>
      <c r="R1020" t="s">
        <v>8621</v>
      </c>
      <c r="S1020">
        <v>1999</v>
      </c>
      <c r="T1020">
        <v>0</v>
      </c>
      <c r="U1020" t="s">
        <v>8622</v>
      </c>
      <c r="V1020">
        <v>0</v>
      </c>
      <c r="W1020">
        <v>1</v>
      </c>
      <c r="X1020">
        <v>243160</v>
      </c>
      <c r="Y1020" t="s">
        <v>8623</v>
      </c>
      <c r="Z1020" t="s">
        <v>8620</v>
      </c>
      <c r="AA1020" t="s">
        <v>7831</v>
      </c>
      <c r="AB1020" t="s">
        <v>45</v>
      </c>
      <c r="AC1020" t="s">
        <v>7832</v>
      </c>
    </row>
    <row r="1021" spans="1:29">
      <c r="A1021" t="s">
        <v>4781</v>
      </c>
      <c r="B1021" s="1">
        <v>119993</v>
      </c>
      <c r="C1021" t="s">
        <v>1938</v>
      </c>
      <c r="D1021" t="s">
        <v>31</v>
      </c>
      <c r="E1021" s="1">
        <v>-4756</v>
      </c>
      <c r="F1021" t="s">
        <v>5966</v>
      </c>
      <c r="G1021" t="s">
        <v>262</v>
      </c>
      <c r="H1021" t="s">
        <v>8624</v>
      </c>
      <c r="I1021">
        <v>4</v>
      </c>
      <c r="J1021" t="s">
        <v>123</v>
      </c>
      <c r="K1021">
        <v>73</v>
      </c>
      <c r="L1021" t="s">
        <v>8625</v>
      </c>
      <c r="M1021" t="s">
        <v>8626</v>
      </c>
      <c r="N1021" t="s">
        <v>8627</v>
      </c>
      <c r="O1021" t="s">
        <v>7830</v>
      </c>
      <c r="P1021" t="s">
        <v>8628</v>
      </c>
      <c r="Q1021" t="s">
        <v>8629</v>
      </c>
      <c r="R1021" t="s">
        <v>8630</v>
      </c>
      <c r="S1021" s="2">
        <v>41275</v>
      </c>
      <c r="T1021" t="s">
        <v>8631</v>
      </c>
      <c r="U1021" t="s">
        <v>8632</v>
      </c>
      <c r="V1021">
        <v>1</v>
      </c>
      <c r="W1021">
        <v>7</v>
      </c>
      <c r="X1021">
        <v>263827</v>
      </c>
      <c r="Y1021" t="s">
        <v>4808</v>
      </c>
      <c r="Z1021" t="s">
        <v>8629</v>
      </c>
      <c r="AA1021" t="s">
        <v>7831</v>
      </c>
      <c r="AB1021" t="s">
        <v>45</v>
      </c>
      <c r="AC1021" t="s">
        <v>7832</v>
      </c>
    </row>
    <row r="1022" spans="1:29">
      <c r="A1022" t="s">
        <v>918</v>
      </c>
      <c r="B1022" s="1">
        <v>113026</v>
      </c>
      <c r="C1022" t="s">
        <v>2794</v>
      </c>
      <c r="D1022" t="s">
        <v>31</v>
      </c>
      <c r="E1022" s="1">
        <v>-4922</v>
      </c>
      <c r="F1022" t="s">
        <v>1550</v>
      </c>
      <c r="G1022" t="s">
        <v>742</v>
      </c>
      <c r="H1022" t="s">
        <v>8633</v>
      </c>
      <c r="I1022">
        <v>4</v>
      </c>
      <c r="J1022" t="s">
        <v>3348</v>
      </c>
      <c r="K1022">
        <v>73</v>
      </c>
      <c r="L1022" t="s">
        <v>8634</v>
      </c>
      <c r="M1022" t="s">
        <v>8635</v>
      </c>
      <c r="N1022" t="s">
        <v>8505</v>
      </c>
      <c r="O1022" t="s">
        <v>7830</v>
      </c>
      <c r="P1022" t="s">
        <v>8636</v>
      </c>
      <c r="Q1022" t="s">
        <v>8637</v>
      </c>
      <c r="R1022" t="s">
        <v>8638</v>
      </c>
      <c r="S1022" s="2">
        <v>40074</v>
      </c>
      <c r="T1022" t="s">
        <v>8639</v>
      </c>
      <c r="U1022" t="s">
        <v>8510</v>
      </c>
      <c r="V1022">
        <v>1</v>
      </c>
      <c r="W1022">
        <v>2</v>
      </c>
      <c r="X1022">
        <v>189693</v>
      </c>
      <c r="Y1022" t="s">
        <v>8640</v>
      </c>
      <c r="Z1022" t="s">
        <v>8637</v>
      </c>
      <c r="AA1022" t="s">
        <v>7831</v>
      </c>
      <c r="AB1022" t="s">
        <v>45</v>
      </c>
      <c r="AC1022" t="s">
        <v>7832</v>
      </c>
    </row>
    <row r="1023" spans="1:29">
      <c r="A1023" t="s">
        <v>3995</v>
      </c>
      <c r="B1023" s="1">
        <v>126342</v>
      </c>
      <c r="C1023" t="s">
        <v>6309</v>
      </c>
      <c r="D1023" t="s">
        <v>31</v>
      </c>
      <c r="E1023" s="1">
        <v>-6518</v>
      </c>
      <c r="F1023" t="s">
        <v>6742</v>
      </c>
      <c r="G1023" t="s">
        <v>1839</v>
      </c>
      <c r="H1023" t="s">
        <v>8641</v>
      </c>
      <c r="I1023">
        <v>4</v>
      </c>
      <c r="J1023" t="s">
        <v>1727</v>
      </c>
      <c r="K1023">
        <v>73</v>
      </c>
      <c r="L1023" t="s">
        <v>8642</v>
      </c>
      <c r="M1023" t="s">
        <v>8643</v>
      </c>
      <c r="N1023" t="s">
        <v>8644</v>
      </c>
      <c r="O1023" t="s">
        <v>7830</v>
      </c>
      <c r="P1023" t="s">
        <v>8645</v>
      </c>
      <c r="Q1023" t="s">
        <v>8646</v>
      </c>
      <c r="R1023" t="s">
        <v>8647</v>
      </c>
      <c r="S1023" s="2">
        <v>38240</v>
      </c>
      <c r="T1023" t="s">
        <v>8648</v>
      </c>
      <c r="U1023" t="s">
        <v>8649</v>
      </c>
      <c r="V1023">
        <v>1</v>
      </c>
      <c r="W1023">
        <v>10</v>
      </c>
      <c r="X1023">
        <v>171360</v>
      </c>
      <c r="Y1023" t="s">
        <v>8650</v>
      </c>
      <c r="Z1023" t="s">
        <v>8646</v>
      </c>
      <c r="AA1023" t="s">
        <v>7831</v>
      </c>
      <c r="AB1023" t="s">
        <v>45</v>
      </c>
      <c r="AC1023" t="s">
        <v>7832</v>
      </c>
    </row>
    <row r="1024" spans="1:29">
      <c r="A1024" t="s">
        <v>2683</v>
      </c>
      <c r="B1024" s="1">
        <v>115443</v>
      </c>
      <c r="C1024" t="s">
        <v>2864</v>
      </c>
      <c r="D1024" t="s">
        <v>31</v>
      </c>
      <c r="E1024" s="1">
        <v>-6865</v>
      </c>
      <c r="F1024" t="s">
        <v>1446</v>
      </c>
      <c r="G1024" t="s">
        <v>6947</v>
      </c>
      <c r="H1024" t="s">
        <v>8651</v>
      </c>
      <c r="I1024">
        <v>4</v>
      </c>
      <c r="J1024" t="s">
        <v>7697</v>
      </c>
      <c r="K1024">
        <v>73</v>
      </c>
      <c r="L1024" t="s">
        <v>8652</v>
      </c>
      <c r="M1024" t="s">
        <v>8653</v>
      </c>
      <c r="N1024" t="s">
        <v>8654</v>
      </c>
      <c r="O1024" t="s">
        <v>7830</v>
      </c>
      <c r="P1024" t="s">
        <v>8655</v>
      </c>
      <c r="Q1024" t="s">
        <v>8656</v>
      </c>
      <c r="R1024" t="s">
        <v>8657</v>
      </c>
      <c r="S1024" s="2">
        <v>28286</v>
      </c>
      <c r="T1024" t="s">
        <v>476</v>
      </c>
      <c r="U1024" t="s">
        <v>8658</v>
      </c>
      <c r="V1024">
        <v>1</v>
      </c>
      <c r="W1024">
        <v>0</v>
      </c>
      <c r="X1024">
        <v>220560</v>
      </c>
      <c r="Y1024" t="s">
        <v>1839</v>
      </c>
      <c r="Z1024" t="s">
        <v>8656</v>
      </c>
      <c r="AA1024" t="s">
        <v>7831</v>
      </c>
      <c r="AB1024" t="s">
        <v>45</v>
      </c>
      <c r="AC1024" t="s">
        <v>7832</v>
      </c>
    </row>
    <row r="1025" spans="1:29">
      <c r="A1025" t="s">
        <v>8659</v>
      </c>
      <c r="B1025" t="s">
        <v>8660</v>
      </c>
      <c r="C1025" t="s">
        <v>1712</v>
      </c>
      <c r="D1025" t="s">
        <v>31</v>
      </c>
      <c r="E1025" t="s">
        <v>8661</v>
      </c>
      <c r="F1025" t="s">
        <v>147</v>
      </c>
      <c r="G1025" t="s">
        <v>1121</v>
      </c>
      <c r="H1025" t="s">
        <v>8662</v>
      </c>
      <c r="I1025">
        <v>4</v>
      </c>
      <c r="J1025" t="s">
        <v>1941</v>
      </c>
      <c r="K1025">
        <v>72</v>
      </c>
      <c r="L1025" t="s">
        <v>8663</v>
      </c>
      <c r="M1025" t="s">
        <v>8664</v>
      </c>
      <c r="N1025" t="s">
        <v>8665</v>
      </c>
      <c r="O1025" t="s">
        <v>7830</v>
      </c>
      <c r="P1025" t="s">
        <v>8666</v>
      </c>
      <c r="Q1025" t="s">
        <v>8667</v>
      </c>
      <c r="R1025" t="s">
        <v>8668</v>
      </c>
      <c r="S1025" s="2">
        <v>41251</v>
      </c>
      <c r="T1025" t="s">
        <v>3822</v>
      </c>
      <c r="U1025" t="s">
        <v>8669</v>
      </c>
      <c r="V1025">
        <v>1</v>
      </c>
      <c r="W1025">
        <v>7</v>
      </c>
      <c r="X1025">
        <v>166933</v>
      </c>
      <c r="Y1025" t="s">
        <v>3605</v>
      </c>
      <c r="Z1025" t="s">
        <v>8667</v>
      </c>
      <c r="AA1025" t="s">
        <v>7831</v>
      </c>
      <c r="AB1025" t="s">
        <v>45</v>
      </c>
      <c r="AC1025" t="s">
        <v>7832</v>
      </c>
    </row>
    <row r="1026" spans="1:29">
      <c r="A1026" t="s">
        <v>7663</v>
      </c>
      <c r="B1026" s="1">
        <v>111485</v>
      </c>
      <c r="C1026" t="s">
        <v>594</v>
      </c>
      <c r="D1026" t="s">
        <v>31</v>
      </c>
      <c r="E1026" s="1">
        <v>-12238</v>
      </c>
      <c r="F1026" t="s">
        <v>1541</v>
      </c>
      <c r="G1026" t="s">
        <v>226</v>
      </c>
      <c r="H1026" t="s">
        <v>8670</v>
      </c>
      <c r="I1026">
        <v>4</v>
      </c>
      <c r="J1026" t="s">
        <v>865</v>
      </c>
      <c r="K1026">
        <v>73</v>
      </c>
      <c r="L1026" t="s">
        <v>8671</v>
      </c>
      <c r="M1026" t="s">
        <v>8672</v>
      </c>
      <c r="N1026" t="s">
        <v>8673</v>
      </c>
      <c r="O1026" t="s">
        <v>7830</v>
      </c>
      <c r="P1026" t="s">
        <v>8674</v>
      </c>
      <c r="Q1026" t="s">
        <v>8675</v>
      </c>
      <c r="R1026" t="s">
        <v>8023</v>
      </c>
      <c r="S1026" s="2">
        <v>31502</v>
      </c>
      <c r="T1026" t="s">
        <v>8676</v>
      </c>
      <c r="U1026" t="s">
        <v>8677</v>
      </c>
      <c r="V1026">
        <v>1</v>
      </c>
      <c r="W1026">
        <v>7</v>
      </c>
      <c r="X1026">
        <v>226240</v>
      </c>
      <c r="Y1026" t="s">
        <v>3255</v>
      </c>
      <c r="Z1026" t="s">
        <v>8675</v>
      </c>
      <c r="AA1026" t="s">
        <v>7831</v>
      </c>
      <c r="AB1026" t="s">
        <v>45</v>
      </c>
      <c r="AC1026" t="s">
        <v>7832</v>
      </c>
    </row>
    <row r="1027" spans="1:29">
      <c r="A1027" t="s">
        <v>4112</v>
      </c>
      <c r="B1027" s="1">
        <v>129884</v>
      </c>
      <c r="C1027" t="s">
        <v>1598</v>
      </c>
      <c r="D1027" t="s">
        <v>31</v>
      </c>
      <c r="E1027" s="1">
        <v>-3078</v>
      </c>
      <c r="F1027" t="s">
        <v>687</v>
      </c>
      <c r="G1027" t="s">
        <v>420</v>
      </c>
      <c r="H1027" t="s">
        <v>8678</v>
      </c>
      <c r="I1027">
        <v>4</v>
      </c>
      <c r="J1027" t="s">
        <v>1728</v>
      </c>
      <c r="K1027">
        <v>72</v>
      </c>
      <c r="L1027" t="s">
        <v>8679</v>
      </c>
      <c r="M1027" t="s">
        <v>8680</v>
      </c>
      <c r="N1027" t="s">
        <v>4320</v>
      </c>
      <c r="O1027" t="s">
        <v>7830</v>
      </c>
      <c r="P1027" t="s">
        <v>8681</v>
      </c>
      <c r="Q1027" t="s">
        <v>8682</v>
      </c>
      <c r="R1027" t="s">
        <v>8683</v>
      </c>
      <c r="S1027" s="2">
        <v>41250</v>
      </c>
      <c r="T1027">
        <v>0</v>
      </c>
      <c r="U1027" t="s">
        <v>4324</v>
      </c>
      <c r="V1027">
        <v>1</v>
      </c>
      <c r="W1027">
        <v>3</v>
      </c>
      <c r="X1027">
        <v>194840</v>
      </c>
      <c r="Y1027" t="s">
        <v>8684</v>
      </c>
      <c r="Z1027" t="s">
        <v>8682</v>
      </c>
      <c r="AA1027" t="s">
        <v>7831</v>
      </c>
      <c r="AB1027" t="s">
        <v>45</v>
      </c>
      <c r="AC1027" t="s">
        <v>7832</v>
      </c>
    </row>
    <row r="1028" spans="1:29">
      <c r="A1028" t="s">
        <v>319</v>
      </c>
      <c r="B1028" s="1">
        <v>129996</v>
      </c>
      <c r="C1028" t="s">
        <v>2251</v>
      </c>
      <c r="D1028" t="s">
        <v>31</v>
      </c>
      <c r="E1028" s="1">
        <v>-3174</v>
      </c>
      <c r="F1028" t="s">
        <v>3808</v>
      </c>
      <c r="G1028" t="s">
        <v>2401</v>
      </c>
      <c r="H1028" t="s">
        <v>7594</v>
      </c>
      <c r="I1028">
        <v>4</v>
      </c>
      <c r="J1028" t="s">
        <v>5577</v>
      </c>
      <c r="K1028">
        <v>72</v>
      </c>
      <c r="L1028" t="s">
        <v>8685</v>
      </c>
      <c r="M1028" t="s">
        <v>8686</v>
      </c>
      <c r="N1028" t="s">
        <v>8513</v>
      </c>
      <c r="O1028" t="s">
        <v>7830</v>
      </c>
      <c r="P1028" t="s">
        <v>8687</v>
      </c>
      <c r="Q1028" t="s">
        <v>8688</v>
      </c>
      <c r="R1028" t="s">
        <v>8689</v>
      </c>
      <c r="S1028" s="2">
        <v>39616</v>
      </c>
      <c r="T1028">
        <v>0</v>
      </c>
      <c r="U1028" t="s">
        <v>8517</v>
      </c>
      <c r="V1028">
        <v>1</v>
      </c>
      <c r="W1028">
        <v>5</v>
      </c>
      <c r="X1028">
        <v>179640</v>
      </c>
      <c r="Y1028" t="s">
        <v>7504</v>
      </c>
      <c r="Z1028" t="s">
        <v>8688</v>
      </c>
      <c r="AA1028" t="s">
        <v>7831</v>
      </c>
      <c r="AB1028" t="s">
        <v>45</v>
      </c>
      <c r="AC1028" t="s">
        <v>7832</v>
      </c>
    </row>
    <row r="1029" spans="1:29">
      <c r="A1029" t="s">
        <v>3867</v>
      </c>
      <c r="B1029" s="1">
        <v>126052</v>
      </c>
      <c r="C1029" t="s">
        <v>3633</v>
      </c>
      <c r="D1029" t="s">
        <v>31</v>
      </c>
      <c r="E1029" s="1">
        <v>-5791</v>
      </c>
      <c r="F1029" t="s">
        <v>1241</v>
      </c>
      <c r="G1029" t="s">
        <v>437</v>
      </c>
      <c r="H1029" t="s">
        <v>4648</v>
      </c>
      <c r="I1029">
        <v>4</v>
      </c>
      <c r="J1029" t="s">
        <v>4649</v>
      </c>
      <c r="K1029">
        <v>72</v>
      </c>
      <c r="L1029" t="s">
        <v>4650</v>
      </c>
      <c r="M1029" t="s">
        <v>4651</v>
      </c>
      <c r="N1029" t="s">
        <v>4652</v>
      </c>
      <c r="O1029" t="s">
        <v>7830</v>
      </c>
      <c r="P1029" t="s">
        <v>4653</v>
      </c>
      <c r="Q1029" t="s">
        <v>4654</v>
      </c>
      <c r="R1029" t="s">
        <v>4655</v>
      </c>
      <c r="S1029" s="2">
        <v>41306</v>
      </c>
      <c r="T1029" t="s">
        <v>4656</v>
      </c>
      <c r="U1029" t="s">
        <v>4657</v>
      </c>
      <c r="V1029">
        <v>0</v>
      </c>
      <c r="W1029">
        <v>1</v>
      </c>
      <c r="X1029">
        <v>214912</v>
      </c>
      <c r="Y1029" t="s">
        <v>4658</v>
      </c>
      <c r="Z1029" t="s">
        <v>4654</v>
      </c>
      <c r="AA1029" t="s">
        <v>7831</v>
      </c>
      <c r="AB1029" t="s">
        <v>45</v>
      </c>
      <c r="AC1029" t="s">
        <v>7832</v>
      </c>
    </row>
    <row r="1030" spans="1:29">
      <c r="A1030" t="s">
        <v>866</v>
      </c>
      <c r="B1030" s="1">
        <v>119977</v>
      </c>
      <c r="C1030" t="s">
        <v>1631</v>
      </c>
      <c r="D1030" t="s">
        <v>31</v>
      </c>
      <c r="E1030" s="1">
        <v>-3724</v>
      </c>
      <c r="F1030" t="s">
        <v>1840</v>
      </c>
      <c r="G1030" t="s">
        <v>891</v>
      </c>
      <c r="H1030" t="s">
        <v>4659</v>
      </c>
      <c r="I1030">
        <v>4</v>
      </c>
      <c r="J1030" t="s">
        <v>4660</v>
      </c>
      <c r="K1030">
        <v>72</v>
      </c>
      <c r="L1030" t="s">
        <v>4661</v>
      </c>
      <c r="M1030" t="s">
        <v>4662</v>
      </c>
      <c r="N1030" t="s">
        <v>4663</v>
      </c>
      <c r="O1030" t="s">
        <v>7830</v>
      </c>
      <c r="P1030" t="s">
        <v>4664</v>
      </c>
      <c r="Q1030" t="s">
        <v>4665</v>
      </c>
      <c r="R1030" t="s">
        <v>4666</v>
      </c>
      <c r="S1030" s="2">
        <v>40179</v>
      </c>
      <c r="T1030">
        <v>0</v>
      </c>
      <c r="U1030" t="s">
        <v>4667</v>
      </c>
      <c r="V1030">
        <v>1</v>
      </c>
      <c r="W1030">
        <v>4</v>
      </c>
      <c r="X1030">
        <v>202613</v>
      </c>
      <c r="Y1030" t="s">
        <v>712</v>
      </c>
      <c r="Z1030" t="s">
        <v>4665</v>
      </c>
      <c r="AA1030" t="s">
        <v>7831</v>
      </c>
      <c r="AB1030" t="s">
        <v>45</v>
      </c>
      <c r="AC1030" t="s">
        <v>7832</v>
      </c>
    </row>
    <row r="1031" spans="1:29">
      <c r="A1031" t="s">
        <v>755</v>
      </c>
      <c r="B1031" s="1">
        <v>122093</v>
      </c>
      <c r="C1031" t="s">
        <v>983</v>
      </c>
      <c r="D1031" t="s">
        <v>31</v>
      </c>
      <c r="E1031" s="1">
        <v>-6042</v>
      </c>
      <c r="F1031" t="s">
        <v>984</v>
      </c>
      <c r="G1031" t="s">
        <v>985</v>
      </c>
      <c r="H1031" t="s">
        <v>986</v>
      </c>
      <c r="I1031">
        <v>4</v>
      </c>
      <c r="J1031" t="s">
        <v>987</v>
      </c>
      <c r="K1031">
        <v>72</v>
      </c>
      <c r="L1031" t="s">
        <v>988</v>
      </c>
      <c r="M1031" t="s">
        <v>989</v>
      </c>
      <c r="N1031" t="s">
        <v>990</v>
      </c>
      <c r="O1031" t="s">
        <v>7830</v>
      </c>
      <c r="P1031" t="s">
        <v>991</v>
      </c>
      <c r="Q1031" t="s">
        <v>992</v>
      </c>
      <c r="R1031" t="s">
        <v>993</v>
      </c>
      <c r="S1031" s="2">
        <v>30837</v>
      </c>
      <c r="T1031" t="s">
        <v>994</v>
      </c>
      <c r="U1031" t="s">
        <v>995</v>
      </c>
      <c r="V1031">
        <v>1</v>
      </c>
      <c r="W1031">
        <v>4</v>
      </c>
      <c r="X1031">
        <v>278680</v>
      </c>
      <c r="Y1031" t="s">
        <v>996</v>
      </c>
      <c r="Z1031" t="s">
        <v>992</v>
      </c>
      <c r="AA1031" t="s">
        <v>7831</v>
      </c>
      <c r="AB1031" t="s">
        <v>45</v>
      </c>
      <c r="AC1031" t="s">
        <v>7832</v>
      </c>
    </row>
    <row r="1032" spans="1:29">
      <c r="A1032" t="s">
        <v>3085</v>
      </c>
      <c r="B1032" t="s">
        <v>8690</v>
      </c>
      <c r="C1032" t="s">
        <v>3578</v>
      </c>
      <c r="D1032" t="s">
        <v>31</v>
      </c>
      <c r="E1032" s="1">
        <v>-6178</v>
      </c>
      <c r="F1032" t="s">
        <v>8691</v>
      </c>
      <c r="G1032" t="s">
        <v>684</v>
      </c>
      <c r="H1032" t="s">
        <v>8692</v>
      </c>
      <c r="I1032">
        <v>4</v>
      </c>
      <c r="J1032" t="s">
        <v>1442</v>
      </c>
      <c r="K1032">
        <v>72</v>
      </c>
      <c r="L1032" t="s">
        <v>8693</v>
      </c>
      <c r="M1032" t="s">
        <v>8694</v>
      </c>
      <c r="N1032" t="s">
        <v>8695</v>
      </c>
      <c r="O1032" t="s">
        <v>7830</v>
      </c>
      <c r="P1032" t="s">
        <v>8696</v>
      </c>
      <c r="Q1032" t="s">
        <v>8697</v>
      </c>
      <c r="R1032" t="s">
        <v>8698</v>
      </c>
      <c r="S1032" s="2">
        <v>35706</v>
      </c>
      <c r="T1032" t="s">
        <v>8699</v>
      </c>
      <c r="U1032" t="s">
        <v>8700</v>
      </c>
      <c r="V1032">
        <v>1</v>
      </c>
      <c r="W1032">
        <v>1</v>
      </c>
      <c r="X1032">
        <v>197560</v>
      </c>
      <c r="Y1032" t="s">
        <v>7697</v>
      </c>
      <c r="Z1032" t="s">
        <v>8697</v>
      </c>
      <c r="AA1032" t="s">
        <v>7831</v>
      </c>
      <c r="AB1032" t="s">
        <v>45</v>
      </c>
      <c r="AC1032" t="s">
        <v>7832</v>
      </c>
    </row>
    <row r="1033" spans="1:29">
      <c r="A1033" t="s">
        <v>335</v>
      </c>
      <c r="B1033" s="1">
        <v>100021</v>
      </c>
      <c r="C1033" t="s">
        <v>1726</v>
      </c>
      <c r="D1033" t="s">
        <v>31</v>
      </c>
      <c r="E1033" s="1">
        <v>-5414</v>
      </c>
      <c r="F1033" t="s">
        <v>608</v>
      </c>
      <c r="G1033" t="s">
        <v>4840</v>
      </c>
      <c r="H1033" t="s">
        <v>8701</v>
      </c>
      <c r="I1033">
        <v>4</v>
      </c>
      <c r="J1033" t="s">
        <v>229</v>
      </c>
      <c r="K1033">
        <v>72</v>
      </c>
      <c r="L1033" t="s">
        <v>8702</v>
      </c>
      <c r="M1033" t="s">
        <v>8703</v>
      </c>
      <c r="N1033" t="s">
        <v>8704</v>
      </c>
      <c r="O1033" t="s">
        <v>7830</v>
      </c>
      <c r="P1033" t="s">
        <v>8705</v>
      </c>
      <c r="Q1033" t="s">
        <v>8706</v>
      </c>
      <c r="R1033" t="s">
        <v>8707</v>
      </c>
      <c r="S1033" s="2">
        <v>35202</v>
      </c>
      <c r="T1033">
        <v>0</v>
      </c>
      <c r="U1033" t="s">
        <v>8708</v>
      </c>
      <c r="V1033">
        <v>0</v>
      </c>
      <c r="W1033">
        <v>1</v>
      </c>
      <c r="X1033">
        <v>218733</v>
      </c>
      <c r="Y1033" t="s">
        <v>7394</v>
      </c>
      <c r="Z1033" t="s">
        <v>8706</v>
      </c>
      <c r="AA1033" t="s">
        <v>7831</v>
      </c>
      <c r="AB1033" t="s">
        <v>45</v>
      </c>
      <c r="AC1033" t="s">
        <v>7832</v>
      </c>
    </row>
    <row r="1034" spans="1:29">
      <c r="A1034" t="s">
        <v>8709</v>
      </c>
      <c r="B1034" s="1">
        <v>131468</v>
      </c>
      <c r="C1034" t="s">
        <v>3930</v>
      </c>
      <c r="D1034" t="s">
        <v>31</v>
      </c>
      <c r="E1034" s="1">
        <v>-5808</v>
      </c>
      <c r="F1034" t="s">
        <v>5177</v>
      </c>
      <c r="G1034" t="s">
        <v>62</v>
      </c>
      <c r="H1034" t="s">
        <v>8710</v>
      </c>
      <c r="I1034">
        <v>4</v>
      </c>
      <c r="J1034" t="s">
        <v>4008</v>
      </c>
      <c r="K1034">
        <v>72</v>
      </c>
      <c r="L1034" t="s">
        <v>8711</v>
      </c>
      <c r="M1034" t="s">
        <v>8712</v>
      </c>
      <c r="N1034" t="s">
        <v>8713</v>
      </c>
      <c r="O1034" t="s">
        <v>7830</v>
      </c>
      <c r="P1034" t="s">
        <v>8714</v>
      </c>
      <c r="Q1034" t="s">
        <v>8715</v>
      </c>
      <c r="R1034" t="s">
        <v>8716</v>
      </c>
      <c r="S1034">
        <v>1978</v>
      </c>
      <c r="T1034">
        <v>0</v>
      </c>
      <c r="U1034" t="s">
        <v>8717</v>
      </c>
      <c r="V1034">
        <v>1</v>
      </c>
      <c r="W1034">
        <v>2</v>
      </c>
      <c r="X1034">
        <v>188133</v>
      </c>
      <c r="Y1034" t="s">
        <v>8718</v>
      </c>
      <c r="Z1034" t="s">
        <v>8715</v>
      </c>
      <c r="AA1034" t="s">
        <v>7831</v>
      </c>
      <c r="AB1034" t="s">
        <v>45</v>
      </c>
      <c r="AC1034" t="s">
        <v>7832</v>
      </c>
    </row>
    <row r="1035" spans="1:29">
      <c r="A1035" t="s">
        <v>1584</v>
      </c>
      <c r="B1035" s="1">
        <v>124149</v>
      </c>
      <c r="C1035" t="s">
        <v>2467</v>
      </c>
      <c r="D1035" t="s">
        <v>31</v>
      </c>
      <c r="E1035" s="1">
        <v>-7191</v>
      </c>
      <c r="F1035" t="s">
        <v>227</v>
      </c>
      <c r="G1035" t="s">
        <v>1896</v>
      </c>
      <c r="H1035" t="s">
        <v>8719</v>
      </c>
      <c r="I1035">
        <v>4</v>
      </c>
      <c r="J1035" t="s">
        <v>700</v>
      </c>
      <c r="K1035">
        <v>72</v>
      </c>
      <c r="L1035" t="s">
        <v>8720</v>
      </c>
      <c r="M1035" t="s">
        <v>8721</v>
      </c>
      <c r="N1035" t="s">
        <v>8722</v>
      </c>
      <c r="O1035" t="s">
        <v>7830</v>
      </c>
      <c r="P1035" t="s">
        <v>8723</v>
      </c>
      <c r="Q1035" t="s">
        <v>8724</v>
      </c>
      <c r="R1035" t="s">
        <v>8725</v>
      </c>
      <c r="S1035" s="2">
        <v>35996</v>
      </c>
      <c r="T1035" t="s">
        <v>3154</v>
      </c>
      <c r="U1035" t="s">
        <v>8726</v>
      </c>
      <c r="V1035">
        <v>0</v>
      </c>
      <c r="W1035">
        <v>5</v>
      </c>
      <c r="X1035">
        <v>260907</v>
      </c>
      <c r="Y1035" t="s">
        <v>8727</v>
      </c>
      <c r="Z1035" t="s">
        <v>8724</v>
      </c>
      <c r="AA1035" t="s">
        <v>7831</v>
      </c>
      <c r="AB1035" t="s">
        <v>45</v>
      </c>
      <c r="AC1035" t="s">
        <v>7832</v>
      </c>
    </row>
    <row r="1036" spans="1:29">
      <c r="A1036" t="s">
        <v>8728</v>
      </c>
      <c r="B1036" s="1">
        <v>132067</v>
      </c>
      <c r="C1036" t="s">
        <v>291</v>
      </c>
      <c r="D1036" t="s">
        <v>31</v>
      </c>
      <c r="E1036" s="1">
        <v>-2871</v>
      </c>
      <c r="F1036" t="s">
        <v>865</v>
      </c>
      <c r="G1036" t="s">
        <v>1445</v>
      </c>
      <c r="H1036" t="s">
        <v>8729</v>
      </c>
      <c r="I1036">
        <v>4</v>
      </c>
      <c r="J1036" t="s">
        <v>2060</v>
      </c>
      <c r="K1036">
        <v>72</v>
      </c>
      <c r="L1036" t="s">
        <v>8730</v>
      </c>
      <c r="M1036" t="s">
        <v>8731</v>
      </c>
      <c r="N1036" t="s">
        <v>8732</v>
      </c>
      <c r="O1036" t="s">
        <v>7830</v>
      </c>
      <c r="P1036" t="s">
        <v>8733</v>
      </c>
      <c r="Q1036" t="s">
        <v>8734</v>
      </c>
      <c r="R1036" t="s">
        <v>8732</v>
      </c>
      <c r="S1036" s="2">
        <v>40909</v>
      </c>
      <c r="T1036">
        <v>0</v>
      </c>
      <c r="U1036" t="s">
        <v>8735</v>
      </c>
      <c r="V1036">
        <v>0</v>
      </c>
      <c r="W1036">
        <v>11</v>
      </c>
      <c r="X1036">
        <v>219493</v>
      </c>
      <c r="Y1036" t="s">
        <v>8736</v>
      </c>
      <c r="Z1036" t="s">
        <v>8734</v>
      </c>
      <c r="AA1036" t="s">
        <v>7831</v>
      </c>
      <c r="AB1036" t="s">
        <v>45</v>
      </c>
      <c r="AC1036" t="s">
        <v>7832</v>
      </c>
    </row>
    <row r="1037" spans="1:29">
      <c r="A1037" t="s">
        <v>4346</v>
      </c>
      <c r="B1037" s="1">
        <v>130011</v>
      </c>
      <c r="C1037" t="s">
        <v>3312</v>
      </c>
      <c r="D1037" t="s">
        <v>31</v>
      </c>
      <c r="E1037" s="1">
        <v>-4168</v>
      </c>
      <c r="F1037" t="s">
        <v>972</v>
      </c>
      <c r="G1037" t="s">
        <v>93</v>
      </c>
      <c r="H1037" t="s">
        <v>4704</v>
      </c>
      <c r="I1037">
        <v>4</v>
      </c>
      <c r="J1037" t="s">
        <v>1937</v>
      </c>
      <c r="K1037">
        <v>72</v>
      </c>
      <c r="L1037" t="s">
        <v>4705</v>
      </c>
      <c r="M1037" t="s">
        <v>4706</v>
      </c>
      <c r="N1037" t="s">
        <v>4707</v>
      </c>
      <c r="O1037" t="s">
        <v>7830</v>
      </c>
      <c r="P1037" t="s">
        <v>4708</v>
      </c>
      <c r="Q1037" t="s">
        <v>4709</v>
      </c>
      <c r="R1037" t="s">
        <v>4710</v>
      </c>
      <c r="S1037" s="2">
        <v>40544</v>
      </c>
      <c r="T1037">
        <v>0</v>
      </c>
      <c r="U1037" t="s">
        <v>4711</v>
      </c>
      <c r="V1037">
        <v>0</v>
      </c>
      <c r="W1037">
        <v>5</v>
      </c>
      <c r="X1037">
        <v>262147</v>
      </c>
      <c r="Y1037" t="s">
        <v>3041</v>
      </c>
      <c r="Z1037" t="s">
        <v>4709</v>
      </c>
      <c r="AA1037" t="s">
        <v>7831</v>
      </c>
      <c r="AB1037" t="s">
        <v>45</v>
      </c>
      <c r="AC1037" t="s">
        <v>7832</v>
      </c>
    </row>
    <row r="1038" spans="1:29">
      <c r="A1038" t="s">
        <v>2079</v>
      </c>
      <c r="B1038" s="1">
        <v>124948</v>
      </c>
      <c r="C1038" t="s">
        <v>2262</v>
      </c>
      <c r="D1038" t="s">
        <v>31</v>
      </c>
      <c r="E1038" t="s">
        <v>8737</v>
      </c>
      <c r="F1038" t="s">
        <v>2580</v>
      </c>
      <c r="G1038" t="s">
        <v>4078</v>
      </c>
      <c r="H1038" t="s">
        <v>8738</v>
      </c>
      <c r="I1038">
        <v>4</v>
      </c>
      <c r="J1038" t="s">
        <v>281</v>
      </c>
      <c r="K1038">
        <v>71</v>
      </c>
      <c r="L1038" t="s">
        <v>8739</v>
      </c>
      <c r="M1038" t="s">
        <v>8740</v>
      </c>
      <c r="N1038" t="s">
        <v>8741</v>
      </c>
      <c r="O1038" t="s">
        <v>7830</v>
      </c>
      <c r="P1038" t="s">
        <v>8742</v>
      </c>
      <c r="Q1038" t="s">
        <v>8743</v>
      </c>
      <c r="R1038" t="s">
        <v>8741</v>
      </c>
      <c r="S1038" s="2">
        <v>43560</v>
      </c>
      <c r="T1038" t="s">
        <v>5205</v>
      </c>
      <c r="U1038" t="s">
        <v>8744</v>
      </c>
      <c r="V1038">
        <v>0</v>
      </c>
      <c r="W1038">
        <v>9</v>
      </c>
      <c r="X1038">
        <v>147840</v>
      </c>
      <c r="Y1038" t="s">
        <v>5559</v>
      </c>
      <c r="Z1038" t="s">
        <v>8743</v>
      </c>
      <c r="AA1038" t="s">
        <v>7831</v>
      </c>
      <c r="AB1038" t="s">
        <v>45</v>
      </c>
      <c r="AC1038" t="s">
        <v>7832</v>
      </c>
    </row>
    <row r="1039" spans="1:29">
      <c r="A1039" t="s">
        <v>80</v>
      </c>
      <c r="B1039" s="1">
        <v>96987</v>
      </c>
      <c r="C1039" t="s">
        <v>62</v>
      </c>
      <c r="D1039" t="s">
        <v>31</v>
      </c>
      <c r="E1039" s="1">
        <v>-6897</v>
      </c>
      <c r="F1039" t="s">
        <v>905</v>
      </c>
      <c r="G1039" t="s">
        <v>851</v>
      </c>
      <c r="H1039" t="s">
        <v>8239</v>
      </c>
      <c r="I1039">
        <v>4</v>
      </c>
      <c r="J1039" t="s">
        <v>4869</v>
      </c>
      <c r="K1039">
        <v>71</v>
      </c>
      <c r="L1039" t="s">
        <v>8745</v>
      </c>
      <c r="M1039" t="s">
        <v>8746</v>
      </c>
      <c r="N1039" t="s">
        <v>8242</v>
      </c>
      <c r="O1039" t="s">
        <v>7830</v>
      </c>
      <c r="P1039" t="s">
        <v>8747</v>
      </c>
      <c r="Q1039" t="s">
        <v>8748</v>
      </c>
      <c r="R1039" t="s">
        <v>8242</v>
      </c>
      <c r="S1039" s="2">
        <v>34327</v>
      </c>
      <c r="T1039" t="s">
        <v>8749</v>
      </c>
      <c r="U1039" t="s">
        <v>8246</v>
      </c>
      <c r="V1039">
        <v>0</v>
      </c>
      <c r="W1039">
        <v>4</v>
      </c>
      <c r="X1039">
        <v>191240</v>
      </c>
      <c r="Y1039" t="s">
        <v>8750</v>
      </c>
      <c r="Z1039" t="s">
        <v>8748</v>
      </c>
      <c r="AA1039" t="s">
        <v>7831</v>
      </c>
      <c r="AB1039" t="s">
        <v>45</v>
      </c>
      <c r="AC1039" t="s">
        <v>7832</v>
      </c>
    </row>
    <row r="1040" spans="1:29">
      <c r="A1040" t="s">
        <v>3409</v>
      </c>
      <c r="B1040" s="1">
        <v>120016</v>
      </c>
      <c r="C1040" t="s">
        <v>1572</v>
      </c>
      <c r="D1040" t="s">
        <v>31</v>
      </c>
      <c r="E1040" s="1">
        <v>-3475</v>
      </c>
      <c r="F1040" t="s">
        <v>743</v>
      </c>
      <c r="G1040" t="s">
        <v>1346</v>
      </c>
      <c r="H1040" t="s">
        <v>8751</v>
      </c>
      <c r="I1040">
        <v>4</v>
      </c>
      <c r="J1040" t="s">
        <v>7430</v>
      </c>
      <c r="K1040">
        <v>71</v>
      </c>
      <c r="L1040" t="s">
        <v>8752</v>
      </c>
      <c r="M1040" t="s">
        <v>8753</v>
      </c>
      <c r="N1040" t="s">
        <v>8754</v>
      </c>
      <c r="O1040" t="s">
        <v>7830</v>
      </c>
      <c r="P1040" t="s">
        <v>8755</v>
      </c>
      <c r="Q1040" t="s">
        <v>8756</v>
      </c>
      <c r="R1040" t="s">
        <v>8757</v>
      </c>
      <c r="S1040" s="2">
        <v>38353</v>
      </c>
      <c r="T1040" t="s">
        <v>8758</v>
      </c>
      <c r="U1040" t="s">
        <v>8759</v>
      </c>
      <c r="V1040">
        <v>1</v>
      </c>
      <c r="W1040">
        <v>1</v>
      </c>
      <c r="X1040">
        <v>272080</v>
      </c>
      <c r="Y1040" t="s">
        <v>8760</v>
      </c>
      <c r="Z1040" t="s">
        <v>8756</v>
      </c>
      <c r="AA1040" t="s">
        <v>7831</v>
      </c>
      <c r="AB1040" t="s">
        <v>45</v>
      </c>
      <c r="AC1040" t="s">
        <v>7832</v>
      </c>
    </row>
    <row r="1041" spans="1:29">
      <c r="A1041" t="s">
        <v>4056</v>
      </c>
      <c r="B1041" s="1">
        <v>133149</v>
      </c>
      <c r="C1041" t="s">
        <v>2116</v>
      </c>
      <c r="D1041" t="s">
        <v>31</v>
      </c>
      <c r="E1041" t="s">
        <v>8761</v>
      </c>
      <c r="F1041" t="s">
        <v>8762</v>
      </c>
      <c r="G1041" t="s">
        <v>4394</v>
      </c>
      <c r="H1041" t="s">
        <v>8763</v>
      </c>
      <c r="I1041">
        <v>4</v>
      </c>
      <c r="J1041" t="s">
        <v>7116</v>
      </c>
      <c r="K1041">
        <v>71</v>
      </c>
      <c r="L1041" t="s">
        <v>8764</v>
      </c>
      <c r="M1041" t="s">
        <v>8765</v>
      </c>
      <c r="N1041" t="s">
        <v>8766</v>
      </c>
      <c r="O1041" t="s">
        <v>7830</v>
      </c>
      <c r="P1041" t="s">
        <v>8767</v>
      </c>
      <c r="Q1041" t="s">
        <v>8768</v>
      </c>
      <c r="R1041" t="s">
        <v>8769</v>
      </c>
      <c r="S1041" s="2">
        <v>32924</v>
      </c>
      <c r="T1041" t="s">
        <v>8770</v>
      </c>
      <c r="U1041" t="s">
        <v>8771</v>
      </c>
      <c r="V1041">
        <v>0</v>
      </c>
      <c r="W1041">
        <v>11</v>
      </c>
      <c r="X1041">
        <v>257360</v>
      </c>
      <c r="Y1041" t="s">
        <v>1904</v>
      </c>
      <c r="Z1041" t="s">
        <v>8768</v>
      </c>
      <c r="AA1041" t="s">
        <v>7831</v>
      </c>
      <c r="AB1041" t="s">
        <v>45</v>
      </c>
      <c r="AC1041" t="s">
        <v>7832</v>
      </c>
    </row>
    <row r="1042" spans="1:29">
      <c r="A1042" t="s">
        <v>1620</v>
      </c>
      <c r="B1042" s="1">
        <v>140982</v>
      </c>
      <c r="C1042" t="s">
        <v>998</v>
      </c>
      <c r="D1042" t="s">
        <v>31</v>
      </c>
      <c r="E1042" s="1">
        <v>-3732</v>
      </c>
      <c r="F1042" t="s">
        <v>6655</v>
      </c>
      <c r="G1042" t="s">
        <v>1849</v>
      </c>
      <c r="H1042" t="s">
        <v>8772</v>
      </c>
      <c r="I1042">
        <v>4</v>
      </c>
      <c r="J1042" t="s">
        <v>1564</v>
      </c>
      <c r="K1042">
        <v>71</v>
      </c>
      <c r="L1042" t="s">
        <v>8773</v>
      </c>
      <c r="M1042" t="s">
        <v>8774</v>
      </c>
      <c r="N1042" t="s">
        <v>8775</v>
      </c>
      <c r="O1042" t="s">
        <v>7830</v>
      </c>
      <c r="P1042" t="s">
        <v>8776</v>
      </c>
      <c r="Q1042" t="s">
        <v>8777</v>
      </c>
      <c r="R1042" t="s">
        <v>8778</v>
      </c>
      <c r="S1042" s="2">
        <v>27764</v>
      </c>
      <c r="T1042" t="s">
        <v>343</v>
      </c>
      <c r="U1042" t="s">
        <v>8779</v>
      </c>
      <c r="V1042">
        <v>1</v>
      </c>
      <c r="W1042">
        <v>5</v>
      </c>
      <c r="X1042">
        <v>179013</v>
      </c>
      <c r="Y1042" t="s">
        <v>5660</v>
      </c>
      <c r="Z1042" t="s">
        <v>8777</v>
      </c>
      <c r="AA1042" t="s">
        <v>7831</v>
      </c>
      <c r="AB1042" t="s">
        <v>45</v>
      </c>
      <c r="AC1042" t="s">
        <v>7832</v>
      </c>
    </row>
    <row r="1043" spans="1:29">
      <c r="A1043" t="s">
        <v>1597</v>
      </c>
      <c r="B1043" s="1">
        <v>131986</v>
      </c>
      <c r="C1043" t="s">
        <v>2467</v>
      </c>
      <c r="D1043" t="s">
        <v>31</v>
      </c>
      <c r="E1043" s="1">
        <v>-7536</v>
      </c>
      <c r="F1043" t="s">
        <v>803</v>
      </c>
      <c r="G1043" t="s">
        <v>3597</v>
      </c>
      <c r="H1043" t="s">
        <v>8780</v>
      </c>
      <c r="I1043">
        <v>4</v>
      </c>
      <c r="J1043" t="s">
        <v>597</v>
      </c>
      <c r="K1043">
        <v>71</v>
      </c>
      <c r="L1043" t="s">
        <v>8781</v>
      </c>
      <c r="M1043" t="s">
        <v>8782</v>
      </c>
      <c r="N1043" t="s">
        <v>8783</v>
      </c>
      <c r="O1043" t="s">
        <v>7830</v>
      </c>
      <c r="P1043" t="s">
        <v>8784</v>
      </c>
      <c r="Q1043" t="s">
        <v>8785</v>
      </c>
      <c r="R1043" t="s">
        <v>8786</v>
      </c>
      <c r="S1043" s="2">
        <v>34558</v>
      </c>
      <c r="T1043" t="s">
        <v>8787</v>
      </c>
      <c r="U1043" t="s">
        <v>8788</v>
      </c>
      <c r="V1043">
        <v>1</v>
      </c>
      <c r="W1043">
        <v>9</v>
      </c>
      <c r="X1043">
        <v>194000</v>
      </c>
      <c r="Y1043" t="s">
        <v>967</v>
      </c>
      <c r="Z1043" t="s">
        <v>8785</v>
      </c>
      <c r="AA1043" t="s">
        <v>7831</v>
      </c>
      <c r="AB1043" t="s">
        <v>45</v>
      </c>
      <c r="AC1043" t="s">
        <v>7832</v>
      </c>
    </row>
    <row r="1044" spans="1:29">
      <c r="A1044" t="s">
        <v>784</v>
      </c>
      <c r="B1044" s="1">
        <v>123907</v>
      </c>
      <c r="C1044" t="s">
        <v>202</v>
      </c>
      <c r="D1044" t="s">
        <v>31</v>
      </c>
      <c r="E1044" s="1">
        <v>-5108</v>
      </c>
      <c r="F1044" t="s">
        <v>1062</v>
      </c>
      <c r="G1044" t="s">
        <v>4033</v>
      </c>
      <c r="H1044" t="s">
        <v>242</v>
      </c>
      <c r="I1044">
        <v>4</v>
      </c>
      <c r="J1044" t="s">
        <v>1202</v>
      </c>
      <c r="K1044">
        <v>71</v>
      </c>
      <c r="L1044" t="s">
        <v>8789</v>
      </c>
      <c r="M1044" t="s">
        <v>8790</v>
      </c>
      <c r="N1044" t="s">
        <v>8791</v>
      </c>
      <c r="O1044" t="s">
        <v>7830</v>
      </c>
      <c r="P1044" t="s">
        <v>8792</v>
      </c>
      <c r="Q1044" t="s">
        <v>8793</v>
      </c>
      <c r="R1044" t="s">
        <v>8794</v>
      </c>
      <c r="S1044" s="2">
        <v>40686</v>
      </c>
      <c r="T1044">
        <v>0</v>
      </c>
      <c r="U1044" t="s">
        <v>8795</v>
      </c>
      <c r="V1044">
        <v>1</v>
      </c>
      <c r="W1044">
        <v>11</v>
      </c>
      <c r="X1044">
        <v>260253</v>
      </c>
      <c r="Y1044" t="s">
        <v>2578</v>
      </c>
      <c r="Z1044" t="s">
        <v>8793</v>
      </c>
      <c r="AA1044" t="s">
        <v>7831</v>
      </c>
      <c r="AB1044" t="s">
        <v>45</v>
      </c>
      <c r="AC1044" t="s">
        <v>7832</v>
      </c>
    </row>
    <row r="1045" spans="1:29">
      <c r="A1045" t="s">
        <v>1338</v>
      </c>
      <c r="B1045" s="1">
        <v>101965</v>
      </c>
      <c r="C1045" t="s">
        <v>1121</v>
      </c>
      <c r="D1045" t="s">
        <v>31</v>
      </c>
      <c r="E1045" s="1">
        <v>-4068</v>
      </c>
      <c r="F1045" t="s">
        <v>2613</v>
      </c>
      <c r="G1045" t="s">
        <v>226</v>
      </c>
      <c r="H1045" t="s">
        <v>8796</v>
      </c>
      <c r="I1045">
        <v>4</v>
      </c>
      <c r="J1045" t="s">
        <v>1383</v>
      </c>
      <c r="K1045">
        <v>70</v>
      </c>
      <c r="L1045" t="s">
        <v>8797</v>
      </c>
      <c r="M1045" t="s">
        <v>8798</v>
      </c>
      <c r="N1045" t="s">
        <v>8799</v>
      </c>
      <c r="O1045" t="s">
        <v>7830</v>
      </c>
      <c r="P1045" t="s">
        <v>8800</v>
      </c>
      <c r="Q1045" t="s">
        <v>8801</v>
      </c>
      <c r="R1045" t="s">
        <v>8799</v>
      </c>
      <c r="S1045" s="2">
        <v>42664</v>
      </c>
      <c r="T1045">
        <v>0</v>
      </c>
      <c r="U1045" t="s">
        <v>8802</v>
      </c>
      <c r="V1045">
        <v>0</v>
      </c>
      <c r="W1045">
        <v>9</v>
      </c>
      <c r="X1045">
        <v>251088</v>
      </c>
      <c r="Y1045" t="s">
        <v>276</v>
      </c>
      <c r="Z1045" t="s">
        <v>8801</v>
      </c>
      <c r="AA1045" t="s">
        <v>7831</v>
      </c>
      <c r="AB1045" t="s">
        <v>45</v>
      </c>
      <c r="AC1045" t="s">
        <v>7832</v>
      </c>
    </row>
    <row r="1046" spans="1:29">
      <c r="A1046" t="s">
        <v>1501</v>
      </c>
      <c r="B1046" s="1">
        <v>125896</v>
      </c>
      <c r="C1046" t="s">
        <v>2886</v>
      </c>
      <c r="D1046" t="s">
        <v>31</v>
      </c>
      <c r="E1046" s="1">
        <v>-4124</v>
      </c>
      <c r="F1046" t="s">
        <v>349</v>
      </c>
      <c r="G1046" t="s">
        <v>997</v>
      </c>
      <c r="H1046" t="s">
        <v>4771</v>
      </c>
      <c r="I1046">
        <v>4</v>
      </c>
      <c r="J1046" t="s">
        <v>4772</v>
      </c>
      <c r="K1046">
        <v>70</v>
      </c>
      <c r="L1046" t="s">
        <v>4773</v>
      </c>
      <c r="M1046" t="s">
        <v>4774</v>
      </c>
      <c r="N1046" t="s">
        <v>4775</v>
      </c>
      <c r="O1046" t="s">
        <v>7830</v>
      </c>
      <c r="P1046" t="s">
        <v>4776</v>
      </c>
      <c r="Q1046" t="s">
        <v>4777</v>
      </c>
      <c r="R1046" t="s">
        <v>4778</v>
      </c>
      <c r="S1046" s="2">
        <v>42146</v>
      </c>
      <c r="T1046">
        <v>0</v>
      </c>
      <c r="U1046" t="s">
        <v>4779</v>
      </c>
      <c r="V1046">
        <v>1</v>
      </c>
      <c r="W1046">
        <v>5</v>
      </c>
      <c r="X1046">
        <v>210013</v>
      </c>
      <c r="Y1046" t="s">
        <v>4780</v>
      </c>
      <c r="Z1046" t="s">
        <v>4777</v>
      </c>
      <c r="AA1046" t="s">
        <v>7831</v>
      </c>
      <c r="AB1046" t="s">
        <v>45</v>
      </c>
      <c r="AC1046" t="s">
        <v>7832</v>
      </c>
    </row>
    <row r="1047" spans="1:29">
      <c r="A1047" t="s">
        <v>1737</v>
      </c>
      <c r="B1047" s="1">
        <v>107363</v>
      </c>
      <c r="C1047" t="s">
        <v>1893</v>
      </c>
      <c r="D1047" t="s">
        <v>31</v>
      </c>
      <c r="E1047" t="s">
        <v>8803</v>
      </c>
      <c r="F1047" t="s">
        <v>8390</v>
      </c>
      <c r="G1047" t="s">
        <v>813</v>
      </c>
      <c r="H1047" t="s">
        <v>8804</v>
      </c>
      <c r="I1047">
        <v>4</v>
      </c>
      <c r="J1047" t="s">
        <v>8805</v>
      </c>
      <c r="K1047">
        <v>70</v>
      </c>
      <c r="L1047" t="s">
        <v>8806</v>
      </c>
      <c r="M1047" t="s">
        <v>8807</v>
      </c>
      <c r="N1047" t="s">
        <v>8808</v>
      </c>
      <c r="O1047" t="s">
        <v>7830</v>
      </c>
      <c r="P1047" t="s">
        <v>8809</v>
      </c>
      <c r="Q1047" t="s">
        <v>8810</v>
      </c>
      <c r="R1047" t="s">
        <v>8811</v>
      </c>
      <c r="S1047" s="2">
        <v>31048</v>
      </c>
      <c r="T1047" t="s">
        <v>8812</v>
      </c>
      <c r="U1047" t="s">
        <v>8813</v>
      </c>
      <c r="V1047">
        <v>1</v>
      </c>
      <c r="W1047">
        <v>5</v>
      </c>
      <c r="X1047">
        <v>378947</v>
      </c>
      <c r="Y1047" t="s">
        <v>1525</v>
      </c>
      <c r="Z1047" t="s">
        <v>8810</v>
      </c>
      <c r="AA1047" t="s">
        <v>7831</v>
      </c>
      <c r="AB1047" t="s">
        <v>45</v>
      </c>
      <c r="AC1047" t="s">
        <v>7832</v>
      </c>
    </row>
    <row r="1048" spans="1:29">
      <c r="A1048" t="s">
        <v>1023</v>
      </c>
      <c r="B1048" s="1">
        <v>127808</v>
      </c>
      <c r="C1048" t="s">
        <v>322</v>
      </c>
      <c r="D1048" t="s">
        <v>31</v>
      </c>
      <c r="E1048" s="1">
        <v>-11522</v>
      </c>
      <c r="F1048" t="s">
        <v>7140</v>
      </c>
      <c r="G1048" t="s">
        <v>2118</v>
      </c>
      <c r="H1048" t="s">
        <v>8814</v>
      </c>
      <c r="I1048">
        <v>4</v>
      </c>
      <c r="J1048" t="s">
        <v>645</v>
      </c>
      <c r="K1048">
        <v>70</v>
      </c>
      <c r="L1048" t="s">
        <v>8815</v>
      </c>
      <c r="M1048" t="s">
        <v>8816</v>
      </c>
      <c r="N1048" t="s">
        <v>8817</v>
      </c>
      <c r="O1048" t="s">
        <v>7830</v>
      </c>
      <c r="P1048" t="s">
        <v>8818</v>
      </c>
      <c r="Q1048" t="s">
        <v>8819</v>
      </c>
      <c r="R1048" t="s">
        <v>8817</v>
      </c>
      <c r="S1048">
        <v>1994</v>
      </c>
      <c r="T1048" t="s">
        <v>501</v>
      </c>
      <c r="U1048" t="s">
        <v>8820</v>
      </c>
      <c r="V1048">
        <v>0</v>
      </c>
      <c r="W1048">
        <v>5</v>
      </c>
      <c r="X1048">
        <v>264280</v>
      </c>
      <c r="Y1048" t="s">
        <v>8821</v>
      </c>
      <c r="Z1048" t="s">
        <v>8819</v>
      </c>
      <c r="AA1048" t="s">
        <v>7831</v>
      </c>
      <c r="AB1048" t="s">
        <v>45</v>
      </c>
      <c r="AC1048" t="s">
        <v>7832</v>
      </c>
    </row>
    <row r="1049" spans="1:29">
      <c r="A1049" t="s">
        <v>1396</v>
      </c>
      <c r="B1049" s="1">
        <v>146005</v>
      </c>
      <c r="C1049" t="s">
        <v>1431</v>
      </c>
      <c r="D1049" t="s">
        <v>31</v>
      </c>
      <c r="E1049" s="1">
        <v>-5729</v>
      </c>
      <c r="F1049" t="s">
        <v>2031</v>
      </c>
      <c r="G1049" t="s">
        <v>2012</v>
      </c>
      <c r="H1049" t="s">
        <v>8822</v>
      </c>
      <c r="I1049">
        <v>4</v>
      </c>
      <c r="J1049" t="s">
        <v>881</v>
      </c>
      <c r="K1049">
        <v>70</v>
      </c>
      <c r="L1049" t="s">
        <v>8823</v>
      </c>
      <c r="M1049" t="s">
        <v>8824</v>
      </c>
      <c r="N1049" t="s">
        <v>8825</v>
      </c>
      <c r="O1049" t="s">
        <v>7830</v>
      </c>
      <c r="P1049" t="s">
        <v>8826</v>
      </c>
      <c r="Q1049" t="s">
        <v>8827</v>
      </c>
      <c r="R1049" t="s">
        <v>8828</v>
      </c>
      <c r="S1049" s="2">
        <v>42811</v>
      </c>
      <c r="T1049" t="s">
        <v>8829</v>
      </c>
      <c r="U1049" t="s">
        <v>8830</v>
      </c>
      <c r="V1049">
        <v>0</v>
      </c>
      <c r="W1049">
        <v>11</v>
      </c>
      <c r="X1049">
        <v>213428</v>
      </c>
      <c r="Y1049" t="s">
        <v>8831</v>
      </c>
      <c r="Z1049" t="s">
        <v>8827</v>
      </c>
      <c r="AA1049" t="s">
        <v>7831</v>
      </c>
      <c r="AB1049" t="s">
        <v>45</v>
      </c>
      <c r="AC1049" t="s">
        <v>7832</v>
      </c>
    </row>
    <row r="1050" spans="1:29">
      <c r="A1050" t="s">
        <v>2972</v>
      </c>
      <c r="B1050" s="1">
        <v>116012</v>
      </c>
      <c r="C1050" t="s">
        <v>8832</v>
      </c>
      <c r="D1050" t="s">
        <v>31</v>
      </c>
      <c r="E1050" s="1">
        <v>-2784</v>
      </c>
      <c r="F1050" t="s">
        <v>1643</v>
      </c>
      <c r="G1050" t="s">
        <v>1431</v>
      </c>
      <c r="H1050" t="s">
        <v>8833</v>
      </c>
      <c r="I1050">
        <v>4</v>
      </c>
      <c r="J1050" t="s">
        <v>732</v>
      </c>
      <c r="K1050">
        <v>70</v>
      </c>
      <c r="L1050" t="s">
        <v>8834</v>
      </c>
      <c r="M1050" t="s">
        <v>8835</v>
      </c>
      <c r="N1050" t="s">
        <v>8836</v>
      </c>
      <c r="O1050" t="s">
        <v>7830</v>
      </c>
      <c r="P1050" t="s">
        <v>8837</v>
      </c>
      <c r="Q1050" t="s">
        <v>8838</v>
      </c>
      <c r="R1050" t="s">
        <v>8839</v>
      </c>
      <c r="S1050" s="2">
        <v>39756</v>
      </c>
      <c r="T1050" t="s">
        <v>8840</v>
      </c>
      <c r="U1050" t="s">
        <v>8841</v>
      </c>
      <c r="V1050">
        <v>1</v>
      </c>
      <c r="W1050">
        <v>2</v>
      </c>
      <c r="X1050">
        <v>254467</v>
      </c>
      <c r="Y1050" t="s">
        <v>8842</v>
      </c>
      <c r="Z1050" t="s">
        <v>8838</v>
      </c>
      <c r="AA1050" t="s">
        <v>7831</v>
      </c>
      <c r="AB1050" t="s">
        <v>45</v>
      </c>
      <c r="AC1050" t="s">
        <v>7832</v>
      </c>
    </row>
    <row r="1051" spans="1:29">
      <c r="A1051" t="s">
        <v>3115</v>
      </c>
      <c r="B1051" s="1">
        <v>138978</v>
      </c>
      <c r="C1051" t="s">
        <v>2774</v>
      </c>
      <c r="D1051" t="s">
        <v>31</v>
      </c>
      <c r="E1051" s="1">
        <v>-6245</v>
      </c>
      <c r="F1051" t="s">
        <v>1525</v>
      </c>
      <c r="G1051" t="s">
        <v>1553</v>
      </c>
      <c r="H1051" t="s">
        <v>8843</v>
      </c>
      <c r="I1051">
        <v>3</v>
      </c>
      <c r="J1051" t="s">
        <v>3547</v>
      </c>
      <c r="K1051">
        <v>82</v>
      </c>
      <c r="L1051" t="s">
        <v>8844</v>
      </c>
      <c r="M1051" t="s">
        <v>8845</v>
      </c>
      <c r="N1051" t="s">
        <v>8846</v>
      </c>
      <c r="O1051" t="s">
        <v>8847</v>
      </c>
      <c r="P1051" t="s">
        <v>8848</v>
      </c>
      <c r="Q1051" t="s">
        <v>8849</v>
      </c>
      <c r="R1051" t="s">
        <v>8846</v>
      </c>
      <c r="S1051" s="2">
        <v>45258</v>
      </c>
      <c r="T1051" t="s">
        <v>8850</v>
      </c>
      <c r="U1051" t="s">
        <v>8851</v>
      </c>
      <c r="V1051">
        <v>1</v>
      </c>
      <c r="W1051">
        <v>5</v>
      </c>
      <c r="X1051">
        <v>132160</v>
      </c>
      <c r="Y1051" t="s">
        <v>2660</v>
      </c>
      <c r="Z1051" t="s">
        <v>8849</v>
      </c>
      <c r="AA1051" t="s">
        <v>8852</v>
      </c>
      <c r="AB1051" t="s">
        <v>45</v>
      </c>
      <c r="AC1051" t="s">
        <v>8853</v>
      </c>
    </row>
    <row r="1052" spans="1:29">
      <c r="A1052" t="s">
        <v>1502</v>
      </c>
      <c r="B1052" s="1">
        <v>146053</v>
      </c>
      <c r="C1052" t="s">
        <v>2814</v>
      </c>
      <c r="D1052" t="s">
        <v>31</v>
      </c>
      <c r="E1052" s="1">
        <v>-6818</v>
      </c>
      <c r="F1052" t="s">
        <v>1643</v>
      </c>
      <c r="G1052" t="s">
        <v>2905</v>
      </c>
      <c r="H1052" t="s">
        <v>8854</v>
      </c>
      <c r="I1052">
        <v>4</v>
      </c>
      <c r="J1052" t="s">
        <v>1424</v>
      </c>
      <c r="K1052">
        <v>80</v>
      </c>
      <c r="L1052" t="s">
        <v>8855</v>
      </c>
      <c r="M1052" t="s">
        <v>8856</v>
      </c>
      <c r="N1052" t="s">
        <v>8857</v>
      </c>
      <c r="O1052" t="s">
        <v>8847</v>
      </c>
      <c r="P1052" t="s">
        <v>8858</v>
      </c>
      <c r="Q1052" t="s">
        <v>8859</v>
      </c>
      <c r="R1052" t="s">
        <v>8860</v>
      </c>
      <c r="S1052" s="2">
        <v>44757</v>
      </c>
      <c r="T1052" t="s">
        <v>2101</v>
      </c>
      <c r="U1052" t="s">
        <v>8861</v>
      </c>
      <c r="V1052">
        <v>1</v>
      </c>
      <c r="W1052">
        <v>11</v>
      </c>
      <c r="X1052">
        <v>177533</v>
      </c>
      <c r="Y1052" t="s">
        <v>1370</v>
      </c>
      <c r="Z1052" t="s">
        <v>8859</v>
      </c>
      <c r="AA1052" t="s">
        <v>8852</v>
      </c>
      <c r="AB1052" t="s">
        <v>45</v>
      </c>
      <c r="AC1052" t="s">
        <v>8853</v>
      </c>
    </row>
    <row r="1053" spans="1:29">
      <c r="A1053" t="s">
        <v>837</v>
      </c>
      <c r="B1053" s="1">
        <v>96192</v>
      </c>
      <c r="C1053" t="s">
        <v>1082</v>
      </c>
      <c r="D1053" t="s">
        <v>31</v>
      </c>
      <c r="E1053" s="1">
        <v>-8312</v>
      </c>
      <c r="F1053" t="s">
        <v>3258</v>
      </c>
      <c r="G1053" t="s">
        <v>772</v>
      </c>
      <c r="H1053" t="s">
        <v>8862</v>
      </c>
      <c r="I1053">
        <v>3</v>
      </c>
      <c r="J1053" t="s">
        <v>1100</v>
      </c>
      <c r="K1053">
        <v>78</v>
      </c>
      <c r="L1053" t="s">
        <v>8863</v>
      </c>
      <c r="M1053" t="s">
        <v>8864</v>
      </c>
      <c r="N1053" t="s">
        <v>8865</v>
      </c>
      <c r="O1053" t="s">
        <v>8847</v>
      </c>
      <c r="P1053" t="s">
        <v>8866</v>
      </c>
      <c r="Q1053" t="s">
        <v>8867</v>
      </c>
      <c r="R1053" t="s">
        <v>8868</v>
      </c>
      <c r="S1053" s="2">
        <v>44827</v>
      </c>
      <c r="T1053" t="s">
        <v>8869</v>
      </c>
      <c r="U1053" t="s">
        <v>8870</v>
      </c>
      <c r="V1053">
        <v>1</v>
      </c>
      <c r="W1053">
        <v>11</v>
      </c>
      <c r="X1053">
        <v>211000</v>
      </c>
      <c r="Y1053" t="s">
        <v>915</v>
      </c>
      <c r="Z1053" t="s">
        <v>8867</v>
      </c>
      <c r="AA1053" t="s">
        <v>8852</v>
      </c>
      <c r="AB1053" t="s">
        <v>45</v>
      </c>
      <c r="AC1053" t="s">
        <v>8853</v>
      </c>
    </row>
    <row r="1054" spans="1:29">
      <c r="A1054" t="s">
        <v>4636</v>
      </c>
      <c r="B1054" s="1">
        <v>104996</v>
      </c>
      <c r="C1054" t="s">
        <v>226</v>
      </c>
      <c r="D1054" t="s">
        <v>31</v>
      </c>
      <c r="E1054" s="1">
        <v>-7694</v>
      </c>
      <c r="F1054" t="s">
        <v>1211</v>
      </c>
      <c r="G1054" t="s">
        <v>8709</v>
      </c>
      <c r="H1054" t="s">
        <v>8871</v>
      </c>
      <c r="I1054">
        <v>4</v>
      </c>
      <c r="J1054" t="s">
        <v>4008</v>
      </c>
      <c r="K1054">
        <v>78</v>
      </c>
      <c r="L1054" t="s">
        <v>8872</v>
      </c>
      <c r="M1054" t="s">
        <v>8873</v>
      </c>
      <c r="N1054" t="s">
        <v>8874</v>
      </c>
      <c r="O1054" t="s">
        <v>8847</v>
      </c>
      <c r="P1054" t="s">
        <v>8875</v>
      </c>
      <c r="Q1054" t="s">
        <v>8876</v>
      </c>
      <c r="R1054" t="s">
        <v>8877</v>
      </c>
      <c r="S1054" s="2">
        <v>43679</v>
      </c>
      <c r="T1054" t="s">
        <v>3736</v>
      </c>
      <c r="U1054" t="s">
        <v>8878</v>
      </c>
      <c r="V1054">
        <v>1</v>
      </c>
      <c r="W1054">
        <v>1</v>
      </c>
      <c r="X1054">
        <v>260520</v>
      </c>
      <c r="Y1054" t="s">
        <v>2063</v>
      </c>
      <c r="Z1054" t="s">
        <v>8876</v>
      </c>
      <c r="AA1054" t="s">
        <v>8852</v>
      </c>
      <c r="AB1054" t="s">
        <v>45</v>
      </c>
      <c r="AC1054" t="s">
        <v>8853</v>
      </c>
    </row>
    <row r="1055" spans="1:29">
      <c r="A1055" t="s">
        <v>930</v>
      </c>
      <c r="B1055" t="s">
        <v>8879</v>
      </c>
      <c r="C1055" t="s">
        <v>3095</v>
      </c>
      <c r="D1055" t="s">
        <v>31</v>
      </c>
      <c r="E1055" s="1">
        <v>-8673</v>
      </c>
      <c r="F1055" t="s">
        <v>1211</v>
      </c>
      <c r="G1055" t="s">
        <v>2972</v>
      </c>
      <c r="H1055" t="s">
        <v>8880</v>
      </c>
      <c r="I1055">
        <v>4</v>
      </c>
      <c r="J1055" t="s">
        <v>8881</v>
      </c>
      <c r="K1055">
        <v>76</v>
      </c>
      <c r="L1055" t="s">
        <v>8882</v>
      </c>
      <c r="M1055" t="s">
        <v>8883</v>
      </c>
      <c r="N1055" t="s">
        <v>8884</v>
      </c>
      <c r="O1055" t="s">
        <v>8847</v>
      </c>
      <c r="P1055" t="s">
        <v>8885</v>
      </c>
      <c r="Q1055" t="s">
        <v>8886</v>
      </c>
      <c r="R1055" t="s">
        <v>8884</v>
      </c>
      <c r="S1055" s="2">
        <v>45097</v>
      </c>
      <c r="T1055" t="s">
        <v>135</v>
      </c>
      <c r="U1055" t="s">
        <v>8887</v>
      </c>
      <c r="V1055">
        <v>1</v>
      </c>
      <c r="W1055">
        <v>11</v>
      </c>
      <c r="X1055">
        <v>224726</v>
      </c>
      <c r="Y1055" t="s">
        <v>202</v>
      </c>
      <c r="Z1055" t="s">
        <v>8886</v>
      </c>
      <c r="AA1055" t="s">
        <v>8852</v>
      </c>
      <c r="AB1055" t="s">
        <v>45</v>
      </c>
      <c r="AC1055" t="s">
        <v>8853</v>
      </c>
    </row>
    <row r="1056" spans="1:29">
      <c r="A1056" t="s">
        <v>1492</v>
      </c>
      <c r="B1056" s="1">
        <v>75515</v>
      </c>
      <c r="C1056" t="s">
        <v>1049</v>
      </c>
      <c r="D1056" t="s">
        <v>31</v>
      </c>
      <c r="E1056" s="1">
        <v>-10469</v>
      </c>
      <c r="F1056" t="s">
        <v>1800</v>
      </c>
      <c r="G1056" t="s">
        <v>30</v>
      </c>
      <c r="H1056" t="s">
        <v>8888</v>
      </c>
      <c r="I1056">
        <v>4</v>
      </c>
      <c r="J1056" t="s">
        <v>8889</v>
      </c>
      <c r="K1056">
        <v>80</v>
      </c>
      <c r="L1056" t="s">
        <v>8890</v>
      </c>
      <c r="M1056" t="s">
        <v>8891</v>
      </c>
      <c r="N1056" t="s">
        <v>8892</v>
      </c>
      <c r="O1056" t="s">
        <v>8847</v>
      </c>
      <c r="P1056" t="s">
        <v>8893</v>
      </c>
      <c r="Q1056" t="s">
        <v>8894</v>
      </c>
      <c r="R1056" t="s">
        <v>8895</v>
      </c>
      <c r="S1056" s="2">
        <v>42860</v>
      </c>
      <c r="T1056" t="s">
        <v>8896</v>
      </c>
      <c r="U1056" t="s">
        <v>8897</v>
      </c>
      <c r="V1056">
        <v>0</v>
      </c>
      <c r="W1056">
        <v>5</v>
      </c>
      <c r="X1056">
        <v>182307</v>
      </c>
      <c r="Y1056" t="s">
        <v>2261</v>
      </c>
      <c r="Z1056" t="s">
        <v>8894</v>
      </c>
      <c r="AA1056" t="s">
        <v>8852</v>
      </c>
      <c r="AB1056" t="s">
        <v>45</v>
      </c>
      <c r="AC1056" t="s">
        <v>8853</v>
      </c>
    </row>
    <row r="1057" spans="1:29">
      <c r="A1057" t="s">
        <v>7792</v>
      </c>
      <c r="B1057" s="1">
        <v>129989</v>
      </c>
      <c r="C1057" t="s">
        <v>2401</v>
      </c>
      <c r="D1057" t="s">
        <v>31</v>
      </c>
      <c r="E1057" s="1">
        <v>-25203</v>
      </c>
      <c r="F1057" t="s">
        <v>1596</v>
      </c>
      <c r="G1057" t="s">
        <v>1264</v>
      </c>
      <c r="H1057" t="s">
        <v>8898</v>
      </c>
      <c r="I1057">
        <v>4</v>
      </c>
      <c r="J1057" t="s">
        <v>7459</v>
      </c>
      <c r="K1057">
        <v>73</v>
      </c>
      <c r="L1057" t="s">
        <v>8899</v>
      </c>
      <c r="M1057" t="s">
        <v>8900</v>
      </c>
      <c r="N1057" t="s">
        <v>8901</v>
      </c>
      <c r="O1057" t="s">
        <v>8847</v>
      </c>
      <c r="P1057" t="s">
        <v>8902</v>
      </c>
      <c r="Q1057" t="s">
        <v>8903</v>
      </c>
      <c r="R1057" t="s">
        <v>8904</v>
      </c>
      <c r="S1057" s="2">
        <v>44778</v>
      </c>
      <c r="T1057" t="s">
        <v>7081</v>
      </c>
      <c r="U1057" t="s">
        <v>8905</v>
      </c>
      <c r="V1057">
        <v>1</v>
      </c>
      <c r="W1057">
        <v>7</v>
      </c>
      <c r="X1057">
        <v>98750</v>
      </c>
      <c r="Y1057" t="s">
        <v>8906</v>
      </c>
      <c r="Z1057" t="s">
        <v>8903</v>
      </c>
      <c r="AA1057" t="s">
        <v>8852</v>
      </c>
      <c r="AB1057" t="s">
        <v>45</v>
      </c>
      <c r="AC1057" t="s">
        <v>8853</v>
      </c>
    </row>
    <row r="1058" spans="1:29">
      <c r="A1058" t="s">
        <v>2231</v>
      </c>
      <c r="B1058" s="1">
        <v>87057</v>
      </c>
      <c r="C1058" t="s">
        <v>2610</v>
      </c>
      <c r="D1058" t="s">
        <v>31</v>
      </c>
      <c r="E1058" s="1">
        <v>-9424</v>
      </c>
      <c r="F1058" t="s">
        <v>1528</v>
      </c>
      <c r="G1058" t="s">
        <v>1762</v>
      </c>
      <c r="H1058" t="s">
        <v>3678</v>
      </c>
      <c r="I1058">
        <v>4</v>
      </c>
      <c r="J1058" t="s">
        <v>788</v>
      </c>
      <c r="K1058">
        <v>71</v>
      </c>
      <c r="L1058" t="s">
        <v>3679</v>
      </c>
      <c r="M1058" t="s">
        <v>3680</v>
      </c>
      <c r="N1058" t="s">
        <v>3681</v>
      </c>
      <c r="O1058" t="s">
        <v>8847</v>
      </c>
      <c r="P1058" t="s">
        <v>3682</v>
      </c>
      <c r="Q1058" t="s">
        <v>3683</v>
      </c>
      <c r="R1058" t="s">
        <v>3684</v>
      </c>
      <c r="S1058" s="2">
        <v>43630</v>
      </c>
      <c r="T1058" t="s">
        <v>2388</v>
      </c>
      <c r="U1058" t="s">
        <v>3685</v>
      </c>
      <c r="V1058">
        <v>1</v>
      </c>
      <c r="W1058">
        <v>2</v>
      </c>
      <c r="X1058">
        <v>126120</v>
      </c>
      <c r="Y1058" t="s">
        <v>1618</v>
      </c>
      <c r="Z1058" t="s">
        <v>3683</v>
      </c>
      <c r="AA1058" t="s">
        <v>8852</v>
      </c>
      <c r="AB1058" t="s">
        <v>45</v>
      </c>
      <c r="AC1058" t="s">
        <v>8853</v>
      </c>
    </row>
    <row r="1059" spans="1:29">
      <c r="A1059" t="s">
        <v>3481</v>
      </c>
      <c r="B1059" s="1">
        <v>102331</v>
      </c>
      <c r="C1059" t="s">
        <v>3312</v>
      </c>
      <c r="D1059" t="s">
        <v>31</v>
      </c>
      <c r="E1059" s="1">
        <v>-7576</v>
      </c>
      <c r="F1059" t="s">
        <v>1937</v>
      </c>
      <c r="G1059" t="s">
        <v>985</v>
      </c>
      <c r="H1059" t="s">
        <v>8871</v>
      </c>
      <c r="I1059">
        <v>4</v>
      </c>
      <c r="J1059" t="s">
        <v>323</v>
      </c>
      <c r="K1059">
        <v>73</v>
      </c>
      <c r="L1059" t="s">
        <v>8907</v>
      </c>
      <c r="M1059" t="s">
        <v>8908</v>
      </c>
      <c r="N1059" t="s">
        <v>8909</v>
      </c>
      <c r="O1059" t="s">
        <v>8847</v>
      </c>
      <c r="P1059" t="s">
        <v>8910</v>
      </c>
      <c r="Q1059" t="s">
        <v>8911</v>
      </c>
      <c r="R1059" t="s">
        <v>8909</v>
      </c>
      <c r="S1059" s="2">
        <v>43217</v>
      </c>
      <c r="T1059" t="s">
        <v>8912</v>
      </c>
      <c r="U1059" t="s">
        <v>8913</v>
      </c>
      <c r="V1059">
        <v>0</v>
      </c>
      <c r="W1059">
        <v>9</v>
      </c>
      <c r="X1059">
        <v>159595</v>
      </c>
      <c r="Y1059" t="s">
        <v>5255</v>
      </c>
      <c r="Z1059" t="s">
        <v>8911</v>
      </c>
      <c r="AA1059" t="s">
        <v>8852</v>
      </c>
      <c r="AB1059" t="s">
        <v>45</v>
      </c>
      <c r="AC1059" t="s">
        <v>8853</v>
      </c>
    </row>
    <row r="1060" spans="1:29">
      <c r="A1060" t="s">
        <v>2060</v>
      </c>
      <c r="B1060" s="1">
        <v>71123</v>
      </c>
      <c r="C1060" t="s">
        <v>202</v>
      </c>
      <c r="D1060" t="s">
        <v>31</v>
      </c>
      <c r="E1060" s="1">
        <v>-8839</v>
      </c>
      <c r="F1060" t="s">
        <v>75</v>
      </c>
      <c r="G1060" t="s">
        <v>5370</v>
      </c>
      <c r="H1060" t="s">
        <v>8914</v>
      </c>
      <c r="I1060">
        <v>4</v>
      </c>
      <c r="J1060" t="s">
        <v>4008</v>
      </c>
      <c r="K1060">
        <v>71</v>
      </c>
      <c r="L1060" t="s">
        <v>8915</v>
      </c>
      <c r="M1060" t="s">
        <v>8916</v>
      </c>
      <c r="N1060" t="s">
        <v>8917</v>
      </c>
      <c r="O1060" t="s">
        <v>8847</v>
      </c>
      <c r="P1060" t="s">
        <v>8918</v>
      </c>
      <c r="Q1060" t="s">
        <v>8919</v>
      </c>
      <c r="R1060" t="s">
        <v>8920</v>
      </c>
      <c r="S1060" s="2">
        <v>44372</v>
      </c>
      <c r="T1060" t="s">
        <v>3566</v>
      </c>
      <c r="U1060" t="s">
        <v>8921</v>
      </c>
      <c r="V1060">
        <v>1</v>
      </c>
      <c r="W1060">
        <v>9</v>
      </c>
      <c r="X1060">
        <v>224680</v>
      </c>
      <c r="Y1060" t="s">
        <v>321</v>
      </c>
      <c r="Z1060" t="s">
        <v>8919</v>
      </c>
      <c r="AA1060" t="s">
        <v>8852</v>
      </c>
      <c r="AB1060" t="s">
        <v>45</v>
      </c>
      <c r="AC1060" t="s">
        <v>8853</v>
      </c>
    </row>
    <row r="1061" spans="1:29">
      <c r="A1061" t="s">
        <v>1374</v>
      </c>
      <c r="B1061" s="1">
        <v>155901</v>
      </c>
      <c r="C1061" t="s">
        <v>6019</v>
      </c>
      <c r="D1061" t="s">
        <v>31</v>
      </c>
      <c r="E1061" s="1">
        <v>-14323</v>
      </c>
      <c r="F1061" t="s">
        <v>79</v>
      </c>
      <c r="G1061" t="s">
        <v>349</v>
      </c>
      <c r="H1061" t="s">
        <v>8922</v>
      </c>
      <c r="I1061">
        <v>4</v>
      </c>
      <c r="J1061" t="s">
        <v>1075</v>
      </c>
      <c r="K1061">
        <v>73</v>
      </c>
      <c r="L1061" t="s">
        <v>8923</v>
      </c>
      <c r="M1061" t="s">
        <v>8924</v>
      </c>
      <c r="N1061" t="s">
        <v>8925</v>
      </c>
      <c r="O1061" t="s">
        <v>8847</v>
      </c>
      <c r="P1061" t="s">
        <v>8926</v>
      </c>
      <c r="Q1061" t="s">
        <v>8927</v>
      </c>
      <c r="R1061" t="s">
        <v>8925</v>
      </c>
      <c r="S1061" s="2">
        <v>43161</v>
      </c>
      <c r="T1061" t="s">
        <v>8928</v>
      </c>
      <c r="U1061" t="s">
        <v>8929</v>
      </c>
      <c r="V1061">
        <v>1</v>
      </c>
      <c r="W1061">
        <v>7</v>
      </c>
      <c r="X1061">
        <v>204991</v>
      </c>
      <c r="Y1061" t="s">
        <v>2078</v>
      </c>
      <c r="Z1061" t="s">
        <v>8927</v>
      </c>
      <c r="AA1061" t="s">
        <v>8852</v>
      </c>
      <c r="AB1061" t="s">
        <v>45</v>
      </c>
      <c r="AC1061" t="s">
        <v>8853</v>
      </c>
    </row>
    <row r="1062" spans="1:29">
      <c r="A1062" t="s">
        <v>1443</v>
      </c>
      <c r="B1062" s="1">
        <v>105143</v>
      </c>
      <c r="C1062" t="s">
        <v>3115</v>
      </c>
      <c r="D1062" t="s">
        <v>667</v>
      </c>
      <c r="E1062" t="s">
        <v>6566</v>
      </c>
      <c r="F1062" t="s">
        <v>1980</v>
      </c>
      <c r="G1062" t="s">
        <v>1958</v>
      </c>
      <c r="H1062" t="s">
        <v>644</v>
      </c>
      <c r="I1062">
        <v>4</v>
      </c>
      <c r="J1062" t="s">
        <v>172</v>
      </c>
      <c r="K1062">
        <v>88</v>
      </c>
      <c r="L1062" t="s">
        <v>6567</v>
      </c>
      <c r="M1062" t="s">
        <v>6568</v>
      </c>
      <c r="N1062" t="s">
        <v>6569</v>
      </c>
      <c r="O1062" t="s">
        <v>8930</v>
      </c>
      <c r="P1062" t="s">
        <v>6570</v>
      </c>
      <c r="Q1062" t="s">
        <v>6571</v>
      </c>
      <c r="R1062" t="s">
        <v>6572</v>
      </c>
      <c r="S1062">
        <v>2000</v>
      </c>
      <c r="T1062">
        <v>0</v>
      </c>
      <c r="U1062" t="s">
        <v>6573</v>
      </c>
      <c r="V1062">
        <v>0</v>
      </c>
      <c r="W1062">
        <v>3</v>
      </c>
      <c r="X1062">
        <v>216880</v>
      </c>
      <c r="Y1062" t="s">
        <v>5912</v>
      </c>
      <c r="Z1062" t="s">
        <v>6571</v>
      </c>
      <c r="AA1062" t="s">
        <v>8931</v>
      </c>
      <c r="AB1062" t="s">
        <v>45</v>
      </c>
      <c r="AC1062" t="s">
        <v>8932</v>
      </c>
    </row>
    <row r="1063" spans="1:29">
      <c r="A1063" t="s">
        <v>642</v>
      </c>
      <c r="B1063" s="1">
        <v>184115</v>
      </c>
      <c r="C1063" t="s">
        <v>643</v>
      </c>
      <c r="D1063" t="s">
        <v>667</v>
      </c>
      <c r="E1063" s="1">
        <v>-3344</v>
      </c>
      <c r="F1063" t="s">
        <v>211</v>
      </c>
      <c r="G1063" t="s">
        <v>199</v>
      </c>
      <c r="H1063" t="s">
        <v>644</v>
      </c>
      <c r="I1063">
        <v>4</v>
      </c>
      <c r="J1063" t="s">
        <v>645</v>
      </c>
      <c r="K1063">
        <v>89</v>
      </c>
      <c r="L1063" t="s">
        <v>646</v>
      </c>
      <c r="M1063" t="s">
        <v>647</v>
      </c>
      <c r="N1063" t="s">
        <v>648</v>
      </c>
      <c r="O1063" t="s">
        <v>8930</v>
      </c>
      <c r="P1063" t="s">
        <v>649</v>
      </c>
      <c r="Q1063" t="s">
        <v>650</v>
      </c>
      <c r="R1063" t="s">
        <v>648</v>
      </c>
      <c r="S1063" s="2">
        <v>45540</v>
      </c>
      <c r="T1063">
        <v>0</v>
      </c>
      <c r="U1063" t="s">
        <v>651</v>
      </c>
      <c r="V1063">
        <v>1</v>
      </c>
      <c r="W1063">
        <v>7</v>
      </c>
      <c r="X1063">
        <v>190428</v>
      </c>
      <c r="Y1063" t="s">
        <v>652</v>
      </c>
      <c r="Z1063" t="s">
        <v>650</v>
      </c>
      <c r="AA1063" t="s">
        <v>8931</v>
      </c>
      <c r="AB1063" t="s">
        <v>45</v>
      </c>
      <c r="AC1063" t="s">
        <v>8932</v>
      </c>
    </row>
    <row r="1064" spans="1:29">
      <c r="A1064" t="s">
        <v>391</v>
      </c>
      <c r="B1064" s="1">
        <v>117038</v>
      </c>
      <c r="C1064" t="s">
        <v>392</v>
      </c>
      <c r="D1064" t="s">
        <v>667</v>
      </c>
      <c r="E1064" s="1">
        <v>-5505</v>
      </c>
      <c r="F1064" t="s">
        <v>393</v>
      </c>
      <c r="G1064" t="s">
        <v>394</v>
      </c>
      <c r="H1064" t="s">
        <v>395</v>
      </c>
      <c r="I1064">
        <v>4</v>
      </c>
      <c r="J1064" t="s">
        <v>396</v>
      </c>
      <c r="K1064">
        <v>79</v>
      </c>
      <c r="L1064" t="s">
        <v>3538</v>
      </c>
      <c r="M1064" t="s">
        <v>3539</v>
      </c>
      <c r="N1064" t="s">
        <v>399</v>
      </c>
      <c r="O1064" t="s">
        <v>8930</v>
      </c>
      <c r="P1064" t="s">
        <v>3540</v>
      </c>
      <c r="Q1064" t="s">
        <v>3541</v>
      </c>
      <c r="R1064" t="s">
        <v>402</v>
      </c>
      <c r="S1064" s="2">
        <v>45373</v>
      </c>
      <c r="T1064" t="s">
        <v>403</v>
      </c>
      <c r="U1064" t="s">
        <v>3542</v>
      </c>
      <c r="V1064">
        <v>1</v>
      </c>
      <c r="W1064">
        <v>10</v>
      </c>
      <c r="X1064">
        <v>251424</v>
      </c>
      <c r="Y1064" t="s">
        <v>405</v>
      </c>
      <c r="Z1064" t="s">
        <v>3541</v>
      </c>
      <c r="AA1064" t="s">
        <v>8931</v>
      </c>
      <c r="AB1064" t="s">
        <v>45</v>
      </c>
      <c r="AC1064" t="s">
        <v>8932</v>
      </c>
    </row>
    <row r="1065" spans="1:29">
      <c r="A1065" t="s">
        <v>1655</v>
      </c>
      <c r="B1065" s="1">
        <v>107849</v>
      </c>
      <c r="C1065" t="s">
        <v>3132</v>
      </c>
      <c r="D1065" t="s">
        <v>667</v>
      </c>
      <c r="E1065" s="1">
        <v>-5477</v>
      </c>
      <c r="F1065" t="s">
        <v>8933</v>
      </c>
      <c r="G1065" t="s">
        <v>1618</v>
      </c>
      <c r="H1065" t="s">
        <v>8934</v>
      </c>
      <c r="I1065">
        <v>4</v>
      </c>
      <c r="J1065" t="s">
        <v>788</v>
      </c>
      <c r="K1065">
        <v>77</v>
      </c>
      <c r="L1065" t="s">
        <v>8935</v>
      </c>
      <c r="M1065" t="s">
        <v>8936</v>
      </c>
      <c r="N1065" t="s">
        <v>8934</v>
      </c>
      <c r="O1065" t="s">
        <v>8930</v>
      </c>
      <c r="P1065" t="s">
        <v>8937</v>
      </c>
      <c r="Q1065" t="s">
        <v>8938</v>
      </c>
      <c r="R1065" t="s">
        <v>8939</v>
      </c>
      <c r="S1065" s="2">
        <v>37577</v>
      </c>
      <c r="T1065">
        <v>0</v>
      </c>
      <c r="U1065" t="s">
        <v>8940</v>
      </c>
      <c r="V1065">
        <v>0</v>
      </c>
      <c r="W1065">
        <v>7</v>
      </c>
      <c r="X1065">
        <v>293960</v>
      </c>
      <c r="Y1065" t="s">
        <v>8941</v>
      </c>
      <c r="Z1065" t="s">
        <v>8938</v>
      </c>
      <c r="AA1065" t="s">
        <v>8931</v>
      </c>
      <c r="AB1065" t="s">
        <v>45</v>
      </c>
      <c r="AC1065" t="s">
        <v>8932</v>
      </c>
    </row>
    <row r="1066" spans="1:29">
      <c r="A1066" t="s">
        <v>902</v>
      </c>
      <c r="B1066" t="s">
        <v>8942</v>
      </c>
      <c r="C1066" t="s">
        <v>1346</v>
      </c>
      <c r="D1066" t="s">
        <v>667</v>
      </c>
      <c r="E1066" s="1">
        <v>-7596</v>
      </c>
      <c r="F1066" t="s">
        <v>686</v>
      </c>
      <c r="G1066" t="s">
        <v>947</v>
      </c>
      <c r="H1066" t="s">
        <v>3458</v>
      </c>
      <c r="I1066">
        <v>4</v>
      </c>
      <c r="J1066" t="s">
        <v>1269</v>
      </c>
      <c r="K1066">
        <v>84</v>
      </c>
      <c r="L1066" t="s">
        <v>8943</v>
      </c>
      <c r="M1066" t="s">
        <v>8944</v>
      </c>
      <c r="N1066" t="s">
        <v>6449</v>
      </c>
      <c r="O1066" t="s">
        <v>8930</v>
      </c>
      <c r="P1066" t="s">
        <v>8945</v>
      </c>
      <c r="Q1066" t="s">
        <v>8946</v>
      </c>
      <c r="R1066" t="s">
        <v>8947</v>
      </c>
      <c r="S1066" s="2">
        <v>41526</v>
      </c>
      <c r="T1066" t="s">
        <v>8948</v>
      </c>
      <c r="U1066" t="s">
        <v>6454</v>
      </c>
      <c r="V1066">
        <v>1</v>
      </c>
      <c r="W1066">
        <v>5</v>
      </c>
      <c r="X1066">
        <v>272394</v>
      </c>
      <c r="Y1066" t="s">
        <v>1908</v>
      </c>
      <c r="Z1066" t="s">
        <v>8946</v>
      </c>
      <c r="AA1066" t="s">
        <v>8931</v>
      </c>
      <c r="AB1066" t="s">
        <v>45</v>
      </c>
      <c r="AC1066" t="s">
        <v>8932</v>
      </c>
    </row>
    <row r="1067" spans="1:29">
      <c r="A1067" t="s">
        <v>742</v>
      </c>
      <c r="B1067" s="1">
        <v>96483</v>
      </c>
      <c r="C1067" t="s">
        <v>29</v>
      </c>
      <c r="D1067" t="s">
        <v>667</v>
      </c>
      <c r="E1067" s="1">
        <v>-2788</v>
      </c>
      <c r="F1067" t="s">
        <v>743</v>
      </c>
      <c r="G1067" t="s">
        <v>744</v>
      </c>
      <c r="H1067" t="s">
        <v>745</v>
      </c>
      <c r="I1067">
        <v>4</v>
      </c>
      <c r="J1067" t="s">
        <v>671</v>
      </c>
      <c r="K1067">
        <v>81</v>
      </c>
      <c r="L1067" t="s">
        <v>746</v>
      </c>
      <c r="M1067" t="s">
        <v>747</v>
      </c>
      <c r="N1067" t="s">
        <v>748</v>
      </c>
      <c r="O1067" t="s">
        <v>8930</v>
      </c>
      <c r="P1067" t="s">
        <v>749</v>
      </c>
      <c r="Q1067" t="s">
        <v>750</v>
      </c>
      <c r="R1067" t="s">
        <v>751</v>
      </c>
      <c r="S1067" s="2">
        <v>36319</v>
      </c>
      <c r="T1067" t="s">
        <v>752</v>
      </c>
      <c r="U1067" t="s">
        <v>753</v>
      </c>
      <c r="V1067">
        <v>0</v>
      </c>
      <c r="W1067">
        <v>9</v>
      </c>
      <c r="X1067">
        <v>329733</v>
      </c>
      <c r="Y1067" t="s">
        <v>754</v>
      </c>
      <c r="Z1067" t="s">
        <v>750</v>
      </c>
      <c r="AA1067" t="s">
        <v>8931</v>
      </c>
      <c r="AB1067" t="s">
        <v>45</v>
      </c>
      <c r="AC1067" t="s">
        <v>8932</v>
      </c>
    </row>
    <row r="1068" spans="1:29">
      <c r="A1068" t="s">
        <v>4222</v>
      </c>
      <c r="B1068" s="1">
        <v>155925</v>
      </c>
      <c r="C1068" t="s">
        <v>2437</v>
      </c>
      <c r="D1068" t="s">
        <v>667</v>
      </c>
      <c r="E1068" s="1">
        <v>-8072</v>
      </c>
      <c r="F1068" t="s">
        <v>6556</v>
      </c>
      <c r="G1068" t="s">
        <v>2753</v>
      </c>
      <c r="H1068" t="s">
        <v>6557</v>
      </c>
      <c r="I1068">
        <v>3</v>
      </c>
      <c r="J1068" t="s">
        <v>6558</v>
      </c>
      <c r="K1068">
        <v>87</v>
      </c>
      <c r="L1068" t="s">
        <v>6559</v>
      </c>
      <c r="M1068" t="s">
        <v>6560</v>
      </c>
      <c r="N1068" t="s">
        <v>6561</v>
      </c>
      <c r="O1068" t="s">
        <v>8930</v>
      </c>
      <c r="P1068" t="s">
        <v>6562</v>
      </c>
      <c r="Q1068" t="s">
        <v>6563</v>
      </c>
      <c r="R1068" t="s">
        <v>6564</v>
      </c>
      <c r="S1068">
        <v>1998</v>
      </c>
      <c r="T1068" t="s">
        <v>4289</v>
      </c>
      <c r="U1068" t="s">
        <v>6565</v>
      </c>
      <c r="V1068">
        <v>0</v>
      </c>
      <c r="W1068">
        <v>11</v>
      </c>
      <c r="X1068">
        <v>289533</v>
      </c>
      <c r="Y1068" t="s">
        <v>1522</v>
      </c>
      <c r="Z1068" t="s">
        <v>6563</v>
      </c>
      <c r="AA1068" t="s">
        <v>8931</v>
      </c>
      <c r="AB1068" t="s">
        <v>45</v>
      </c>
      <c r="AC1068" t="s">
        <v>8932</v>
      </c>
    </row>
    <row r="1069" spans="1:29">
      <c r="A1069" t="s">
        <v>2683</v>
      </c>
      <c r="B1069" s="1">
        <v>74989</v>
      </c>
      <c r="C1069" t="s">
        <v>461</v>
      </c>
      <c r="D1069" t="s">
        <v>667</v>
      </c>
      <c r="E1069" s="1">
        <v>-5355</v>
      </c>
      <c r="F1069" t="s">
        <v>2099</v>
      </c>
      <c r="G1069" t="s">
        <v>1750</v>
      </c>
      <c r="H1069" t="s">
        <v>8949</v>
      </c>
      <c r="I1069">
        <v>4</v>
      </c>
      <c r="J1069" t="s">
        <v>1470</v>
      </c>
      <c r="K1069">
        <v>80</v>
      </c>
      <c r="L1069" t="s">
        <v>8950</v>
      </c>
      <c r="M1069" t="s">
        <v>8951</v>
      </c>
      <c r="N1069" t="s">
        <v>8952</v>
      </c>
      <c r="O1069" t="s">
        <v>8930</v>
      </c>
      <c r="P1069" t="s">
        <v>8953</v>
      </c>
      <c r="Q1069" t="s">
        <v>8954</v>
      </c>
      <c r="R1069" t="s">
        <v>8955</v>
      </c>
      <c r="S1069" s="2">
        <v>42139</v>
      </c>
      <c r="T1069">
        <v>0</v>
      </c>
      <c r="U1069" t="s">
        <v>8956</v>
      </c>
      <c r="V1069">
        <v>1</v>
      </c>
      <c r="W1069">
        <v>6</v>
      </c>
      <c r="X1069">
        <v>214507</v>
      </c>
      <c r="Y1069" t="s">
        <v>8957</v>
      </c>
      <c r="Z1069" t="s">
        <v>8954</v>
      </c>
      <c r="AA1069" t="s">
        <v>8931</v>
      </c>
      <c r="AB1069" t="s">
        <v>45</v>
      </c>
      <c r="AC1069" t="s">
        <v>8932</v>
      </c>
    </row>
    <row r="1070" spans="1:29">
      <c r="A1070" t="s">
        <v>770</v>
      </c>
      <c r="B1070" s="1">
        <v>123229</v>
      </c>
      <c r="C1070" t="s">
        <v>880</v>
      </c>
      <c r="D1070" t="s">
        <v>667</v>
      </c>
      <c r="E1070" s="1">
        <v>-3265</v>
      </c>
      <c r="F1070" t="s">
        <v>8958</v>
      </c>
      <c r="G1070" t="s">
        <v>2661</v>
      </c>
      <c r="H1070" t="s">
        <v>745</v>
      </c>
      <c r="I1070">
        <v>4</v>
      </c>
      <c r="J1070" t="s">
        <v>905</v>
      </c>
      <c r="K1070">
        <v>81</v>
      </c>
      <c r="L1070" t="s">
        <v>8959</v>
      </c>
      <c r="M1070" t="s">
        <v>8960</v>
      </c>
      <c r="N1070" t="s">
        <v>748</v>
      </c>
      <c r="O1070" t="s">
        <v>8930</v>
      </c>
      <c r="P1070" t="s">
        <v>8961</v>
      </c>
      <c r="Q1070" t="s">
        <v>8962</v>
      </c>
      <c r="R1070" t="s">
        <v>8963</v>
      </c>
      <c r="S1070" s="2">
        <v>36319</v>
      </c>
      <c r="T1070" t="s">
        <v>1225</v>
      </c>
      <c r="U1070" t="s">
        <v>753</v>
      </c>
      <c r="V1070">
        <v>1</v>
      </c>
      <c r="W1070">
        <v>0</v>
      </c>
      <c r="X1070">
        <v>255373</v>
      </c>
      <c r="Y1070" t="s">
        <v>8964</v>
      </c>
      <c r="Z1070" t="s">
        <v>8962</v>
      </c>
      <c r="AA1070" t="s">
        <v>8931</v>
      </c>
      <c r="AB1070" t="s">
        <v>45</v>
      </c>
      <c r="AC1070" t="s">
        <v>8932</v>
      </c>
    </row>
    <row r="1071" spans="1:29">
      <c r="A1071" t="s">
        <v>5527</v>
      </c>
      <c r="B1071" s="1">
        <v>120092</v>
      </c>
      <c r="C1071" t="s">
        <v>3094</v>
      </c>
      <c r="D1071" t="s">
        <v>667</v>
      </c>
      <c r="E1071" s="1">
        <v>-4882</v>
      </c>
      <c r="F1071" t="s">
        <v>1252</v>
      </c>
      <c r="G1071" t="s">
        <v>3643</v>
      </c>
      <c r="H1071" t="s">
        <v>644</v>
      </c>
      <c r="I1071">
        <v>4</v>
      </c>
      <c r="J1071" t="s">
        <v>3134</v>
      </c>
      <c r="K1071">
        <v>81</v>
      </c>
      <c r="L1071" t="s">
        <v>8965</v>
      </c>
      <c r="M1071" t="s">
        <v>8966</v>
      </c>
      <c r="N1071" t="s">
        <v>8967</v>
      </c>
      <c r="O1071" t="s">
        <v>8930</v>
      </c>
      <c r="P1071" t="s">
        <v>8968</v>
      </c>
      <c r="Q1071" t="s">
        <v>8969</v>
      </c>
      <c r="R1071" t="s">
        <v>8970</v>
      </c>
      <c r="S1071" s="2">
        <v>39216</v>
      </c>
      <c r="T1071">
        <v>0</v>
      </c>
      <c r="U1071" t="s">
        <v>8971</v>
      </c>
      <c r="V1071">
        <v>1</v>
      </c>
      <c r="W1071">
        <v>5</v>
      </c>
      <c r="X1071">
        <v>205227</v>
      </c>
      <c r="Y1071" t="s">
        <v>8972</v>
      </c>
      <c r="Z1071" t="s">
        <v>8969</v>
      </c>
      <c r="AA1071" t="s">
        <v>8931</v>
      </c>
      <c r="AB1071" t="s">
        <v>45</v>
      </c>
      <c r="AC1071" t="s">
        <v>8932</v>
      </c>
    </row>
    <row r="1072" spans="1:29">
      <c r="A1072" t="s">
        <v>6756</v>
      </c>
      <c r="B1072" s="1">
        <v>164057</v>
      </c>
      <c r="C1072" t="s">
        <v>5846</v>
      </c>
      <c r="D1072" t="s">
        <v>667</v>
      </c>
      <c r="E1072" s="1">
        <v>-4219</v>
      </c>
      <c r="F1072" t="s">
        <v>366</v>
      </c>
      <c r="G1072" t="s">
        <v>491</v>
      </c>
      <c r="H1072" t="s">
        <v>8973</v>
      </c>
      <c r="I1072">
        <v>4</v>
      </c>
      <c r="J1072" t="s">
        <v>5474</v>
      </c>
      <c r="K1072">
        <v>71</v>
      </c>
      <c r="L1072" t="s">
        <v>8974</v>
      </c>
      <c r="M1072" t="s">
        <v>8975</v>
      </c>
      <c r="N1072" t="s">
        <v>8976</v>
      </c>
      <c r="O1072" t="s">
        <v>8930</v>
      </c>
      <c r="P1072" t="s">
        <v>8977</v>
      </c>
      <c r="Q1072" t="s">
        <v>8978</v>
      </c>
      <c r="R1072" t="s">
        <v>8976</v>
      </c>
      <c r="S1072" s="2">
        <v>39756</v>
      </c>
      <c r="T1072" t="s">
        <v>8979</v>
      </c>
      <c r="U1072" t="s">
        <v>8980</v>
      </c>
      <c r="V1072">
        <v>0</v>
      </c>
      <c r="W1072">
        <v>10</v>
      </c>
      <c r="X1072">
        <v>261960</v>
      </c>
      <c r="Y1072" t="s">
        <v>8981</v>
      </c>
      <c r="Z1072" t="s">
        <v>8978</v>
      </c>
      <c r="AA1072" t="s">
        <v>8931</v>
      </c>
      <c r="AB1072" t="s">
        <v>45</v>
      </c>
      <c r="AC1072" t="s">
        <v>8932</v>
      </c>
    </row>
    <row r="1073" spans="1:29">
      <c r="A1073" t="s">
        <v>8982</v>
      </c>
      <c r="B1073" s="1">
        <v>100016</v>
      </c>
      <c r="C1073" t="s">
        <v>1679</v>
      </c>
      <c r="D1073" t="s">
        <v>667</v>
      </c>
      <c r="E1073" s="1">
        <v>-4359</v>
      </c>
      <c r="F1073" t="s">
        <v>582</v>
      </c>
      <c r="G1073" t="s">
        <v>202</v>
      </c>
      <c r="H1073" t="s">
        <v>644</v>
      </c>
      <c r="I1073">
        <v>4</v>
      </c>
      <c r="J1073" t="s">
        <v>5593</v>
      </c>
      <c r="K1073">
        <v>74</v>
      </c>
      <c r="L1073" t="s">
        <v>8983</v>
      </c>
      <c r="M1073" t="s">
        <v>8984</v>
      </c>
      <c r="N1073" t="s">
        <v>8985</v>
      </c>
      <c r="O1073" t="s">
        <v>8930</v>
      </c>
      <c r="P1073" t="s">
        <v>8986</v>
      </c>
      <c r="Q1073" t="s">
        <v>8987</v>
      </c>
      <c r="R1073" t="s">
        <v>8988</v>
      </c>
      <c r="S1073" s="2">
        <v>37880</v>
      </c>
      <c r="T1073">
        <v>0</v>
      </c>
      <c r="U1073" t="s">
        <v>8989</v>
      </c>
      <c r="V1073">
        <v>0</v>
      </c>
      <c r="W1073">
        <v>4</v>
      </c>
      <c r="X1073">
        <v>196133</v>
      </c>
      <c r="Y1073" t="s">
        <v>2580</v>
      </c>
      <c r="Z1073" t="s">
        <v>8987</v>
      </c>
      <c r="AA1073" t="s">
        <v>8931</v>
      </c>
      <c r="AB1073" t="s">
        <v>45</v>
      </c>
      <c r="AC1073" t="s">
        <v>8932</v>
      </c>
    </row>
    <row r="1074" spans="1:29">
      <c r="A1074" t="s">
        <v>5539</v>
      </c>
      <c r="B1074" s="1">
        <v>119783</v>
      </c>
      <c r="C1074" t="s">
        <v>579</v>
      </c>
      <c r="D1074" t="s">
        <v>667</v>
      </c>
      <c r="E1074" s="1">
        <v>-5194</v>
      </c>
      <c r="F1074" t="s">
        <v>6212</v>
      </c>
      <c r="G1074" t="s">
        <v>2101</v>
      </c>
      <c r="H1074" t="s">
        <v>3472</v>
      </c>
      <c r="I1074">
        <v>4</v>
      </c>
      <c r="J1074" t="s">
        <v>2778</v>
      </c>
      <c r="K1074">
        <v>75</v>
      </c>
      <c r="L1074" t="s">
        <v>8990</v>
      </c>
      <c r="M1074" t="s">
        <v>8991</v>
      </c>
      <c r="N1074" t="s">
        <v>8992</v>
      </c>
      <c r="O1074" t="s">
        <v>8930</v>
      </c>
      <c r="P1074" t="s">
        <v>8993</v>
      </c>
      <c r="Q1074" t="s">
        <v>8994</v>
      </c>
      <c r="R1074" t="s">
        <v>7252</v>
      </c>
      <c r="S1074" s="2">
        <v>37740</v>
      </c>
      <c r="T1074" t="s">
        <v>2403</v>
      </c>
      <c r="U1074" t="s">
        <v>8995</v>
      </c>
      <c r="V1074">
        <v>1</v>
      </c>
      <c r="W1074">
        <v>7</v>
      </c>
      <c r="X1074">
        <v>219987</v>
      </c>
      <c r="Y1074" t="s">
        <v>8996</v>
      </c>
      <c r="Z1074" t="s">
        <v>8994</v>
      </c>
      <c r="AA1074" t="s">
        <v>8931</v>
      </c>
      <c r="AB1074" t="s">
        <v>45</v>
      </c>
      <c r="AC1074" t="s">
        <v>8932</v>
      </c>
    </row>
    <row r="1075" spans="1:29">
      <c r="A1075" t="s">
        <v>5247</v>
      </c>
      <c r="B1075" s="1">
        <v>110006</v>
      </c>
      <c r="C1075" t="s">
        <v>3481</v>
      </c>
      <c r="D1075" t="s">
        <v>667</v>
      </c>
      <c r="E1075" t="s">
        <v>8997</v>
      </c>
      <c r="F1075" t="s">
        <v>553</v>
      </c>
      <c r="G1075" t="s">
        <v>3481</v>
      </c>
      <c r="H1075" t="s">
        <v>644</v>
      </c>
      <c r="I1075">
        <v>4</v>
      </c>
      <c r="J1075" t="s">
        <v>8998</v>
      </c>
      <c r="K1075">
        <v>76</v>
      </c>
      <c r="L1075" t="s">
        <v>8999</v>
      </c>
      <c r="M1075" t="s">
        <v>9000</v>
      </c>
      <c r="N1075" t="s">
        <v>9001</v>
      </c>
      <c r="O1075" t="s">
        <v>8930</v>
      </c>
      <c r="P1075" t="s">
        <v>9002</v>
      </c>
      <c r="Q1075" t="s">
        <v>9003</v>
      </c>
      <c r="R1075" t="s">
        <v>9004</v>
      </c>
      <c r="S1075" s="2">
        <v>41079</v>
      </c>
      <c r="T1075">
        <v>0</v>
      </c>
      <c r="U1075" t="s">
        <v>9005</v>
      </c>
      <c r="V1075">
        <v>0</v>
      </c>
      <c r="W1075">
        <v>9</v>
      </c>
      <c r="X1075">
        <v>230253</v>
      </c>
      <c r="Y1075" t="s">
        <v>9006</v>
      </c>
      <c r="Z1075" t="s">
        <v>9003</v>
      </c>
      <c r="AA1075" t="s">
        <v>8931</v>
      </c>
      <c r="AB1075" t="s">
        <v>45</v>
      </c>
      <c r="AC1075" t="s">
        <v>8932</v>
      </c>
    </row>
    <row r="1076" spans="1:29">
      <c r="A1076" t="s">
        <v>798</v>
      </c>
      <c r="B1076" s="1">
        <v>158066</v>
      </c>
      <c r="C1076" t="s">
        <v>799</v>
      </c>
      <c r="D1076" t="s">
        <v>667</v>
      </c>
      <c r="E1076" s="1">
        <v>-5541</v>
      </c>
      <c r="F1076" t="s">
        <v>800</v>
      </c>
      <c r="G1076" t="s">
        <v>801</v>
      </c>
      <c r="H1076" t="s">
        <v>802</v>
      </c>
      <c r="I1076">
        <v>4</v>
      </c>
      <c r="J1076" t="s">
        <v>803</v>
      </c>
      <c r="K1076">
        <v>81</v>
      </c>
      <c r="L1076" t="s">
        <v>804</v>
      </c>
      <c r="M1076" t="s">
        <v>805</v>
      </c>
      <c r="N1076" t="s">
        <v>806</v>
      </c>
      <c r="O1076" t="s">
        <v>8930</v>
      </c>
      <c r="P1076" t="s">
        <v>807</v>
      </c>
      <c r="Q1076" t="s">
        <v>808</v>
      </c>
      <c r="R1076" t="s">
        <v>809</v>
      </c>
      <c r="S1076" s="2">
        <v>35570</v>
      </c>
      <c r="T1076" t="s">
        <v>810</v>
      </c>
      <c r="U1076" t="s">
        <v>811</v>
      </c>
      <c r="V1076">
        <v>0</v>
      </c>
      <c r="W1076">
        <v>11</v>
      </c>
      <c r="X1076">
        <v>250547</v>
      </c>
      <c r="Y1076" t="s">
        <v>812</v>
      </c>
      <c r="Z1076" t="s">
        <v>808</v>
      </c>
      <c r="AA1076" t="s">
        <v>8931</v>
      </c>
      <c r="AB1076" t="s">
        <v>45</v>
      </c>
      <c r="AC1076" t="s">
        <v>8932</v>
      </c>
    </row>
    <row r="1077" spans="1:29">
      <c r="A1077" t="s">
        <v>62</v>
      </c>
      <c r="B1077" s="1">
        <v>117971</v>
      </c>
      <c r="C1077" t="s">
        <v>4033</v>
      </c>
      <c r="D1077" t="s">
        <v>667</v>
      </c>
      <c r="E1077" s="1">
        <v>-3365</v>
      </c>
      <c r="F1077" t="s">
        <v>178</v>
      </c>
      <c r="G1077" t="s">
        <v>3736</v>
      </c>
      <c r="H1077" t="s">
        <v>644</v>
      </c>
      <c r="I1077">
        <v>4</v>
      </c>
      <c r="J1077" t="s">
        <v>6558</v>
      </c>
      <c r="K1077">
        <v>70</v>
      </c>
      <c r="L1077" t="s">
        <v>9007</v>
      </c>
      <c r="M1077" t="s">
        <v>9008</v>
      </c>
      <c r="N1077" t="s">
        <v>9009</v>
      </c>
      <c r="O1077" t="s">
        <v>8930</v>
      </c>
      <c r="P1077" t="s">
        <v>9010</v>
      </c>
      <c r="Q1077" t="s">
        <v>9011</v>
      </c>
      <c r="R1077" t="s">
        <v>9012</v>
      </c>
      <c r="S1077" s="2">
        <v>39976</v>
      </c>
      <c r="T1077">
        <v>0</v>
      </c>
      <c r="U1077" t="s">
        <v>9013</v>
      </c>
      <c r="V1077">
        <v>0</v>
      </c>
      <c r="W1077">
        <v>5</v>
      </c>
      <c r="X1077">
        <v>268613</v>
      </c>
      <c r="Y1077" t="s">
        <v>9014</v>
      </c>
      <c r="Z1077" t="s">
        <v>9011</v>
      </c>
      <c r="AA1077" t="s">
        <v>8931</v>
      </c>
      <c r="AB1077" t="s">
        <v>45</v>
      </c>
      <c r="AC1077" t="s">
        <v>8932</v>
      </c>
    </row>
    <row r="1078" spans="1:29">
      <c r="A1078" t="s">
        <v>226</v>
      </c>
      <c r="B1078" s="1">
        <v>159779</v>
      </c>
      <c r="C1078" t="s">
        <v>5958</v>
      </c>
      <c r="D1078" t="s">
        <v>667</v>
      </c>
      <c r="E1078" s="1">
        <v>-4939</v>
      </c>
      <c r="F1078" t="s">
        <v>2386</v>
      </c>
      <c r="G1078" t="s">
        <v>144</v>
      </c>
      <c r="H1078" t="s">
        <v>867</v>
      </c>
      <c r="I1078">
        <v>4</v>
      </c>
      <c r="J1078" t="s">
        <v>2630</v>
      </c>
      <c r="K1078">
        <v>74</v>
      </c>
      <c r="L1078" t="s">
        <v>9015</v>
      </c>
      <c r="M1078" t="s">
        <v>9016</v>
      </c>
      <c r="N1078" t="s">
        <v>9017</v>
      </c>
      <c r="O1078" t="s">
        <v>8930</v>
      </c>
      <c r="P1078" t="s">
        <v>9018</v>
      </c>
      <c r="Q1078" t="s">
        <v>9019</v>
      </c>
      <c r="R1078" t="s">
        <v>9020</v>
      </c>
      <c r="S1078" s="2">
        <v>39948</v>
      </c>
      <c r="T1078">
        <v>0</v>
      </c>
      <c r="U1078" t="s">
        <v>9021</v>
      </c>
      <c r="V1078">
        <v>1</v>
      </c>
      <c r="W1078">
        <v>5</v>
      </c>
      <c r="X1078">
        <v>321093</v>
      </c>
      <c r="Y1078" t="s">
        <v>5450</v>
      </c>
      <c r="Z1078" t="s">
        <v>9019</v>
      </c>
      <c r="AA1078" t="s">
        <v>8931</v>
      </c>
      <c r="AB1078" t="s">
        <v>45</v>
      </c>
      <c r="AC1078" t="s">
        <v>8932</v>
      </c>
    </row>
    <row r="1079" spans="1:29">
      <c r="A1079" t="s">
        <v>6742</v>
      </c>
      <c r="B1079" s="1">
        <v>94015</v>
      </c>
      <c r="C1079" t="s">
        <v>4056</v>
      </c>
      <c r="D1079" t="s">
        <v>667</v>
      </c>
      <c r="E1079" s="1">
        <v>-3521</v>
      </c>
      <c r="F1079" t="s">
        <v>1596</v>
      </c>
      <c r="G1079" t="s">
        <v>144</v>
      </c>
      <c r="H1079" t="s">
        <v>9022</v>
      </c>
      <c r="I1079">
        <v>4</v>
      </c>
      <c r="J1079" t="s">
        <v>4383</v>
      </c>
      <c r="K1079">
        <v>73</v>
      </c>
      <c r="L1079" t="s">
        <v>9023</v>
      </c>
      <c r="M1079" t="s">
        <v>9024</v>
      </c>
      <c r="N1079" t="s">
        <v>9025</v>
      </c>
      <c r="O1079" t="s">
        <v>8930</v>
      </c>
      <c r="P1079" t="s">
        <v>9026</v>
      </c>
      <c r="Q1079" t="s">
        <v>9027</v>
      </c>
      <c r="R1079" t="s">
        <v>9028</v>
      </c>
      <c r="S1079" s="2">
        <v>38117</v>
      </c>
      <c r="T1079" t="s">
        <v>9029</v>
      </c>
      <c r="U1079" t="s">
        <v>9030</v>
      </c>
      <c r="V1079">
        <v>1</v>
      </c>
      <c r="W1079">
        <v>0</v>
      </c>
      <c r="X1079">
        <v>215880</v>
      </c>
      <c r="Y1079" t="s">
        <v>9031</v>
      </c>
      <c r="Z1079" t="s">
        <v>9027</v>
      </c>
      <c r="AA1079" t="s">
        <v>8931</v>
      </c>
      <c r="AB1079" t="s">
        <v>45</v>
      </c>
      <c r="AC1079" t="s">
        <v>8932</v>
      </c>
    </row>
    <row r="1080" spans="1:29">
      <c r="A1080" t="s">
        <v>2125</v>
      </c>
      <c r="B1080" s="1">
        <v>80401</v>
      </c>
      <c r="C1080" t="s">
        <v>2144</v>
      </c>
      <c r="D1080" t="s">
        <v>667</v>
      </c>
      <c r="E1080" s="1">
        <v>-6418</v>
      </c>
      <c r="F1080" t="s">
        <v>1748</v>
      </c>
      <c r="G1080" t="s">
        <v>2613</v>
      </c>
      <c r="H1080" t="s">
        <v>644</v>
      </c>
      <c r="I1080">
        <v>4</v>
      </c>
      <c r="J1080" t="s">
        <v>1515</v>
      </c>
      <c r="K1080">
        <v>71</v>
      </c>
      <c r="L1080" t="s">
        <v>9032</v>
      </c>
      <c r="M1080" t="s">
        <v>9033</v>
      </c>
      <c r="N1080" t="s">
        <v>8967</v>
      </c>
      <c r="O1080" t="s">
        <v>8930</v>
      </c>
      <c r="P1080" t="s">
        <v>9034</v>
      </c>
      <c r="Q1080" t="s">
        <v>9035</v>
      </c>
      <c r="R1080" t="s">
        <v>9036</v>
      </c>
      <c r="S1080" s="2">
        <v>39216</v>
      </c>
      <c r="T1080" t="s">
        <v>9037</v>
      </c>
      <c r="U1080" t="s">
        <v>8971</v>
      </c>
      <c r="V1080">
        <v>1</v>
      </c>
      <c r="W1080">
        <v>0</v>
      </c>
      <c r="X1080">
        <v>209307</v>
      </c>
      <c r="Y1080" t="s">
        <v>4241</v>
      </c>
      <c r="Z1080" t="s">
        <v>9035</v>
      </c>
      <c r="AA1080" t="s">
        <v>8931</v>
      </c>
      <c r="AB1080" t="s">
        <v>45</v>
      </c>
      <c r="AC1080" t="s">
        <v>8932</v>
      </c>
    </row>
    <row r="1081" spans="1:29">
      <c r="A1081" t="s">
        <v>4065</v>
      </c>
      <c r="B1081" s="1">
        <v>169835</v>
      </c>
      <c r="C1081" t="s">
        <v>2763</v>
      </c>
      <c r="D1081" t="s">
        <v>667</v>
      </c>
      <c r="E1081" t="s">
        <v>607</v>
      </c>
      <c r="F1081" t="s">
        <v>2392</v>
      </c>
      <c r="G1081" t="s">
        <v>2500</v>
      </c>
      <c r="H1081" t="s">
        <v>9038</v>
      </c>
      <c r="I1081">
        <v>4</v>
      </c>
      <c r="J1081" t="s">
        <v>9039</v>
      </c>
      <c r="K1081">
        <v>74</v>
      </c>
      <c r="L1081" t="s">
        <v>9040</v>
      </c>
      <c r="M1081" t="s">
        <v>9041</v>
      </c>
      <c r="N1081" t="s">
        <v>9042</v>
      </c>
      <c r="O1081" t="s">
        <v>8930</v>
      </c>
      <c r="P1081" t="s">
        <v>9043</v>
      </c>
      <c r="Q1081" t="s">
        <v>9044</v>
      </c>
      <c r="R1081" t="s">
        <v>9045</v>
      </c>
      <c r="S1081" s="2">
        <v>39013</v>
      </c>
      <c r="T1081" t="s">
        <v>9046</v>
      </c>
      <c r="U1081" t="s">
        <v>9047</v>
      </c>
      <c r="V1081">
        <v>1</v>
      </c>
      <c r="W1081">
        <v>0</v>
      </c>
      <c r="X1081">
        <v>238680</v>
      </c>
      <c r="Y1081" t="s">
        <v>9048</v>
      </c>
      <c r="Z1081" t="s">
        <v>9044</v>
      </c>
      <c r="AA1081" t="s">
        <v>8931</v>
      </c>
      <c r="AB1081" t="s">
        <v>45</v>
      </c>
      <c r="AC1081" t="s">
        <v>8932</v>
      </c>
    </row>
    <row r="1082" spans="1:29">
      <c r="A1082" t="s">
        <v>4424</v>
      </c>
      <c r="B1082" s="1">
        <v>88969</v>
      </c>
      <c r="C1082" t="s">
        <v>1574</v>
      </c>
      <c r="D1082" t="s">
        <v>667</v>
      </c>
      <c r="E1082" s="1">
        <v>-4803</v>
      </c>
      <c r="F1082" t="s">
        <v>1596</v>
      </c>
      <c r="G1082" t="s">
        <v>2411</v>
      </c>
      <c r="H1082" t="s">
        <v>745</v>
      </c>
      <c r="I1082">
        <v>4</v>
      </c>
      <c r="J1082" t="s">
        <v>405</v>
      </c>
      <c r="K1082">
        <v>82</v>
      </c>
      <c r="L1082" t="s">
        <v>9049</v>
      </c>
      <c r="M1082" t="s">
        <v>9050</v>
      </c>
      <c r="N1082" t="s">
        <v>748</v>
      </c>
      <c r="O1082" t="s">
        <v>8930</v>
      </c>
      <c r="P1082" t="s">
        <v>9051</v>
      </c>
      <c r="Q1082" t="s">
        <v>9052</v>
      </c>
      <c r="R1082" t="s">
        <v>9053</v>
      </c>
      <c r="S1082" s="2">
        <v>36319</v>
      </c>
      <c r="T1082" t="s">
        <v>5192</v>
      </c>
      <c r="U1082" t="s">
        <v>753</v>
      </c>
      <c r="V1082">
        <v>1</v>
      </c>
      <c r="W1082">
        <v>0</v>
      </c>
      <c r="X1082">
        <v>215907</v>
      </c>
      <c r="Y1082" t="s">
        <v>3868</v>
      </c>
      <c r="Z1082" t="s">
        <v>9052</v>
      </c>
      <c r="AA1082" t="s">
        <v>8931</v>
      </c>
      <c r="AB1082" t="s">
        <v>45</v>
      </c>
      <c r="AC1082" t="s">
        <v>8932</v>
      </c>
    </row>
    <row r="1083" spans="1:29">
      <c r="A1083" t="s">
        <v>864</v>
      </c>
      <c r="B1083" s="1">
        <v>81201</v>
      </c>
      <c r="C1083" t="s">
        <v>2661</v>
      </c>
      <c r="D1083" t="s">
        <v>667</v>
      </c>
      <c r="E1083" s="1">
        <v>-13529</v>
      </c>
      <c r="F1083" t="s">
        <v>3635</v>
      </c>
      <c r="G1083" t="s">
        <v>1870</v>
      </c>
      <c r="H1083" t="s">
        <v>1179</v>
      </c>
      <c r="I1083">
        <v>4</v>
      </c>
      <c r="J1083" t="s">
        <v>1564</v>
      </c>
      <c r="K1083">
        <v>72</v>
      </c>
      <c r="L1083" t="s">
        <v>9054</v>
      </c>
      <c r="M1083" t="s">
        <v>9055</v>
      </c>
      <c r="N1083" t="s">
        <v>9056</v>
      </c>
      <c r="O1083" t="s">
        <v>8930</v>
      </c>
      <c r="P1083" t="s">
        <v>9057</v>
      </c>
      <c r="Q1083" t="s">
        <v>9058</v>
      </c>
      <c r="R1083" t="s">
        <v>9059</v>
      </c>
      <c r="S1083" s="2">
        <v>35709</v>
      </c>
      <c r="T1083" t="s">
        <v>9060</v>
      </c>
      <c r="U1083" t="s">
        <v>9061</v>
      </c>
      <c r="V1083">
        <v>1</v>
      </c>
      <c r="W1083">
        <v>4</v>
      </c>
      <c r="X1083">
        <v>229227</v>
      </c>
      <c r="Y1083" t="s">
        <v>9062</v>
      </c>
      <c r="Z1083" t="s">
        <v>9058</v>
      </c>
      <c r="AA1083" t="s">
        <v>8931</v>
      </c>
      <c r="AB1083" t="s">
        <v>45</v>
      </c>
      <c r="AC1083" t="s">
        <v>8932</v>
      </c>
    </row>
    <row r="1084" spans="1:29">
      <c r="A1084" t="s">
        <v>1825</v>
      </c>
      <c r="B1084" t="s">
        <v>9063</v>
      </c>
      <c r="C1084" t="s">
        <v>3420</v>
      </c>
      <c r="D1084" t="s">
        <v>667</v>
      </c>
      <c r="E1084" s="1">
        <v>-3584</v>
      </c>
      <c r="F1084" t="s">
        <v>3713</v>
      </c>
      <c r="G1084" t="s">
        <v>1457</v>
      </c>
      <c r="H1084" t="s">
        <v>644</v>
      </c>
      <c r="I1084">
        <v>4</v>
      </c>
      <c r="J1084" t="s">
        <v>411</v>
      </c>
      <c r="K1084">
        <v>74</v>
      </c>
      <c r="L1084" t="s">
        <v>9064</v>
      </c>
      <c r="M1084" t="s">
        <v>9065</v>
      </c>
      <c r="N1084" t="s">
        <v>9001</v>
      </c>
      <c r="O1084" t="s">
        <v>8930</v>
      </c>
      <c r="P1084" t="s">
        <v>9066</v>
      </c>
      <c r="Q1084" t="s">
        <v>9067</v>
      </c>
      <c r="R1084" t="s">
        <v>9068</v>
      </c>
      <c r="S1084" s="2">
        <v>41079</v>
      </c>
      <c r="T1084" t="s">
        <v>4645</v>
      </c>
      <c r="U1084" t="s">
        <v>9005</v>
      </c>
      <c r="V1084">
        <v>0</v>
      </c>
      <c r="W1084">
        <v>1</v>
      </c>
      <c r="X1084">
        <v>205400</v>
      </c>
      <c r="Y1084" t="s">
        <v>4647</v>
      </c>
      <c r="Z1084" t="s">
        <v>9067</v>
      </c>
      <c r="AA1084" t="s">
        <v>8931</v>
      </c>
      <c r="AB1084" t="s">
        <v>45</v>
      </c>
      <c r="AC1084" t="s">
        <v>8932</v>
      </c>
    </row>
    <row r="1085" spans="1:29">
      <c r="A1085" t="s">
        <v>1639</v>
      </c>
      <c r="B1085" s="1">
        <v>91455</v>
      </c>
      <c r="C1085" t="s">
        <v>176</v>
      </c>
      <c r="D1085" t="s">
        <v>667</v>
      </c>
      <c r="E1085" s="1">
        <v>-3442</v>
      </c>
      <c r="F1085" t="s">
        <v>2389</v>
      </c>
      <c r="G1085" t="s">
        <v>1572</v>
      </c>
      <c r="H1085" t="s">
        <v>745</v>
      </c>
      <c r="I1085">
        <v>4</v>
      </c>
      <c r="J1085" t="s">
        <v>9069</v>
      </c>
      <c r="K1085">
        <v>81</v>
      </c>
      <c r="L1085" t="s">
        <v>9070</v>
      </c>
      <c r="M1085" t="s">
        <v>9071</v>
      </c>
      <c r="N1085" t="s">
        <v>9072</v>
      </c>
      <c r="O1085" t="s">
        <v>8930</v>
      </c>
      <c r="P1085" t="s">
        <v>9073</v>
      </c>
      <c r="Q1085" t="s">
        <v>9074</v>
      </c>
      <c r="R1085" t="s">
        <v>9075</v>
      </c>
      <c r="S1085" s="2">
        <v>37446</v>
      </c>
      <c r="T1085">
        <v>0</v>
      </c>
      <c r="U1085" t="s">
        <v>9076</v>
      </c>
      <c r="V1085">
        <v>1</v>
      </c>
      <c r="W1085">
        <v>9</v>
      </c>
      <c r="X1085">
        <v>269000</v>
      </c>
      <c r="Y1085" t="s">
        <v>9077</v>
      </c>
      <c r="Z1085" t="s">
        <v>9074</v>
      </c>
      <c r="AA1085" t="s">
        <v>8931</v>
      </c>
      <c r="AB1085" t="s">
        <v>45</v>
      </c>
      <c r="AC1085" t="s">
        <v>8932</v>
      </c>
    </row>
    <row r="1086" spans="1:29">
      <c r="A1086" t="s">
        <v>1893</v>
      </c>
      <c r="B1086" t="s">
        <v>9078</v>
      </c>
      <c r="C1086" t="s">
        <v>5806</v>
      </c>
      <c r="D1086" t="s">
        <v>667</v>
      </c>
      <c r="E1086" s="1">
        <v>-6457</v>
      </c>
      <c r="F1086" t="s">
        <v>2970</v>
      </c>
      <c r="G1086" t="s">
        <v>61</v>
      </c>
      <c r="H1086" t="s">
        <v>973</v>
      </c>
      <c r="I1086">
        <v>4</v>
      </c>
      <c r="J1086" t="s">
        <v>570</v>
      </c>
      <c r="K1086">
        <v>73</v>
      </c>
      <c r="L1086" t="s">
        <v>9079</v>
      </c>
      <c r="M1086" t="s">
        <v>9080</v>
      </c>
      <c r="N1086" t="s">
        <v>976</v>
      </c>
      <c r="O1086" t="s">
        <v>8930</v>
      </c>
      <c r="P1086" t="s">
        <v>9081</v>
      </c>
      <c r="Q1086" t="s">
        <v>9082</v>
      </c>
      <c r="R1086" t="s">
        <v>9083</v>
      </c>
      <c r="S1086" s="2">
        <v>33477</v>
      </c>
      <c r="T1086">
        <v>0</v>
      </c>
      <c r="U1086" t="s">
        <v>981</v>
      </c>
      <c r="V1086">
        <v>0</v>
      </c>
      <c r="W1086">
        <v>4</v>
      </c>
      <c r="X1086">
        <v>342653</v>
      </c>
      <c r="Y1086" t="s">
        <v>2833</v>
      </c>
      <c r="Z1086" t="s">
        <v>9082</v>
      </c>
      <c r="AA1086" t="s">
        <v>8931</v>
      </c>
      <c r="AB1086" t="s">
        <v>45</v>
      </c>
      <c r="AC1086" t="s">
        <v>8932</v>
      </c>
    </row>
    <row r="1087" spans="1:29">
      <c r="A1087" t="s">
        <v>815</v>
      </c>
      <c r="B1087" s="1">
        <v>113967</v>
      </c>
      <c r="C1087" t="s">
        <v>3613</v>
      </c>
      <c r="D1087" t="s">
        <v>667</v>
      </c>
      <c r="E1087" s="1">
        <v>-5396</v>
      </c>
      <c r="F1087" t="s">
        <v>3614</v>
      </c>
      <c r="G1087" t="s">
        <v>487</v>
      </c>
      <c r="H1087" t="s">
        <v>3615</v>
      </c>
      <c r="I1087">
        <v>4</v>
      </c>
      <c r="J1087" t="s">
        <v>1609</v>
      </c>
      <c r="K1087">
        <v>74</v>
      </c>
      <c r="L1087" t="s">
        <v>3616</v>
      </c>
      <c r="M1087" t="s">
        <v>3617</v>
      </c>
      <c r="N1087" t="s">
        <v>3618</v>
      </c>
      <c r="O1087" t="s">
        <v>8930</v>
      </c>
      <c r="P1087" t="s">
        <v>3619</v>
      </c>
      <c r="Q1087" t="s">
        <v>3620</v>
      </c>
      <c r="R1087" t="s">
        <v>3621</v>
      </c>
      <c r="S1087" s="2">
        <v>35796</v>
      </c>
      <c r="T1087">
        <v>0</v>
      </c>
      <c r="U1087" t="s">
        <v>3622</v>
      </c>
      <c r="V1087">
        <v>1</v>
      </c>
      <c r="W1087">
        <v>2</v>
      </c>
      <c r="X1087">
        <v>300773</v>
      </c>
      <c r="Y1087" t="s">
        <v>134</v>
      </c>
      <c r="Z1087" t="s">
        <v>3620</v>
      </c>
      <c r="AA1087" t="s">
        <v>8931</v>
      </c>
      <c r="AB1087" t="s">
        <v>45</v>
      </c>
      <c r="AC1087" t="s">
        <v>8932</v>
      </c>
    </row>
    <row r="1088" spans="1:29">
      <c r="A1088" t="s">
        <v>1574</v>
      </c>
      <c r="B1088" s="1">
        <v>129786</v>
      </c>
      <c r="C1088" t="s">
        <v>1177</v>
      </c>
      <c r="D1088" t="s">
        <v>667</v>
      </c>
      <c r="E1088" s="1">
        <v>-5001</v>
      </c>
      <c r="F1088" t="s">
        <v>9084</v>
      </c>
      <c r="G1088" t="s">
        <v>5956</v>
      </c>
      <c r="H1088" t="s">
        <v>9085</v>
      </c>
      <c r="I1088">
        <v>4</v>
      </c>
      <c r="J1088" t="s">
        <v>103</v>
      </c>
      <c r="K1088">
        <v>68</v>
      </c>
      <c r="L1088" t="s">
        <v>9086</v>
      </c>
      <c r="M1088" t="s">
        <v>9087</v>
      </c>
      <c r="N1088" t="s">
        <v>9088</v>
      </c>
      <c r="O1088" t="s">
        <v>8930</v>
      </c>
      <c r="P1088" t="s">
        <v>9089</v>
      </c>
      <c r="Q1088" t="s">
        <v>9090</v>
      </c>
      <c r="R1088" t="s">
        <v>9088</v>
      </c>
      <c r="S1088" s="2">
        <v>44841</v>
      </c>
      <c r="T1088">
        <v>0</v>
      </c>
      <c r="U1088" t="s">
        <v>9091</v>
      </c>
      <c r="V1088">
        <v>1</v>
      </c>
      <c r="W1088">
        <v>2</v>
      </c>
      <c r="X1088">
        <v>247067</v>
      </c>
      <c r="Y1088" t="s">
        <v>9092</v>
      </c>
      <c r="Z1088" t="s">
        <v>9090</v>
      </c>
      <c r="AA1088" t="s">
        <v>8931</v>
      </c>
      <c r="AB1088" t="s">
        <v>45</v>
      </c>
      <c r="AC1088" t="s">
        <v>8932</v>
      </c>
    </row>
    <row r="1089" spans="1:29">
      <c r="A1089" t="s">
        <v>9093</v>
      </c>
      <c r="B1089" s="1">
        <v>156036</v>
      </c>
      <c r="C1089" t="s">
        <v>3634</v>
      </c>
      <c r="D1089" t="s">
        <v>667</v>
      </c>
      <c r="E1089" s="1">
        <v>-7075</v>
      </c>
      <c r="F1089" t="s">
        <v>65</v>
      </c>
      <c r="G1089" t="s">
        <v>238</v>
      </c>
      <c r="H1089" t="s">
        <v>9094</v>
      </c>
      <c r="I1089">
        <v>4</v>
      </c>
      <c r="J1089" t="s">
        <v>582</v>
      </c>
      <c r="K1089">
        <v>76</v>
      </c>
      <c r="L1089" t="s">
        <v>9095</v>
      </c>
      <c r="M1089" t="s">
        <v>9096</v>
      </c>
      <c r="N1089" t="s">
        <v>9097</v>
      </c>
      <c r="O1089" t="s">
        <v>8930</v>
      </c>
      <c r="P1089" t="s">
        <v>9098</v>
      </c>
      <c r="Q1089" t="s">
        <v>9099</v>
      </c>
      <c r="R1089" t="s">
        <v>9100</v>
      </c>
      <c r="S1089" s="2">
        <v>39896</v>
      </c>
      <c r="T1089">
        <v>0</v>
      </c>
      <c r="U1089" t="s">
        <v>9101</v>
      </c>
      <c r="V1089">
        <v>1</v>
      </c>
      <c r="W1089">
        <v>0</v>
      </c>
      <c r="X1089">
        <v>175493</v>
      </c>
      <c r="Y1089" t="s">
        <v>7203</v>
      </c>
      <c r="Z1089" t="s">
        <v>9099</v>
      </c>
      <c r="AA1089" t="s">
        <v>8931</v>
      </c>
      <c r="AB1089" t="s">
        <v>45</v>
      </c>
      <c r="AC1089" t="s">
        <v>8932</v>
      </c>
    </row>
    <row r="1090" spans="1:29">
      <c r="A1090" t="s">
        <v>3349</v>
      </c>
      <c r="B1090" s="1">
        <v>104655</v>
      </c>
      <c r="C1090" t="s">
        <v>2052</v>
      </c>
      <c r="D1090" t="s">
        <v>667</v>
      </c>
      <c r="E1090" s="1">
        <v>-3674</v>
      </c>
      <c r="F1090" t="s">
        <v>1483</v>
      </c>
      <c r="G1090" t="s">
        <v>4781</v>
      </c>
      <c r="H1090" t="s">
        <v>745</v>
      </c>
      <c r="I1090">
        <v>4</v>
      </c>
      <c r="J1090" t="s">
        <v>3747</v>
      </c>
      <c r="K1090">
        <v>77</v>
      </c>
      <c r="L1090" t="s">
        <v>9102</v>
      </c>
      <c r="M1090" t="s">
        <v>9103</v>
      </c>
      <c r="N1090" t="s">
        <v>9104</v>
      </c>
      <c r="O1090" t="s">
        <v>8930</v>
      </c>
      <c r="P1090" t="s">
        <v>9105</v>
      </c>
      <c r="Q1090" t="s">
        <v>9106</v>
      </c>
      <c r="R1090" t="s">
        <v>9107</v>
      </c>
      <c r="S1090" s="2">
        <v>38846</v>
      </c>
      <c r="T1090" t="s">
        <v>9108</v>
      </c>
      <c r="U1090" t="s">
        <v>9109</v>
      </c>
      <c r="V1090">
        <v>1</v>
      </c>
      <c r="W1090">
        <v>11</v>
      </c>
      <c r="X1090">
        <v>334667</v>
      </c>
      <c r="Y1090" t="s">
        <v>255</v>
      </c>
      <c r="Z1090" t="s">
        <v>9106</v>
      </c>
      <c r="AA1090" t="s">
        <v>8931</v>
      </c>
      <c r="AB1090" t="s">
        <v>45</v>
      </c>
      <c r="AC1090" t="s">
        <v>8932</v>
      </c>
    </row>
    <row r="1091" spans="1:29">
      <c r="A1091" t="s">
        <v>4734</v>
      </c>
      <c r="B1091" t="s">
        <v>9110</v>
      </c>
      <c r="C1091" t="s">
        <v>527</v>
      </c>
      <c r="D1091" t="s">
        <v>667</v>
      </c>
      <c r="E1091" s="1">
        <v>-3727</v>
      </c>
      <c r="F1091" t="s">
        <v>2723</v>
      </c>
      <c r="G1091" t="s">
        <v>290</v>
      </c>
      <c r="H1091" t="s">
        <v>1215</v>
      </c>
      <c r="I1091">
        <v>4</v>
      </c>
      <c r="J1091" t="s">
        <v>2019</v>
      </c>
      <c r="K1091">
        <v>78</v>
      </c>
      <c r="L1091" t="s">
        <v>9111</v>
      </c>
      <c r="M1091" t="s">
        <v>9112</v>
      </c>
      <c r="N1091" t="s">
        <v>9113</v>
      </c>
      <c r="O1091" t="s">
        <v>8930</v>
      </c>
      <c r="P1091" t="s">
        <v>9114</v>
      </c>
      <c r="Q1091" t="s">
        <v>9115</v>
      </c>
      <c r="R1091" t="s">
        <v>9116</v>
      </c>
      <c r="S1091" s="2">
        <v>38887</v>
      </c>
      <c r="T1091" t="s">
        <v>7662</v>
      </c>
      <c r="U1091" t="s">
        <v>9117</v>
      </c>
      <c r="V1091">
        <v>1</v>
      </c>
      <c r="W1091">
        <v>7</v>
      </c>
      <c r="X1091">
        <v>212440</v>
      </c>
      <c r="Y1091" t="s">
        <v>6729</v>
      </c>
      <c r="Z1091" t="s">
        <v>9115</v>
      </c>
      <c r="AA1091" t="s">
        <v>8931</v>
      </c>
      <c r="AB1091" t="s">
        <v>45</v>
      </c>
      <c r="AC1091" t="s">
        <v>8932</v>
      </c>
    </row>
    <row r="1092" spans="1:29">
      <c r="A1092" t="s">
        <v>970</v>
      </c>
      <c r="B1092" s="1">
        <v>105338</v>
      </c>
      <c r="C1092" t="s">
        <v>837</v>
      </c>
      <c r="D1092" t="s">
        <v>667</v>
      </c>
      <c r="E1092" s="1">
        <v>-6506</v>
      </c>
      <c r="F1092" t="s">
        <v>971</v>
      </c>
      <c r="G1092" t="s">
        <v>972</v>
      </c>
      <c r="H1092" t="s">
        <v>973</v>
      </c>
      <c r="I1092">
        <v>4</v>
      </c>
      <c r="J1092" t="s">
        <v>175</v>
      </c>
      <c r="K1092">
        <v>77</v>
      </c>
      <c r="L1092" t="s">
        <v>974</v>
      </c>
      <c r="M1092" t="s">
        <v>975</v>
      </c>
      <c r="N1092" t="s">
        <v>976</v>
      </c>
      <c r="O1092" t="s">
        <v>8930</v>
      </c>
      <c r="P1092" t="s">
        <v>977</v>
      </c>
      <c r="Q1092" t="s">
        <v>978</v>
      </c>
      <c r="R1092" t="s">
        <v>979</v>
      </c>
      <c r="S1092" s="2">
        <v>33477</v>
      </c>
      <c r="T1092" t="s">
        <v>980</v>
      </c>
      <c r="U1092" t="s">
        <v>981</v>
      </c>
      <c r="V1092">
        <v>0</v>
      </c>
      <c r="W1092">
        <v>10</v>
      </c>
      <c r="X1092">
        <v>292581</v>
      </c>
      <c r="Y1092" t="s">
        <v>982</v>
      </c>
      <c r="Z1092" t="s">
        <v>978</v>
      </c>
      <c r="AA1092" t="s">
        <v>8931</v>
      </c>
      <c r="AB1092" t="s">
        <v>45</v>
      </c>
      <c r="AC1092" t="s">
        <v>8932</v>
      </c>
    </row>
    <row r="1093" spans="1:29">
      <c r="A1093" t="s">
        <v>1335</v>
      </c>
      <c r="B1093" s="1">
        <v>173008</v>
      </c>
      <c r="C1093" t="s">
        <v>198</v>
      </c>
      <c r="D1093" t="s">
        <v>667</v>
      </c>
      <c r="E1093" s="1">
        <v>-6196</v>
      </c>
      <c r="F1093" t="s">
        <v>1596</v>
      </c>
      <c r="G1093" t="s">
        <v>984</v>
      </c>
      <c r="H1093" t="s">
        <v>9118</v>
      </c>
      <c r="I1093">
        <v>4</v>
      </c>
      <c r="J1093" t="s">
        <v>8380</v>
      </c>
      <c r="K1093">
        <v>70</v>
      </c>
      <c r="L1093" t="s">
        <v>9119</v>
      </c>
      <c r="M1093" t="s">
        <v>9120</v>
      </c>
      <c r="N1093" t="s">
        <v>9121</v>
      </c>
      <c r="O1093" t="s">
        <v>8930</v>
      </c>
      <c r="P1093" t="s">
        <v>9122</v>
      </c>
      <c r="Q1093" t="s">
        <v>9123</v>
      </c>
      <c r="R1093" t="s">
        <v>9124</v>
      </c>
      <c r="S1093">
        <v>2014</v>
      </c>
      <c r="T1093" t="s">
        <v>9125</v>
      </c>
      <c r="U1093" t="s">
        <v>9126</v>
      </c>
      <c r="V1093">
        <v>0</v>
      </c>
      <c r="W1093">
        <v>5</v>
      </c>
      <c r="X1093">
        <v>288036</v>
      </c>
      <c r="Y1093" t="s">
        <v>1928</v>
      </c>
      <c r="Z1093" t="s">
        <v>9123</v>
      </c>
      <c r="AA1093" t="s">
        <v>8931</v>
      </c>
      <c r="AB1093" t="s">
        <v>45</v>
      </c>
      <c r="AC1093" t="s">
        <v>8932</v>
      </c>
    </row>
    <row r="1094" spans="1:29">
      <c r="A1094" t="s">
        <v>1212</v>
      </c>
      <c r="B1094" s="1">
        <v>128019</v>
      </c>
      <c r="C1094" t="s">
        <v>1213</v>
      </c>
      <c r="D1094" t="s">
        <v>667</v>
      </c>
      <c r="E1094" s="1">
        <v>-4046</v>
      </c>
      <c r="F1094" t="s">
        <v>49</v>
      </c>
      <c r="G1094" t="s">
        <v>1214</v>
      </c>
      <c r="H1094" t="s">
        <v>1215</v>
      </c>
      <c r="I1094">
        <v>4</v>
      </c>
      <c r="J1094" t="s">
        <v>1216</v>
      </c>
      <c r="K1094">
        <v>75</v>
      </c>
      <c r="L1094" t="s">
        <v>1217</v>
      </c>
      <c r="M1094" t="s">
        <v>1218</v>
      </c>
      <c r="N1094" t="s">
        <v>1219</v>
      </c>
      <c r="O1094" t="s">
        <v>8930</v>
      </c>
      <c r="P1094" t="s">
        <v>1220</v>
      </c>
      <c r="Q1094" t="s">
        <v>1221</v>
      </c>
      <c r="R1094" t="s">
        <v>1222</v>
      </c>
      <c r="S1094" s="2">
        <v>40066</v>
      </c>
      <c r="T1094" t="s">
        <v>1223</v>
      </c>
      <c r="U1094" t="s">
        <v>1224</v>
      </c>
      <c r="V1094">
        <v>1</v>
      </c>
      <c r="W1094">
        <v>2</v>
      </c>
      <c r="X1094">
        <v>304840</v>
      </c>
      <c r="Y1094" t="s">
        <v>1225</v>
      </c>
      <c r="Z1094" t="s">
        <v>1221</v>
      </c>
      <c r="AA1094" t="s">
        <v>8931</v>
      </c>
      <c r="AB1094" t="s">
        <v>45</v>
      </c>
      <c r="AC1094" t="s">
        <v>8932</v>
      </c>
    </row>
    <row r="1095" spans="1:29">
      <c r="A1095" t="s">
        <v>4222</v>
      </c>
      <c r="B1095" s="1">
        <v>137028</v>
      </c>
      <c r="C1095" t="s">
        <v>3907</v>
      </c>
      <c r="D1095" t="s">
        <v>667</v>
      </c>
      <c r="E1095" s="1">
        <v>-5356</v>
      </c>
      <c r="F1095" t="s">
        <v>4814</v>
      </c>
      <c r="G1095" t="s">
        <v>1238</v>
      </c>
      <c r="H1095" t="s">
        <v>9127</v>
      </c>
      <c r="I1095">
        <v>4</v>
      </c>
      <c r="J1095" t="s">
        <v>337</v>
      </c>
      <c r="K1095">
        <v>76</v>
      </c>
      <c r="L1095" t="s">
        <v>9128</v>
      </c>
      <c r="M1095" t="s">
        <v>9129</v>
      </c>
      <c r="N1095" t="s">
        <v>9130</v>
      </c>
      <c r="O1095" t="s">
        <v>8930</v>
      </c>
      <c r="P1095" t="s">
        <v>9131</v>
      </c>
      <c r="Q1095" t="s">
        <v>9132</v>
      </c>
      <c r="R1095" t="s">
        <v>9133</v>
      </c>
      <c r="S1095" s="2">
        <v>39714</v>
      </c>
      <c r="T1095" t="s">
        <v>9134</v>
      </c>
      <c r="U1095" t="s">
        <v>9135</v>
      </c>
      <c r="V1095">
        <v>1</v>
      </c>
      <c r="W1095">
        <v>0</v>
      </c>
      <c r="X1095">
        <v>230760</v>
      </c>
      <c r="Y1095" t="s">
        <v>8912</v>
      </c>
      <c r="Z1095" t="s">
        <v>9132</v>
      </c>
      <c r="AA1095" t="s">
        <v>8931</v>
      </c>
      <c r="AB1095" t="s">
        <v>45</v>
      </c>
      <c r="AC1095" t="s">
        <v>8932</v>
      </c>
    </row>
    <row r="1096" spans="1:29">
      <c r="A1096" t="s">
        <v>1551</v>
      </c>
      <c r="B1096" s="1">
        <v>96184</v>
      </c>
      <c r="C1096" t="s">
        <v>3115</v>
      </c>
      <c r="D1096" t="s">
        <v>667</v>
      </c>
      <c r="E1096" t="s">
        <v>9136</v>
      </c>
      <c r="F1096" t="s">
        <v>2365</v>
      </c>
      <c r="G1096" t="s">
        <v>1085</v>
      </c>
      <c r="H1096" t="s">
        <v>745</v>
      </c>
      <c r="I1096">
        <v>4</v>
      </c>
      <c r="J1096" t="s">
        <v>8092</v>
      </c>
      <c r="K1096">
        <v>77</v>
      </c>
      <c r="L1096" t="s">
        <v>9137</v>
      </c>
      <c r="M1096" t="s">
        <v>9138</v>
      </c>
      <c r="N1096" t="s">
        <v>9104</v>
      </c>
      <c r="O1096" t="s">
        <v>8930</v>
      </c>
      <c r="P1096" t="s">
        <v>9139</v>
      </c>
      <c r="Q1096" t="s">
        <v>9140</v>
      </c>
      <c r="R1096" t="s">
        <v>9141</v>
      </c>
      <c r="S1096" s="2">
        <v>38846</v>
      </c>
      <c r="T1096" t="s">
        <v>9142</v>
      </c>
      <c r="U1096" t="s">
        <v>9109</v>
      </c>
      <c r="V1096">
        <v>1</v>
      </c>
      <c r="W1096">
        <v>0</v>
      </c>
      <c r="X1096">
        <v>282160</v>
      </c>
      <c r="Y1096" t="s">
        <v>9143</v>
      </c>
      <c r="Z1096" t="s">
        <v>9140</v>
      </c>
      <c r="AA1096" t="s">
        <v>8931</v>
      </c>
      <c r="AB1096" t="s">
        <v>45</v>
      </c>
      <c r="AC1096" t="s">
        <v>8932</v>
      </c>
    </row>
    <row r="1097" spans="1:29">
      <c r="A1097" t="s">
        <v>6742</v>
      </c>
      <c r="B1097" s="1">
        <v>143969</v>
      </c>
      <c r="C1097" t="s">
        <v>3633</v>
      </c>
      <c r="D1097" t="s">
        <v>667</v>
      </c>
      <c r="E1097" s="1">
        <v>-5083</v>
      </c>
      <c r="F1097" t="s">
        <v>4956</v>
      </c>
      <c r="G1097" t="s">
        <v>1666</v>
      </c>
      <c r="H1097" t="s">
        <v>9144</v>
      </c>
      <c r="I1097">
        <v>4</v>
      </c>
      <c r="J1097" t="s">
        <v>4670</v>
      </c>
      <c r="K1097">
        <v>73</v>
      </c>
      <c r="L1097" t="s">
        <v>9145</v>
      </c>
      <c r="M1097" t="s">
        <v>9146</v>
      </c>
      <c r="N1097" t="s">
        <v>9147</v>
      </c>
      <c r="O1097" t="s">
        <v>8930</v>
      </c>
      <c r="P1097" t="s">
        <v>9148</v>
      </c>
      <c r="Q1097" t="s">
        <v>9149</v>
      </c>
      <c r="R1097" t="s">
        <v>9150</v>
      </c>
      <c r="S1097" s="2">
        <v>42678</v>
      </c>
      <c r="T1097" t="s">
        <v>9151</v>
      </c>
      <c r="U1097" t="s">
        <v>9152</v>
      </c>
      <c r="V1097">
        <v>0</v>
      </c>
      <c r="W1097">
        <v>4</v>
      </c>
      <c r="X1097">
        <v>196784</v>
      </c>
      <c r="Y1097" t="s">
        <v>1322</v>
      </c>
      <c r="Z1097" t="s">
        <v>9149</v>
      </c>
      <c r="AA1097" t="s">
        <v>8931</v>
      </c>
      <c r="AB1097" t="s">
        <v>45</v>
      </c>
      <c r="AC1097" t="s">
        <v>8932</v>
      </c>
    </row>
    <row r="1098" spans="1:29">
      <c r="A1098" t="s">
        <v>4079</v>
      </c>
      <c r="B1098" s="1">
        <v>144636</v>
      </c>
      <c r="C1098" t="s">
        <v>6531</v>
      </c>
      <c r="D1098" t="s">
        <v>667</v>
      </c>
      <c r="E1098" s="1">
        <v>-5455</v>
      </c>
      <c r="F1098" t="s">
        <v>971</v>
      </c>
      <c r="G1098" t="s">
        <v>655</v>
      </c>
      <c r="H1098" t="s">
        <v>6465</v>
      </c>
      <c r="I1098">
        <v>4</v>
      </c>
      <c r="J1098" t="s">
        <v>411</v>
      </c>
      <c r="K1098">
        <v>74</v>
      </c>
      <c r="L1098" t="s">
        <v>9153</v>
      </c>
      <c r="M1098" t="s">
        <v>9154</v>
      </c>
      <c r="N1098" t="s">
        <v>7191</v>
      </c>
      <c r="O1098" t="s">
        <v>8930</v>
      </c>
      <c r="P1098" t="s">
        <v>9155</v>
      </c>
      <c r="Q1098" t="s">
        <v>9156</v>
      </c>
      <c r="R1098" t="s">
        <v>9157</v>
      </c>
      <c r="S1098" s="2">
        <v>37495</v>
      </c>
      <c r="T1098" t="s">
        <v>9158</v>
      </c>
      <c r="U1098" t="s">
        <v>7196</v>
      </c>
      <c r="V1098">
        <v>1</v>
      </c>
      <c r="W1098">
        <v>9</v>
      </c>
      <c r="X1098">
        <v>226680</v>
      </c>
      <c r="Y1098" t="s">
        <v>9159</v>
      </c>
      <c r="Z1098" t="s">
        <v>9156</v>
      </c>
      <c r="AA1098" t="s">
        <v>8931</v>
      </c>
      <c r="AB1098" t="s">
        <v>45</v>
      </c>
      <c r="AC1098" t="s">
        <v>8932</v>
      </c>
    </row>
    <row r="1099" spans="1:29">
      <c r="A1099" t="s">
        <v>94</v>
      </c>
      <c r="B1099" s="1">
        <v>106031</v>
      </c>
      <c r="C1099" t="s">
        <v>3949</v>
      </c>
      <c r="D1099" t="s">
        <v>667</v>
      </c>
      <c r="E1099" s="1">
        <v>-3486</v>
      </c>
      <c r="F1099" t="s">
        <v>3896</v>
      </c>
      <c r="G1099" t="s">
        <v>4533</v>
      </c>
      <c r="H1099" t="s">
        <v>9160</v>
      </c>
      <c r="I1099">
        <v>4</v>
      </c>
      <c r="J1099" t="s">
        <v>9069</v>
      </c>
      <c r="K1099">
        <v>74</v>
      </c>
      <c r="L1099" t="s">
        <v>9161</v>
      </c>
      <c r="M1099" t="s">
        <v>9162</v>
      </c>
      <c r="N1099" t="s">
        <v>9163</v>
      </c>
      <c r="O1099" t="s">
        <v>8930</v>
      </c>
      <c r="P1099" t="s">
        <v>9164</v>
      </c>
      <c r="Q1099" t="s">
        <v>9165</v>
      </c>
      <c r="R1099" t="s">
        <v>9166</v>
      </c>
      <c r="S1099" s="2">
        <v>39083</v>
      </c>
      <c r="T1099">
        <v>0</v>
      </c>
      <c r="U1099" t="s">
        <v>9167</v>
      </c>
      <c r="V1099">
        <v>0</v>
      </c>
      <c r="W1099">
        <v>11</v>
      </c>
      <c r="X1099">
        <v>208107</v>
      </c>
      <c r="Y1099" t="s">
        <v>2436</v>
      </c>
      <c r="Z1099" t="s">
        <v>9165</v>
      </c>
      <c r="AA1099" t="s">
        <v>8931</v>
      </c>
      <c r="AB1099" t="s">
        <v>45</v>
      </c>
      <c r="AC1099" t="s">
        <v>8932</v>
      </c>
    </row>
    <row r="1100" spans="1:29">
      <c r="A1100" t="s">
        <v>930</v>
      </c>
      <c r="B1100" s="1">
        <v>119955</v>
      </c>
      <c r="C1100" t="s">
        <v>3115</v>
      </c>
      <c r="D1100" t="s">
        <v>667</v>
      </c>
      <c r="E1100" s="1">
        <v>-7139</v>
      </c>
      <c r="F1100" t="s">
        <v>264</v>
      </c>
      <c r="G1100" t="s">
        <v>1870</v>
      </c>
      <c r="H1100" t="s">
        <v>867</v>
      </c>
      <c r="I1100">
        <v>4</v>
      </c>
      <c r="J1100" t="s">
        <v>1326</v>
      </c>
      <c r="K1100">
        <v>68</v>
      </c>
      <c r="L1100" t="s">
        <v>9168</v>
      </c>
      <c r="M1100" t="s">
        <v>9169</v>
      </c>
      <c r="N1100" t="s">
        <v>9017</v>
      </c>
      <c r="O1100" t="s">
        <v>8930</v>
      </c>
      <c r="P1100" t="s">
        <v>9170</v>
      </c>
      <c r="Q1100" t="s">
        <v>9171</v>
      </c>
      <c r="R1100" t="s">
        <v>9172</v>
      </c>
      <c r="S1100" s="2">
        <v>39948</v>
      </c>
      <c r="T1100" t="s">
        <v>2423</v>
      </c>
      <c r="U1100" t="s">
        <v>9021</v>
      </c>
      <c r="V1100">
        <v>1</v>
      </c>
      <c r="W1100">
        <v>2</v>
      </c>
      <c r="X1100">
        <v>236533</v>
      </c>
      <c r="Y1100" t="s">
        <v>7595</v>
      </c>
      <c r="Z1100" t="s">
        <v>9171</v>
      </c>
      <c r="AA1100" t="s">
        <v>8931</v>
      </c>
      <c r="AB1100" t="s">
        <v>45</v>
      </c>
      <c r="AC1100" t="s">
        <v>8932</v>
      </c>
    </row>
    <row r="1101" spans="1:29">
      <c r="A1101" t="s">
        <v>1772</v>
      </c>
      <c r="B1101" s="1">
        <v>100127</v>
      </c>
      <c r="C1101" t="s">
        <v>147</v>
      </c>
      <c r="D1101" t="s">
        <v>667</v>
      </c>
      <c r="E1101" s="1">
        <v>-7457</v>
      </c>
      <c r="F1101" t="s">
        <v>1773</v>
      </c>
      <c r="G1101" t="s">
        <v>188</v>
      </c>
      <c r="H1101" t="s">
        <v>1774</v>
      </c>
      <c r="I1101">
        <v>4</v>
      </c>
      <c r="J1101" t="s">
        <v>1775</v>
      </c>
      <c r="K1101">
        <v>72</v>
      </c>
      <c r="L1101" t="s">
        <v>1776</v>
      </c>
      <c r="M1101" t="s">
        <v>1777</v>
      </c>
      <c r="N1101" t="s">
        <v>1778</v>
      </c>
      <c r="O1101" t="s">
        <v>8930</v>
      </c>
      <c r="P1101" t="s">
        <v>1779</v>
      </c>
      <c r="Q1101" t="s">
        <v>1780</v>
      </c>
      <c r="R1101" t="s">
        <v>1781</v>
      </c>
      <c r="S1101" s="2">
        <v>33876</v>
      </c>
      <c r="T1101" t="s">
        <v>1782</v>
      </c>
      <c r="U1101" t="s">
        <v>1783</v>
      </c>
      <c r="V1101">
        <v>1</v>
      </c>
      <c r="W1101">
        <v>6</v>
      </c>
      <c r="X1101">
        <v>206773</v>
      </c>
      <c r="Y1101" t="s">
        <v>1784</v>
      </c>
      <c r="Z1101" t="s">
        <v>1780</v>
      </c>
      <c r="AA1101" t="s">
        <v>8931</v>
      </c>
      <c r="AB1101" t="s">
        <v>45</v>
      </c>
      <c r="AC1101" t="s">
        <v>8932</v>
      </c>
    </row>
    <row r="1102" spans="1:29">
      <c r="A1102" t="s">
        <v>4065</v>
      </c>
      <c r="B1102" s="1">
        <v>105991</v>
      </c>
      <c r="C1102" t="s">
        <v>2905</v>
      </c>
      <c r="D1102" t="s">
        <v>667</v>
      </c>
      <c r="E1102" s="1">
        <v>-4481</v>
      </c>
      <c r="F1102" t="s">
        <v>1919</v>
      </c>
      <c r="G1102" t="s">
        <v>3312</v>
      </c>
      <c r="H1102" t="s">
        <v>9173</v>
      </c>
      <c r="I1102">
        <v>4</v>
      </c>
      <c r="J1102" t="s">
        <v>4413</v>
      </c>
      <c r="K1102">
        <v>71</v>
      </c>
      <c r="L1102" t="s">
        <v>9174</v>
      </c>
      <c r="M1102" t="s">
        <v>9175</v>
      </c>
      <c r="N1102" t="s">
        <v>9176</v>
      </c>
      <c r="O1102" t="s">
        <v>8930</v>
      </c>
      <c r="P1102" t="s">
        <v>9177</v>
      </c>
      <c r="Q1102" t="s">
        <v>9178</v>
      </c>
      <c r="R1102" t="s">
        <v>9179</v>
      </c>
      <c r="S1102" s="2">
        <v>37704</v>
      </c>
      <c r="T1102" t="s">
        <v>9180</v>
      </c>
      <c r="U1102" t="s">
        <v>9181</v>
      </c>
      <c r="V1102">
        <v>1</v>
      </c>
      <c r="W1102">
        <v>2</v>
      </c>
      <c r="X1102">
        <v>257920</v>
      </c>
      <c r="Y1102" t="s">
        <v>3236</v>
      </c>
      <c r="Z1102" t="s">
        <v>9178</v>
      </c>
      <c r="AA1102" t="s">
        <v>8931</v>
      </c>
      <c r="AB1102" t="s">
        <v>45</v>
      </c>
      <c r="AC1102" t="s">
        <v>8932</v>
      </c>
    </row>
    <row r="1103" spans="1:29">
      <c r="A1103" t="s">
        <v>1502</v>
      </c>
      <c r="B1103" s="1">
        <v>104561</v>
      </c>
      <c r="C1103" t="s">
        <v>2012</v>
      </c>
      <c r="D1103" t="s">
        <v>667</v>
      </c>
      <c r="E1103" s="1">
        <v>-8821</v>
      </c>
      <c r="F1103" t="s">
        <v>1812</v>
      </c>
      <c r="G1103" t="s">
        <v>2152</v>
      </c>
      <c r="H1103" t="s">
        <v>9182</v>
      </c>
      <c r="I1103">
        <v>4</v>
      </c>
      <c r="J1103" t="s">
        <v>4670</v>
      </c>
      <c r="K1103">
        <v>80</v>
      </c>
      <c r="L1103" t="s">
        <v>9183</v>
      </c>
      <c r="M1103" t="s">
        <v>9184</v>
      </c>
      <c r="N1103" t="s">
        <v>9182</v>
      </c>
      <c r="O1103" t="s">
        <v>8930</v>
      </c>
      <c r="P1103" t="s">
        <v>9185</v>
      </c>
      <c r="Q1103" t="s">
        <v>9186</v>
      </c>
      <c r="R1103" t="s">
        <v>9187</v>
      </c>
      <c r="S1103" s="2">
        <v>38033</v>
      </c>
      <c r="T1103" t="s">
        <v>9188</v>
      </c>
      <c r="U1103" t="s">
        <v>9189</v>
      </c>
      <c r="V1103">
        <v>0</v>
      </c>
      <c r="W1103">
        <v>4</v>
      </c>
      <c r="X1103">
        <v>237027</v>
      </c>
      <c r="Y1103" t="s">
        <v>9190</v>
      </c>
      <c r="Z1103" t="s">
        <v>9186</v>
      </c>
      <c r="AA1103" t="s">
        <v>8931</v>
      </c>
      <c r="AB1103" t="s">
        <v>45</v>
      </c>
      <c r="AC1103" t="s">
        <v>8932</v>
      </c>
    </row>
    <row r="1104" spans="1:29">
      <c r="A1104" t="s">
        <v>461</v>
      </c>
      <c r="B1104" s="1">
        <v>89518</v>
      </c>
      <c r="C1104" t="s">
        <v>420</v>
      </c>
      <c r="D1104" t="s">
        <v>667</v>
      </c>
      <c r="E1104" s="1">
        <v>-6595</v>
      </c>
      <c r="F1104" t="s">
        <v>5257</v>
      </c>
      <c r="G1104" t="s">
        <v>4079</v>
      </c>
      <c r="H1104" t="s">
        <v>9191</v>
      </c>
      <c r="I1104">
        <v>4</v>
      </c>
      <c r="J1104" t="s">
        <v>7155</v>
      </c>
      <c r="K1104">
        <v>68</v>
      </c>
      <c r="L1104" t="s">
        <v>9192</v>
      </c>
      <c r="M1104" t="s">
        <v>9193</v>
      </c>
      <c r="N1104" t="s">
        <v>9191</v>
      </c>
      <c r="O1104" t="s">
        <v>8930</v>
      </c>
      <c r="P1104" t="s">
        <v>9194</v>
      </c>
      <c r="Q1104" t="s">
        <v>9195</v>
      </c>
      <c r="R1104" t="s">
        <v>9196</v>
      </c>
      <c r="S1104" s="2">
        <v>34166</v>
      </c>
      <c r="T1104" t="s">
        <v>8611</v>
      </c>
      <c r="U1104" t="s">
        <v>9197</v>
      </c>
      <c r="V1104">
        <v>1</v>
      </c>
      <c r="W1104">
        <v>7</v>
      </c>
      <c r="X1104">
        <v>299733</v>
      </c>
      <c r="Y1104" t="s">
        <v>9198</v>
      </c>
      <c r="Z1104" t="s">
        <v>9195</v>
      </c>
      <c r="AA1104" t="s">
        <v>8931</v>
      </c>
      <c r="AB1104" t="s">
        <v>45</v>
      </c>
      <c r="AC1104" t="s">
        <v>8932</v>
      </c>
    </row>
    <row r="1105" spans="1:29">
      <c r="A1105" t="s">
        <v>985</v>
      </c>
      <c r="B1105" s="1">
        <v>170411</v>
      </c>
      <c r="C1105" t="s">
        <v>1456</v>
      </c>
      <c r="D1105" t="s">
        <v>667</v>
      </c>
      <c r="E1105" s="1">
        <v>-4907</v>
      </c>
      <c r="F1105" t="s">
        <v>1189</v>
      </c>
      <c r="G1105" t="s">
        <v>1457</v>
      </c>
      <c r="H1105" t="s">
        <v>1458</v>
      </c>
      <c r="I1105">
        <v>4</v>
      </c>
      <c r="J1105" t="s">
        <v>631</v>
      </c>
      <c r="K1105">
        <v>69</v>
      </c>
      <c r="L1105" t="s">
        <v>1459</v>
      </c>
      <c r="M1105" t="s">
        <v>1460</v>
      </c>
      <c r="N1105" t="s">
        <v>1461</v>
      </c>
      <c r="O1105" t="s">
        <v>8930</v>
      </c>
      <c r="P1105" t="s">
        <v>1462</v>
      </c>
      <c r="Q1105" t="s">
        <v>1463</v>
      </c>
      <c r="R1105" t="s">
        <v>1464</v>
      </c>
      <c r="S1105" s="2">
        <v>37257</v>
      </c>
      <c r="T1105" t="s">
        <v>1465</v>
      </c>
      <c r="U1105" t="s">
        <v>1466</v>
      </c>
      <c r="V1105">
        <v>1</v>
      </c>
      <c r="W1105">
        <v>0</v>
      </c>
      <c r="X1105">
        <v>278747</v>
      </c>
      <c r="Y1105" t="s">
        <v>67</v>
      </c>
      <c r="Z1105" t="s">
        <v>1463</v>
      </c>
      <c r="AA1105" t="s">
        <v>8931</v>
      </c>
      <c r="AB1105" t="s">
        <v>45</v>
      </c>
      <c r="AC1105" t="s">
        <v>8932</v>
      </c>
    </row>
    <row r="1106" spans="1:29">
      <c r="A1106" t="s">
        <v>3379</v>
      </c>
      <c r="B1106" s="1">
        <v>151417</v>
      </c>
      <c r="C1106" t="s">
        <v>1444</v>
      </c>
      <c r="D1106" t="s">
        <v>667</v>
      </c>
      <c r="E1106" s="1">
        <v>-6946</v>
      </c>
      <c r="F1106" t="s">
        <v>2920</v>
      </c>
      <c r="G1106" t="s">
        <v>2517</v>
      </c>
      <c r="H1106" t="s">
        <v>9199</v>
      </c>
      <c r="I1106">
        <v>4</v>
      </c>
      <c r="J1106" t="s">
        <v>4403</v>
      </c>
      <c r="K1106">
        <v>73</v>
      </c>
      <c r="L1106" t="s">
        <v>9200</v>
      </c>
      <c r="M1106" t="s">
        <v>9201</v>
      </c>
      <c r="N1106" t="s">
        <v>9202</v>
      </c>
      <c r="O1106" t="s">
        <v>8930</v>
      </c>
      <c r="P1106" t="s">
        <v>9203</v>
      </c>
      <c r="Q1106" t="s">
        <v>9204</v>
      </c>
      <c r="R1106" t="s">
        <v>9205</v>
      </c>
      <c r="S1106" s="2">
        <v>31778</v>
      </c>
      <c r="T1106" t="s">
        <v>9206</v>
      </c>
      <c r="U1106" t="s">
        <v>9207</v>
      </c>
      <c r="V1106">
        <v>1</v>
      </c>
      <c r="W1106">
        <v>9</v>
      </c>
      <c r="X1106">
        <v>212013</v>
      </c>
      <c r="Y1106" t="s">
        <v>3218</v>
      </c>
      <c r="Z1106" t="s">
        <v>9204</v>
      </c>
      <c r="AA1106" t="s">
        <v>8931</v>
      </c>
      <c r="AB1106" t="s">
        <v>45</v>
      </c>
      <c r="AC1106" t="s">
        <v>8932</v>
      </c>
    </row>
    <row r="1107" spans="1:29">
      <c r="A1107" t="s">
        <v>6947</v>
      </c>
      <c r="B1107" s="1">
        <v>122444</v>
      </c>
      <c r="C1107" t="s">
        <v>1762</v>
      </c>
      <c r="D1107" t="s">
        <v>667</v>
      </c>
      <c r="E1107" s="1">
        <v>-4938</v>
      </c>
      <c r="F1107" t="s">
        <v>1643</v>
      </c>
      <c r="G1107" t="s">
        <v>4141</v>
      </c>
      <c r="H1107" t="s">
        <v>745</v>
      </c>
      <c r="I1107">
        <v>4</v>
      </c>
      <c r="J1107" t="s">
        <v>331</v>
      </c>
      <c r="K1107">
        <v>74</v>
      </c>
      <c r="L1107" t="s">
        <v>9208</v>
      </c>
      <c r="M1107" t="s">
        <v>9209</v>
      </c>
      <c r="N1107" t="s">
        <v>9072</v>
      </c>
      <c r="O1107" t="s">
        <v>8930</v>
      </c>
      <c r="P1107" t="s">
        <v>9210</v>
      </c>
      <c r="Q1107" t="s">
        <v>9211</v>
      </c>
      <c r="R1107" t="s">
        <v>9212</v>
      </c>
      <c r="S1107" s="2">
        <v>37446</v>
      </c>
      <c r="T1107" t="s">
        <v>9213</v>
      </c>
      <c r="U1107" t="s">
        <v>9076</v>
      </c>
      <c r="V1107">
        <v>1</v>
      </c>
      <c r="W1107">
        <v>0</v>
      </c>
      <c r="X1107">
        <v>216933</v>
      </c>
      <c r="Y1107" t="s">
        <v>382</v>
      </c>
      <c r="Z1107" t="s">
        <v>9211</v>
      </c>
      <c r="AA1107" t="s">
        <v>8931</v>
      </c>
      <c r="AB1107" t="s">
        <v>45</v>
      </c>
      <c r="AC1107" t="s">
        <v>8932</v>
      </c>
    </row>
    <row r="1108" spans="1:29">
      <c r="A1108" t="s">
        <v>9214</v>
      </c>
      <c r="B1108" s="1">
        <v>91906</v>
      </c>
      <c r="C1108" t="s">
        <v>4472</v>
      </c>
      <c r="D1108" t="s">
        <v>667</v>
      </c>
      <c r="E1108" s="1">
        <v>-5405</v>
      </c>
      <c r="F1108" t="s">
        <v>3412</v>
      </c>
      <c r="G1108" t="s">
        <v>2833</v>
      </c>
      <c r="H1108" t="s">
        <v>644</v>
      </c>
      <c r="I1108">
        <v>4</v>
      </c>
      <c r="J1108" t="s">
        <v>214</v>
      </c>
      <c r="K1108">
        <v>79</v>
      </c>
      <c r="L1108" t="s">
        <v>9215</v>
      </c>
      <c r="M1108" t="s">
        <v>9216</v>
      </c>
      <c r="N1108" t="s">
        <v>6417</v>
      </c>
      <c r="O1108" t="s">
        <v>9217</v>
      </c>
      <c r="P1108" t="s">
        <v>9218</v>
      </c>
      <c r="Q1108" t="s">
        <v>9219</v>
      </c>
      <c r="R1108" t="s">
        <v>9220</v>
      </c>
      <c r="S1108" s="2">
        <v>45611</v>
      </c>
      <c r="T1108" t="s">
        <v>9221</v>
      </c>
      <c r="U1108" t="s">
        <v>6420</v>
      </c>
      <c r="V1108">
        <v>1</v>
      </c>
      <c r="W1108">
        <v>1</v>
      </c>
      <c r="X1108">
        <v>183584</v>
      </c>
      <c r="Y1108" t="s">
        <v>9222</v>
      </c>
      <c r="Z1108" t="s">
        <v>9219</v>
      </c>
      <c r="AA1108" t="s">
        <v>1853</v>
      </c>
      <c r="AB1108" t="s">
        <v>45</v>
      </c>
      <c r="AC1108" t="s">
        <v>9223</v>
      </c>
    </row>
    <row r="1109" spans="1:29">
      <c r="A1109" t="s">
        <v>4394</v>
      </c>
      <c r="B1109" s="1">
        <v>98021</v>
      </c>
      <c r="C1109" t="s">
        <v>6138</v>
      </c>
      <c r="D1109" t="s">
        <v>667</v>
      </c>
      <c r="E1109" s="1">
        <v>-5677</v>
      </c>
      <c r="F1109" t="s">
        <v>90</v>
      </c>
      <c r="G1109" t="s">
        <v>3735</v>
      </c>
      <c r="H1109" t="s">
        <v>9224</v>
      </c>
      <c r="I1109">
        <v>4</v>
      </c>
      <c r="J1109" t="s">
        <v>9225</v>
      </c>
      <c r="K1109">
        <v>69</v>
      </c>
      <c r="L1109" t="s">
        <v>9226</v>
      </c>
      <c r="M1109" t="s">
        <v>9227</v>
      </c>
      <c r="N1109" t="s">
        <v>9228</v>
      </c>
      <c r="O1109" t="s">
        <v>9217</v>
      </c>
      <c r="P1109" t="s">
        <v>9229</v>
      </c>
      <c r="Q1109" t="s">
        <v>9230</v>
      </c>
      <c r="R1109" t="s">
        <v>9231</v>
      </c>
      <c r="S1109" s="2">
        <v>45527</v>
      </c>
      <c r="T1109" t="s">
        <v>9232</v>
      </c>
      <c r="U1109" t="s">
        <v>9233</v>
      </c>
      <c r="V1109">
        <v>1</v>
      </c>
      <c r="W1109">
        <v>10</v>
      </c>
      <c r="X1109">
        <v>221451</v>
      </c>
      <c r="Y1109" t="s">
        <v>9234</v>
      </c>
      <c r="Z1109" t="s">
        <v>9230</v>
      </c>
      <c r="AA1109" t="s">
        <v>1853</v>
      </c>
      <c r="AB1109" t="s">
        <v>45</v>
      </c>
      <c r="AC1109" t="s">
        <v>9223</v>
      </c>
    </row>
    <row r="1110" spans="1:29">
      <c r="A1110" t="s">
        <v>304</v>
      </c>
      <c r="B1110" s="1">
        <v>82002</v>
      </c>
      <c r="C1110" t="s">
        <v>2196</v>
      </c>
      <c r="D1110" t="s">
        <v>667</v>
      </c>
      <c r="E1110" s="1">
        <v>-3979</v>
      </c>
      <c r="F1110" t="s">
        <v>375</v>
      </c>
      <c r="G1110" t="s">
        <v>2520</v>
      </c>
      <c r="H1110" t="s">
        <v>8854</v>
      </c>
      <c r="I1110">
        <v>4</v>
      </c>
      <c r="J1110" t="s">
        <v>4446</v>
      </c>
      <c r="K1110">
        <v>69</v>
      </c>
      <c r="L1110" t="s">
        <v>9235</v>
      </c>
      <c r="M1110" t="s">
        <v>9236</v>
      </c>
      <c r="N1110" t="s">
        <v>9237</v>
      </c>
      <c r="O1110" t="s">
        <v>9217</v>
      </c>
      <c r="P1110" t="s">
        <v>9238</v>
      </c>
      <c r="Q1110" t="s">
        <v>9239</v>
      </c>
      <c r="R1110" t="s">
        <v>9240</v>
      </c>
      <c r="S1110" s="2">
        <v>45513</v>
      </c>
      <c r="T1110" t="s">
        <v>9241</v>
      </c>
      <c r="U1110" t="s">
        <v>9242</v>
      </c>
      <c r="V1110">
        <v>1</v>
      </c>
      <c r="W1110">
        <v>10</v>
      </c>
      <c r="X1110">
        <v>230053</v>
      </c>
      <c r="Y1110" t="s">
        <v>9243</v>
      </c>
      <c r="Z1110" t="s">
        <v>9239</v>
      </c>
      <c r="AA1110" t="s">
        <v>1853</v>
      </c>
      <c r="AB1110" t="s">
        <v>45</v>
      </c>
      <c r="AC1110" t="s">
        <v>9223</v>
      </c>
    </row>
    <row r="1111" spans="1:29">
      <c r="A1111" t="s">
        <v>642</v>
      </c>
      <c r="B1111" s="1">
        <v>184115</v>
      </c>
      <c r="C1111" t="s">
        <v>643</v>
      </c>
      <c r="D1111" t="s">
        <v>667</v>
      </c>
      <c r="E1111" s="1">
        <v>-3344</v>
      </c>
      <c r="F1111" t="s">
        <v>211</v>
      </c>
      <c r="G1111" t="s">
        <v>199</v>
      </c>
      <c r="H1111" t="s">
        <v>644</v>
      </c>
      <c r="I1111">
        <v>4</v>
      </c>
      <c r="J1111" t="s">
        <v>645</v>
      </c>
      <c r="K1111">
        <v>79</v>
      </c>
      <c r="L1111" t="s">
        <v>6415</v>
      </c>
      <c r="M1111" t="s">
        <v>6416</v>
      </c>
      <c r="N1111" t="s">
        <v>6417</v>
      </c>
      <c r="O1111" t="s">
        <v>9217</v>
      </c>
      <c r="P1111" t="s">
        <v>6418</v>
      </c>
      <c r="Q1111" t="s">
        <v>6419</v>
      </c>
      <c r="R1111" t="s">
        <v>648</v>
      </c>
      <c r="S1111" s="2">
        <v>45611</v>
      </c>
      <c r="T1111">
        <v>0</v>
      </c>
      <c r="U1111" t="s">
        <v>6420</v>
      </c>
      <c r="V1111">
        <v>1</v>
      </c>
      <c r="W1111">
        <v>7</v>
      </c>
      <c r="X1111">
        <v>190428</v>
      </c>
      <c r="Y1111" t="s">
        <v>652</v>
      </c>
      <c r="Z1111" t="s">
        <v>6419</v>
      </c>
      <c r="AA1111" t="s">
        <v>1853</v>
      </c>
      <c r="AB1111" t="s">
        <v>45</v>
      </c>
      <c r="AC1111" t="s">
        <v>9223</v>
      </c>
    </row>
    <row r="1112" spans="1:29">
      <c r="A1112" t="s">
        <v>3457</v>
      </c>
      <c r="B1112" s="1">
        <v>109825</v>
      </c>
      <c r="C1112" t="s">
        <v>43</v>
      </c>
      <c r="D1112" t="s">
        <v>5630</v>
      </c>
      <c r="E1112" s="1">
        <v>-5671</v>
      </c>
      <c r="F1112" t="s">
        <v>2402</v>
      </c>
      <c r="G1112" t="s">
        <v>2539</v>
      </c>
      <c r="H1112" t="s">
        <v>5643</v>
      </c>
      <c r="I1112">
        <v>4</v>
      </c>
      <c r="J1112" t="s">
        <v>7174</v>
      </c>
      <c r="K1112">
        <v>69</v>
      </c>
      <c r="L1112" t="s">
        <v>9244</v>
      </c>
      <c r="M1112" t="s">
        <v>9245</v>
      </c>
      <c r="N1112" t="s">
        <v>9246</v>
      </c>
      <c r="O1112" t="s">
        <v>9247</v>
      </c>
      <c r="P1112" t="s">
        <v>9248</v>
      </c>
      <c r="Q1112" t="s">
        <v>9249</v>
      </c>
      <c r="R1112" t="s">
        <v>9250</v>
      </c>
      <c r="S1112">
        <v>1992</v>
      </c>
      <c r="T1112" t="s">
        <v>4470</v>
      </c>
      <c r="U1112" t="s">
        <v>9251</v>
      </c>
      <c r="V1112">
        <v>0</v>
      </c>
      <c r="W1112">
        <v>2</v>
      </c>
      <c r="X1112">
        <v>438120</v>
      </c>
      <c r="Y1112" t="s">
        <v>9252</v>
      </c>
      <c r="Z1112" t="s">
        <v>9249</v>
      </c>
      <c r="AA1112" t="s">
        <v>9253</v>
      </c>
      <c r="AB1112" t="s">
        <v>45</v>
      </c>
      <c r="AC1112" t="s">
        <v>9254</v>
      </c>
    </row>
    <row r="1113" spans="1:29">
      <c r="A1113" t="s">
        <v>1422</v>
      </c>
      <c r="B1113" s="1">
        <v>140817</v>
      </c>
      <c r="C1113" t="s">
        <v>756</v>
      </c>
      <c r="D1113" t="s">
        <v>5630</v>
      </c>
      <c r="E1113" s="1">
        <v>-5493</v>
      </c>
      <c r="F1113" t="s">
        <v>9255</v>
      </c>
      <c r="G1113" t="s">
        <v>6426</v>
      </c>
      <c r="H1113" t="s">
        <v>1074</v>
      </c>
      <c r="I1113">
        <v>4</v>
      </c>
      <c r="J1113" t="s">
        <v>449</v>
      </c>
      <c r="K1113">
        <v>68</v>
      </c>
      <c r="L1113" t="s">
        <v>9256</v>
      </c>
      <c r="M1113" t="s">
        <v>9257</v>
      </c>
      <c r="N1113" t="s">
        <v>9258</v>
      </c>
      <c r="O1113" t="s">
        <v>9247</v>
      </c>
      <c r="P1113" t="s">
        <v>9259</v>
      </c>
      <c r="Q1113" t="s">
        <v>9260</v>
      </c>
      <c r="R1113" t="s">
        <v>9261</v>
      </c>
      <c r="S1113" s="2">
        <v>30521</v>
      </c>
      <c r="T1113" t="s">
        <v>9262</v>
      </c>
      <c r="U1113" t="s">
        <v>9263</v>
      </c>
      <c r="V1113">
        <v>1</v>
      </c>
      <c r="W1113">
        <v>9</v>
      </c>
      <c r="X1113">
        <v>414720</v>
      </c>
      <c r="Y1113" t="s">
        <v>3897</v>
      </c>
      <c r="Z1113" t="s">
        <v>9260</v>
      </c>
      <c r="AA1113" t="s">
        <v>9253</v>
      </c>
      <c r="AB1113" t="s">
        <v>45</v>
      </c>
      <c r="AC1113" t="s">
        <v>9254</v>
      </c>
    </row>
    <row r="1114" spans="1:29">
      <c r="A1114" t="s">
        <v>5642</v>
      </c>
      <c r="B1114" s="1">
        <v>114816</v>
      </c>
      <c r="C1114" t="s">
        <v>2390</v>
      </c>
      <c r="D1114" t="s">
        <v>5630</v>
      </c>
      <c r="E1114" s="1">
        <v>-9701</v>
      </c>
      <c r="F1114" t="s">
        <v>2109</v>
      </c>
      <c r="G1114" t="s">
        <v>1444</v>
      </c>
      <c r="H1114" t="s">
        <v>5653</v>
      </c>
      <c r="I1114">
        <v>4</v>
      </c>
      <c r="J1114" t="s">
        <v>5703</v>
      </c>
      <c r="K1114">
        <v>71</v>
      </c>
      <c r="L1114" t="s">
        <v>5704</v>
      </c>
      <c r="M1114" t="s">
        <v>5705</v>
      </c>
      <c r="N1114" t="s">
        <v>5706</v>
      </c>
      <c r="O1114" t="s">
        <v>9247</v>
      </c>
      <c r="P1114" t="s">
        <v>5707</v>
      </c>
      <c r="Q1114" t="s">
        <v>5708</v>
      </c>
      <c r="R1114" t="s">
        <v>5706</v>
      </c>
      <c r="S1114" s="2">
        <v>33074</v>
      </c>
      <c r="T1114" t="s">
        <v>5109</v>
      </c>
      <c r="U1114" t="s">
        <v>5709</v>
      </c>
      <c r="V1114">
        <v>1</v>
      </c>
      <c r="W1114">
        <v>2</v>
      </c>
      <c r="X1114">
        <v>243533</v>
      </c>
      <c r="Y1114" t="s">
        <v>5710</v>
      </c>
      <c r="Z1114" t="s">
        <v>5708</v>
      </c>
      <c r="AA1114" t="s">
        <v>9253</v>
      </c>
      <c r="AB1114" t="s">
        <v>45</v>
      </c>
      <c r="AC1114" t="s">
        <v>9254</v>
      </c>
    </row>
    <row r="1115" spans="1:29">
      <c r="A1115" t="s">
        <v>448</v>
      </c>
      <c r="B1115" s="1">
        <v>105173</v>
      </c>
      <c r="C1115" t="s">
        <v>1641</v>
      </c>
      <c r="D1115" t="s">
        <v>5630</v>
      </c>
      <c r="E1115" t="s">
        <v>5631</v>
      </c>
      <c r="F1115" t="s">
        <v>1599</v>
      </c>
      <c r="G1115" t="s">
        <v>581</v>
      </c>
      <c r="H1115" t="s">
        <v>1074</v>
      </c>
      <c r="I1115">
        <v>4</v>
      </c>
      <c r="J1115" t="s">
        <v>1064</v>
      </c>
      <c r="K1115">
        <v>75</v>
      </c>
      <c r="L1115" t="s">
        <v>5632</v>
      </c>
      <c r="M1115" t="s">
        <v>5633</v>
      </c>
      <c r="N1115" t="s">
        <v>5634</v>
      </c>
      <c r="O1115" t="s">
        <v>9264</v>
      </c>
      <c r="P1115" t="s">
        <v>5636</v>
      </c>
      <c r="Q1115" t="s">
        <v>5637</v>
      </c>
      <c r="R1115" t="s">
        <v>5638</v>
      </c>
      <c r="S1115" s="2">
        <v>31474</v>
      </c>
      <c r="T1115" t="s">
        <v>2559</v>
      </c>
      <c r="U1115" t="s">
        <v>5639</v>
      </c>
      <c r="V1115">
        <v>0</v>
      </c>
      <c r="W1115">
        <v>4</v>
      </c>
      <c r="X1115">
        <v>515387</v>
      </c>
      <c r="Y1115" t="s">
        <v>5640</v>
      </c>
      <c r="Z1115" t="s">
        <v>5637</v>
      </c>
      <c r="AA1115" t="s">
        <v>9265</v>
      </c>
      <c r="AB1115" t="s">
        <v>45</v>
      </c>
      <c r="AC1115" t="s">
        <v>5641</v>
      </c>
    </row>
    <row r="1116" spans="1:29">
      <c r="A1116" t="s">
        <v>5642</v>
      </c>
      <c r="B1116" s="1">
        <v>159756</v>
      </c>
      <c r="C1116" t="s">
        <v>318</v>
      </c>
      <c r="D1116" t="s">
        <v>5630</v>
      </c>
      <c r="E1116" s="1">
        <v>-4601</v>
      </c>
      <c r="F1116" t="s">
        <v>3922</v>
      </c>
      <c r="G1116" t="s">
        <v>119</v>
      </c>
      <c r="H1116" t="s">
        <v>5643</v>
      </c>
      <c r="I1116">
        <v>4</v>
      </c>
      <c r="J1116" t="s">
        <v>5644</v>
      </c>
      <c r="K1116">
        <v>71</v>
      </c>
      <c r="L1116" t="s">
        <v>5645</v>
      </c>
      <c r="M1116" t="s">
        <v>5646</v>
      </c>
      <c r="N1116" t="s">
        <v>5647</v>
      </c>
      <c r="O1116" t="s">
        <v>9264</v>
      </c>
      <c r="P1116" t="s">
        <v>5648</v>
      </c>
      <c r="Q1116" t="s">
        <v>5649</v>
      </c>
      <c r="R1116" t="s">
        <v>5650</v>
      </c>
      <c r="S1116">
        <v>1983</v>
      </c>
      <c r="T1116" t="s">
        <v>5651</v>
      </c>
      <c r="U1116" t="s">
        <v>5652</v>
      </c>
      <c r="V1116">
        <v>0</v>
      </c>
      <c r="W1116">
        <v>4</v>
      </c>
      <c r="X1116">
        <v>252733</v>
      </c>
      <c r="Y1116" t="s">
        <v>1512</v>
      </c>
      <c r="Z1116" t="s">
        <v>5649</v>
      </c>
      <c r="AA1116" t="s">
        <v>9265</v>
      </c>
      <c r="AB1116" t="s">
        <v>45</v>
      </c>
      <c r="AC1116" t="s">
        <v>5641</v>
      </c>
    </row>
    <row r="1117" spans="1:29">
      <c r="A1117" t="s">
        <v>3930</v>
      </c>
      <c r="B1117" s="1">
        <v>118242</v>
      </c>
      <c r="C1117" t="s">
        <v>713</v>
      </c>
      <c r="D1117" t="s">
        <v>5630</v>
      </c>
      <c r="E1117" s="1">
        <v>-8008</v>
      </c>
      <c r="F1117" t="s">
        <v>3033</v>
      </c>
      <c r="G1117" t="s">
        <v>450</v>
      </c>
      <c r="H1117" t="s">
        <v>5653</v>
      </c>
      <c r="I1117">
        <v>4</v>
      </c>
      <c r="J1117" t="s">
        <v>214</v>
      </c>
      <c r="K1117">
        <v>73</v>
      </c>
      <c r="L1117" t="s">
        <v>5654</v>
      </c>
      <c r="M1117" t="s">
        <v>5655</v>
      </c>
      <c r="N1117" t="s">
        <v>5656</v>
      </c>
      <c r="O1117" t="s">
        <v>9264</v>
      </c>
      <c r="P1117" t="s">
        <v>5657</v>
      </c>
      <c r="Q1117" t="s">
        <v>5658</v>
      </c>
      <c r="R1117" t="s">
        <v>5659</v>
      </c>
      <c r="S1117" s="2">
        <v>33655</v>
      </c>
      <c r="T1117" t="s">
        <v>5660</v>
      </c>
      <c r="U1117" t="s">
        <v>5661</v>
      </c>
      <c r="V1117">
        <v>0</v>
      </c>
      <c r="W1117">
        <v>1</v>
      </c>
      <c r="X1117">
        <v>315120</v>
      </c>
      <c r="Y1117" t="s">
        <v>5662</v>
      </c>
      <c r="Z1117" t="s">
        <v>5658</v>
      </c>
      <c r="AA1117" t="s">
        <v>9265</v>
      </c>
      <c r="AB1117" t="s">
        <v>45</v>
      </c>
      <c r="AC1117" t="s">
        <v>5641</v>
      </c>
    </row>
    <row r="1118" spans="1:29">
      <c r="A1118" t="s">
        <v>394</v>
      </c>
      <c r="B1118" s="1">
        <v>127066</v>
      </c>
      <c r="C1118" t="s">
        <v>2196</v>
      </c>
      <c r="D1118" t="s">
        <v>5630</v>
      </c>
      <c r="E1118" s="1">
        <v>-3908</v>
      </c>
      <c r="F1118" t="s">
        <v>3808</v>
      </c>
      <c r="G1118" t="s">
        <v>3643</v>
      </c>
      <c r="H1118" t="s">
        <v>5663</v>
      </c>
      <c r="I1118">
        <v>4</v>
      </c>
      <c r="J1118" t="s">
        <v>1483</v>
      </c>
      <c r="K1118">
        <v>83</v>
      </c>
      <c r="L1118" t="s">
        <v>5664</v>
      </c>
      <c r="M1118" t="s">
        <v>5665</v>
      </c>
      <c r="N1118" t="s">
        <v>5666</v>
      </c>
      <c r="O1118" t="s">
        <v>9264</v>
      </c>
      <c r="P1118" t="s">
        <v>5667</v>
      </c>
      <c r="Q1118" t="s">
        <v>5668</v>
      </c>
      <c r="R1118" t="s">
        <v>5669</v>
      </c>
      <c r="S1118" s="2">
        <v>37138</v>
      </c>
      <c r="T1118" t="s">
        <v>5670</v>
      </c>
      <c r="U1118" t="s">
        <v>5671</v>
      </c>
      <c r="V1118">
        <v>0</v>
      </c>
      <c r="W1118">
        <v>7</v>
      </c>
      <c r="X1118">
        <v>210240</v>
      </c>
      <c r="Y1118" t="s">
        <v>5672</v>
      </c>
      <c r="Z1118" t="s">
        <v>5668</v>
      </c>
      <c r="AA1118" t="s">
        <v>9265</v>
      </c>
      <c r="AB1118" t="s">
        <v>45</v>
      </c>
      <c r="AC1118" t="s">
        <v>5641</v>
      </c>
    </row>
    <row r="1119" spans="1:29">
      <c r="A1119" t="s">
        <v>5673</v>
      </c>
      <c r="B1119" s="1">
        <v>92049</v>
      </c>
      <c r="C1119" t="s">
        <v>1654</v>
      </c>
      <c r="D1119" t="s">
        <v>5630</v>
      </c>
      <c r="E1119" s="1">
        <v>-8165</v>
      </c>
      <c r="F1119" t="s">
        <v>64</v>
      </c>
      <c r="G1119" t="s">
        <v>2947</v>
      </c>
      <c r="H1119" t="s">
        <v>5674</v>
      </c>
      <c r="I1119">
        <v>4</v>
      </c>
      <c r="J1119" t="s">
        <v>1800</v>
      </c>
      <c r="K1119">
        <v>68</v>
      </c>
      <c r="L1119" t="s">
        <v>5675</v>
      </c>
      <c r="M1119" t="s">
        <v>5676</v>
      </c>
      <c r="N1119" t="s">
        <v>5674</v>
      </c>
      <c r="O1119" t="s">
        <v>9264</v>
      </c>
      <c r="P1119" t="s">
        <v>5677</v>
      </c>
      <c r="Q1119" t="s">
        <v>5678</v>
      </c>
      <c r="R1119" t="s">
        <v>5679</v>
      </c>
      <c r="S1119" s="2">
        <v>34618</v>
      </c>
      <c r="T1119" t="s">
        <v>5680</v>
      </c>
      <c r="U1119" t="s">
        <v>5681</v>
      </c>
      <c r="V1119">
        <v>1</v>
      </c>
      <c r="W1119">
        <v>2</v>
      </c>
      <c r="X1119">
        <v>258267</v>
      </c>
      <c r="Y1119" t="s">
        <v>5682</v>
      </c>
      <c r="Z1119" t="s">
        <v>5678</v>
      </c>
      <c r="AA1119" t="s">
        <v>9265</v>
      </c>
      <c r="AB1119" t="s">
        <v>45</v>
      </c>
      <c r="AC1119" t="s">
        <v>5641</v>
      </c>
    </row>
    <row r="1120" spans="1:29">
      <c r="A1120" t="s">
        <v>3888</v>
      </c>
      <c r="B1120" s="1">
        <v>102178</v>
      </c>
      <c r="C1120" t="s">
        <v>1444</v>
      </c>
      <c r="D1120" t="s">
        <v>5630</v>
      </c>
      <c r="E1120" s="1">
        <v>-9447</v>
      </c>
      <c r="F1120" t="s">
        <v>2101</v>
      </c>
      <c r="G1120" t="s">
        <v>799</v>
      </c>
      <c r="H1120" t="s">
        <v>1074</v>
      </c>
      <c r="I1120">
        <v>3</v>
      </c>
      <c r="J1120" t="s">
        <v>5683</v>
      </c>
      <c r="K1120">
        <v>72</v>
      </c>
      <c r="L1120" t="s">
        <v>5684</v>
      </c>
      <c r="M1120" t="s">
        <v>5685</v>
      </c>
      <c r="N1120" t="s">
        <v>5686</v>
      </c>
      <c r="O1120" t="s">
        <v>9264</v>
      </c>
      <c r="P1120" t="s">
        <v>5687</v>
      </c>
      <c r="Q1120" t="s">
        <v>5688</v>
      </c>
      <c r="R1120" t="s">
        <v>5689</v>
      </c>
      <c r="S1120" s="2">
        <v>32380</v>
      </c>
      <c r="T1120" t="s">
        <v>3205</v>
      </c>
      <c r="U1120" t="s">
        <v>5690</v>
      </c>
      <c r="V1120">
        <v>1</v>
      </c>
      <c r="W1120">
        <v>7</v>
      </c>
      <c r="X1120">
        <v>447440</v>
      </c>
      <c r="Y1120" t="s">
        <v>5691</v>
      </c>
      <c r="Z1120" t="s">
        <v>5688</v>
      </c>
      <c r="AA1120" t="s">
        <v>9265</v>
      </c>
      <c r="AB1120" t="s">
        <v>45</v>
      </c>
      <c r="AC1120" t="s">
        <v>5641</v>
      </c>
    </row>
    <row r="1121" spans="1:29">
      <c r="A1121" t="s">
        <v>1338</v>
      </c>
      <c r="B1121" s="1">
        <v>148366</v>
      </c>
      <c r="C1121" t="s">
        <v>5692</v>
      </c>
      <c r="D1121" t="s">
        <v>5630</v>
      </c>
      <c r="E1121" t="s">
        <v>5693</v>
      </c>
      <c r="F1121" t="s">
        <v>2090</v>
      </c>
      <c r="G1121" t="s">
        <v>1359</v>
      </c>
      <c r="H1121" t="s">
        <v>5694</v>
      </c>
      <c r="I1121">
        <v>4</v>
      </c>
      <c r="J1121" t="s">
        <v>1884</v>
      </c>
      <c r="K1121">
        <v>69</v>
      </c>
      <c r="L1121" t="s">
        <v>5695</v>
      </c>
      <c r="M1121" t="s">
        <v>5696</v>
      </c>
      <c r="N1121" t="s">
        <v>5694</v>
      </c>
      <c r="O1121" t="s">
        <v>9264</v>
      </c>
      <c r="P1121" t="s">
        <v>5697</v>
      </c>
      <c r="Q1121" t="s">
        <v>5698</v>
      </c>
      <c r="R1121" t="s">
        <v>5699</v>
      </c>
      <c r="S1121" s="2">
        <v>32143</v>
      </c>
      <c r="T1121" t="s">
        <v>5700</v>
      </c>
      <c r="U1121" t="s">
        <v>5701</v>
      </c>
      <c r="V1121">
        <v>0</v>
      </c>
      <c r="W1121">
        <v>11</v>
      </c>
      <c r="X1121">
        <v>204867</v>
      </c>
      <c r="Y1121" t="s">
        <v>5702</v>
      </c>
      <c r="Z1121" t="s">
        <v>5698</v>
      </c>
      <c r="AA1121" t="s">
        <v>9265</v>
      </c>
      <c r="AB1121" t="s">
        <v>45</v>
      </c>
      <c r="AC1121" t="s">
        <v>5641</v>
      </c>
    </row>
    <row r="1122" spans="1:29">
      <c r="A1122" t="s">
        <v>5642</v>
      </c>
      <c r="B1122" s="1">
        <v>114816</v>
      </c>
      <c r="C1122" t="s">
        <v>2390</v>
      </c>
      <c r="D1122" t="s">
        <v>5630</v>
      </c>
      <c r="E1122" s="1">
        <v>-9701</v>
      </c>
      <c r="F1122" t="s">
        <v>2109</v>
      </c>
      <c r="G1122" t="s">
        <v>1444</v>
      </c>
      <c r="H1122" t="s">
        <v>5653</v>
      </c>
      <c r="I1122">
        <v>4</v>
      </c>
      <c r="J1122" t="s">
        <v>5703</v>
      </c>
      <c r="K1122">
        <v>71</v>
      </c>
      <c r="L1122" t="s">
        <v>5704</v>
      </c>
      <c r="M1122" t="s">
        <v>5705</v>
      </c>
      <c r="N1122" t="s">
        <v>5706</v>
      </c>
      <c r="O1122" t="s">
        <v>9264</v>
      </c>
      <c r="P1122" t="s">
        <v>5707</v>
      </c>
      <c r="Q1122" t="s">
        <v>5708</v>
      </c>
      <c r="R1122" t="s">
        <v>5706</v>
      </c>
      <c r="S1122" s="2">
        <v>33074</v>
      </c>
      <c r="T1122" t="s">
        <v>5109</v>
      </c>
      <c r="U1122" t="s">
        <v>5709</v>
      </c>
      <c r="V1122">
        <v>1</v>
      </c>
      <c r="W1122">
        <v>2</v>
      </c>
      <c r="X1122">
        <v>243533</v>
      </c>
      <c r="Y1122" t="s">
        <v>5710</v>
      </c>
      <c r="Z1122" t="s">
        <v>5708</v>
      </c>
      <c r="AA1122" t="s">
        <v>9265</v>
      </c>
      <c r="AB1122" t="s">
        <v>45</v>
      </c>
      <c r="AC1122" t="s">
        <v>5641</v>
      </c>
    </row>
    <row r="1123" spans="1:29">
      <c r="A1123" t="s">
        <v>5711</v>
      </c>
      <c r="B1123" s="1">
        <v>143772</v>
      </c>
      <c r="C1123" t="s">
        <v>2198</v>
      </c>
      <c r="D1123" t="s">
        <v>5630</v>
      </c>
      <c r="E1123" s="1">
        <v>-3026</v>
      </c>
      <c r="F1123" t="s">
        <v>351</v>
      </c>
      <c r="G1123" t="s">
        <v>2164</v>
      </c>
      <c r="H1123" t="s">
        <v>5712</v>
      </c>
      <c r="I1123">
        <v>4</v>
      </c>
      <c r="J1123" t="s">
        <v>2673</v>
      </c>
      <c r="K1123">
        <v>80</v>
      </c>
      <c r="L1123" t="s">
        <v>5713</v>
      </c>
      <c r="M1123" t="s">
        <v>5714</v>
      </c>
      <c r="N1123" t="s">
        <v>5715</v>
      </c>
      <c r="O1123" t="s">
        <v>9264</v>
      </c>
      <c r="P1123" t="s">
        <v>5716</v>
      </c>
      <c r="Q1123" t="s">
        <v>5717</v>
      </c>
      <c r="R1123" t="s">
        <v>5718</v>
      </c>
      <c r="S1123">
        <v>2004</v>
      </c>
      <c r="T1123" t="s">
        <v>5719</v>
      </c>
      <c r="U1123" t="s">
        <v>5720</v>
      </c>
      <c r="V1123">
        <v>0</v>
      </c>
      <c r="W1123">
        <v>4</v>
      </c>
      <c r="X1123">
        <v>252613</v>
      </c>
      <c r="Y1123" t="s">
        <v>5721</v>
      </c>
      <c r="Z1123" t="s">
        <v>5717</v>
      </c>
      <c r="AA1123" t="s">
        <v>9265</v>
      </c>
      <c r="AB1123" t="s">
        <v>45</v>
      </c>
      <c r="AC1123" t="s">
        <v>5641</v>
      </c>
    </row>
    <row r="1124" spans="1:29">
      <c r="A1124" t="s">
        <v>784</v>
      </c>
      <c r="B1124" s="1">
        <v>123257</v>
      </c>
      <c r="C1124" t="s">
        <v>1287</v>
      </c>
      <c r="D1124" t="s">
        <v>5630</v>
      </c>
      <c r="E1124" s="1">
        <v>-8691</v>
      </c>
      <c r="F1124" t="s">
        <v>4337</v>
      </c>
      <c r="G1124" t="s">
        <v>215</v>
      </c>
      <c r="H1124" t="s">
        <v>1074</v>
      </c>
      <c r="I1124">
        <v>4</v>
      </c>
      <c r="J1124" t="s">
        <v>5132</v>
      </c>
      <c r="K1124">
        <v>79</v>
      </c>
      <c r="L1124" t="s">
        <v>5722</v>
      </c>
      <c r="M1124" t="s">
        <v>5723</v>
      </c>
      <c r="N1124" t="s">
        <v>1074</v>
      </c>
      <c r="O1124" t="s">
        <v>9264</v>
      </c>
      <c r="P1124" t="s">
        <v>5724</v>
      </c>
      <c r="Q1124" t="s">
        <v>5725</v>
      </c>
      <c r="R1124" t="s">
        <v>5726</v>
      </c>
      <c r="S1124" s="2">
        <v>33462</v>
      </c>
      <c r="T1124" t="s">
        <v>1734</v>
      </c>
      <c r="U1124" t="s">
        <v>5727</v>
      </c>
      <c r="V1124">
        <v>0</v>
      </c>
      <c r="W1124">
        <v>6</v>
      </c>
      <c r="X1124">
        <v>331267</v>
      </c>
      <c r="Y1124" t="s">
        <v>5728</v>
      </c>
      <c r="Z1124" t="s">
        <v>5725</v>
      </c>
      <c r="AA1124" t="s">
        <v>9265</v>
      </c>
      <c r="AB1124" t="s">
        <v>45</v>
      </c>
      <c r="AC1124" t="s">
        <v>5641</v>
      </c>
    </row>
    <row r="1125" spans="1:29">
      <c r="A1125" t="s">
        <v>1823</v>
      </c>
      <c r="B1125" s="1">
        <v>118004</v>
      </c>
      <c r="C1125" t="s">
        <v>1679</v>
      </c>
      <c r="D1125" t="s">
        <v>5630</v>
      </c>
      <c r="E1125" s="1">
        <v>-4358</v>
      </c>
      <c r="F1125" t="s">
        <v>135</v>
      </c>
      <c r="G1125" t="s">
        <v>1536</v>
      </c>
      <c r="H1125" t="s">
        <v>5729</v>
      </c>
      <c r="I1125">
        <v>4</v>
      </c>
      <c r="J1125" t="s">
        <v>3230</v>
      </c>
      <c r="K1125">
        <v>75</v>
      </c>
      <c r="L1125" t="s">
        <v>5730</v>
      </c>
      <c r="M1125" t="s">
        <v>5731</v>
      </c>
      <c r="N1125" t="s">
        <v>5732</v>
      </c>
      <c r="O1125" t="s">
        <v>9264</v>
      </c>
      <c r="P1125" t="s">
        <v>5733</v>
      </c>
      <c r="Q1125" t="s">
        <v>5734</v>
      </c>
      <c r="R1125" t="s">
        <v>5732</v>
      </c>
      <c r="S1125" s="2">
        <v>41509</v>
      </c>
      <c r="T1125" t="s">
        <v>5735</v>
      </c>
      <c r="U1125" t="s">
        <v>5736</v>
      </c>
      <c r="V1125">
        <v>0</v>
      </c>
      <c r="W1125">
        <v>3</v>
      </c>
      <c r="X1125">
        <v>305907</v>
      </c>
      <c r="Y1125" t="s">
        <v>5737</v>
      </c>
      <c r="Z1125" t="s">
        <v>5734</v>
      </c>
      <c r="AA1125" t="s">
        <v>9265</v>
      </c>
      <c r="AB1125" t="s">
        <v>45</v>
      </c>
      <c r="AC1125" t="s">
        <v>5641</v>
      </c>
    </row>
    <row r="1126" spans="1:29">
      <c r="A1126" t="s">
        <v>594</v>
      </c>
      <c r="B1126" s="1">
        <v>103299</v>
      </c>
      <c r="C1126" t="s">
        <v>5738</v>
      </c>
      <c r="D1126" t="s">
        <v>5630</v>
      </c>
      <c r="E1126" s="1">
        <v>-5877</v>
      </c>
      <c r="F1126" t="s">
        <v>903</v>
      </c>
      <c r="G1126" t="s">
        <v>2041</v>
      </c>
      <c r="H1126" t="s">
        <v>5674</v>
      </c>
      <c r="I1126">
        <v>4</v>
      </c>
      <c r="J1126" t="s">
        <v>5739</v>
      </c>
      <c r="K1126">
        <v>77</v>
      </c>
      <c r="L1126" t="s">
        <v>5740</v>
      </c>
      <c r="M1126" t="s">
        <v>5741</v>
      </c>
      <c r="N1126" t="s">
        <v>5742</v>
      </c>
      <c r="O1126" t="s">
        <v>9264</v>
      </c>
      <c r="P1126" t="s">
        <v>5743</v>
      </c>
      <c r="Q1126" t="s">
        <v>5744</v>
      </c>
      <c r="R1126" t="s">
        <v>5745</v>
      </c>
      <c r="S1126" s="2">
        <v>36025</v>
      </c>
      <c r="T1126" t="s">
        <v>2580</v>
      </c>
      <c r="U1126" t="s">
        <v>5746</v>
      </c>
      <c r="V1126">
        <v>1</v>
      </c>
      <c r="W1126">
        <v>2</v>
      </c>
      <c r="X1126">
        <v>255733</v>
      </c>
      <c r="Y1126" t="s">
        <v>5747</v>
      </c>
      <c r="Z1126" t="s">
        <v>5744</v>
      </c>
      <c r="AA1126" t="s">
        <v>9265</v>
      </c>
      <c r="AB1126" t="s">
        <v>45</v>
      </c>
      <c r="AC1126" t="s">
        <v>5641</v>
      </c>
    </row>
    <row r="1127" spans="1:29">
      <c r="A1127" t="s">
        <v>2621</v>
      </c>
      <c r="B1127" s="1">
        <v>125033</v>
      </c>
      <c r="C1127" t="s">
        <v>2641</v>
      </c>
      <c r="D1127" t="s">
        <v>5630</v>
      </c>
      <c r="E1127" s="1">
        <v>-6489</v>
      </c>
      <c r="F1127" t="s">
        <v>5748</v>
      </c>
      <c r="G1127" t="s">
        <v>188</v>
      </c>
      <c r="H1127" t="s">
        <v>5749</v>
      </c>
      <c r="I1127">
        <v>4</v>
      </c>
      <c r="J1127" t="s">
        <v>1167</v>
      </c>
      <c r="K1127">
        <v>77</v>
      </c>
      <c r="L1127" t="s">
        <v>5750</v>
      </c>
      <c r="M1127" t="s">
        <v>5751</v>
      </c>
      <c r="N1127" t="s">
        <v>5752</v>
      </c>
      <c r="O1127" t="s">
        <v>9264</v>
      </c>
      <c r="P1127" t="s">
        <v>5753</v>
      </c>
      <c r="Q1127" t="s">
        <v>5754</v>
      </c>
      <c r="R1127" t="s">
        <v>5755</v>
      </c>
      <c r="S1127" s="2">
        <v>35796</v>
      </c>
      <c r="T1127" t="s">
        <v>888</v>
      </c>
      <c r="U1127" t="s">
        <v>5756</v>
      </c>
      <c r="V1127">
        <v>0</v>
      </c>
      <c r="W1127">
        <v>0</v>
      </c>
      <c r="X1127">
        <v>222827</v>
      </c>
      <c r="Y1127" t="s">
        <v>5757</v>
      </c>
      <c r="Z1127" t="s">
        <v>5754</v>
      </c>
      <c r="AA1127" t="s">
        <v>9265</v>
      </c>
      <c r="AB1127" t="s">
        <v>45</v>
      </c>
      <c r="AC1127" t="s">
        <v>5641</v>
      </c>
    </row>
    <row r="1128" spans="1:29">
      <c r="A1128" t="s">
        <v>3174</v>
      </c>
      <c r="B1128" s="1">
        <v>129984</v>
      </c>
      <c r="C1128" t="s">
        <v>63</v>
      </c>
      <c r="D1128" t="s">
        <v>5630</v>
      </c>
      <c r="E1128" s="1">
        <v>-4928</v>
      </c>
      <c r="F1128" t="s">
        <v>61</v>
      </c>
      <c r="G1128" t="s">
        <v>3896</v>
      </c>
      <c r="H1128" t="s">
        <v>5729</v>
      </c>
      <c r="I1128">
        <v>4</v>
      </c>
      <c r="J1128" t="s">
        <v>423</v>
      </c>
      <c r="K1128">
        <v>70</v>
      </c>
      <c r="L1128" t="s">
        <v>5758</v>
      </c>
      <c r="M1128" t="s">
        <v>5759</v>
      </c>
      <c r="N1128" t="s">
        <v>5760</v>
      </c>
      <c r="O1128" t="s">
        <v>9264</v>
      </c>
      <c r="P1128" t="s">
        <v>5761</v>
      </c>
      <c r="Q1128" t="s">
        <v>5762</v>
      </c>
      <c r="R1128" t="s">
        <v>5760</v>
      </c>
      <c r="S1128" s="2">
        <v>40382</v>
      </c>
      <c r="T1128" t="s">
        <v>5763</v>
      </c>
      <c r="U1128" t="s">
        <v>5764</v>
      </c>
      <c r="V1128">
        <v>1</v>
      </c>
      <c r="W1128">
        <v>2</v>
      </c>
      <c r="X1128">
        <v>374453</v>
      </c>
      <c r="Y1128" t="s">
        <v>5765</v>
      </c>
      <c r="Z1128" t="s">
        <v>5762</v>
      </c>
      <c r="AA1128" t="s">
        <v>9265</v>
      </c>
      <c r="AB1128" t="s">
        <v>45</v>
      </c>
      <c r="AC1128" t="s">
        <v>5641</v>
      </c>
    </row>
    <row r="1129" spans="1:29">
      <c r="A1129" t="s">
        <v>866</v>
      </c>
      <c r="B1129" s="1">
        <v>71841</v>
      </c>
      <c r="C1129" t="s">
        <v>5766</v>
      </c>
      <c r="D1129" t="s">
        <v>5630</v>
      </c>
      <c r="E1129" s="1">
        <v>-4277</v>
      </c>
      <c r="F1129" t="s">
        <v>942</v>
      </c>
      <c r="G1129" t="s">
        <v>65</v>
      </c>
      <c r="H1129" t="s">
        <v>5767</v>
      </c>
      <c r="I1129">
        <v>4</v>
      </c>
      <c r="J1129" t="s">
        <v>4670</v>
      </c>
      <c r="K1129">
        <v>77</v>
      </c>
      <c r="L1129" t="s">
        <v>5768</v>
      </c>
      <c r="M1129" t="s">
        <v>5769</v>
      </c>
      <c r="N1129" t="s">
        <v>5770</v>
      </c>
      <c r="O1129" t="s">
        <v>9264</v>
      </c>
      <c r="P1129" t="s">
        <v>5771</v>
      </c>
      <c r="Q1129" t="s">
        <v>5772</v>
      </c>
      <c r="R1129" t="s">
        <v>5773</v>
      </c>
      <c r="S1129" s="2">
        <v>35730</v>
      </c>
      <c r="T1129" t="s">
        <v>1538</v>
      </c>
      <c r="U1129" t="s">
        <v>5774</v>
      </c>
      <c r="V1129">
        <v>1</v>
      </c>
      <c r="W1129">
        <v>1</v>
      </c>
      <c r="X1129">
        <v>214760</v>
      </c>
      <c r="Y1129" t="s">
        <v>1298</v>
      </c>
      <c r="Z1129" t="s">
        <v>5772</v>
      </c>
      <c r="AA1129" t="s">
        <v>9265</v>
      </c>
      <c r="AB1129" t="s">
        <v>45</v>
      </c>
      <c r="AC1129" t="s">
        <v>5641</v>
      </c>
    </row>
    <row r="1130" spans="1:29">
      <c r="A1130" t="s">
        <v>4326</v>
      </c>
      <c r="B1130" s="1">
        <v>107441</v>
      </c>
      <c r="C1130" t="s">
        <v>2598</v>
      </c>
      <c r="D1130" t="s">
        <v>5630</v>
      </c>
      <c r="E1130" s="1">
        <v>-8512</v>
      </c>
      <c r="F1130" t="s">
        <v>1908</v>
      </c>
      <c r="G1130" t="s">
        <v>201</v>
      </c>
      <c r="H1130" t="s">
        <v>5775</v>
      </c>
      <c r="I1130">
        <v>3</v>
      </c>
      <c r="J1130" t="s">
        <v>1609</v>
      </c>
      <c r="K1130">
        <v>68</v>
      </c>
      <c r="L1130" t="s">
        <v>5776</v>
      </c>
      <c r="M1130" t="s">
        <v>5777</v>
      </c>
      <c r="N1130" t="s">
        <v>5778</v>
      </c>
      <c r="O1130" t="s">
        <v>9264</v>
      </c>
      <c r="P1130" t="s">
        <v>5779</v>
      </c>
      <c r="Q1130" t="s">
        <v>5780</v>
      </c>
      <c r="R1130" t="s">
        <v>5781</v>
      </c>
      <c r="S1130" s="2">
        <v>37026</v>
      </c>
      <c r="T1130" t="s">
        <v>2196</v>
      </c>
      <c r="U1130" t="s">
        <v>5782</v>
      </c>
      <c r="V1130">
        <v>0</v>
      </c>
      <c r="W1130">
        <v>9</v>
      </c>
      <c r="X1130">
        <v>403533</v>
      </c>
      <c r="Y1130" t="s">
        <v>3377</v>
      </c>
      <c r="Z1130" t="s">
        <v>5780</v>
      </c>
      <c r="AA1130" t="s">
        <v>9265</v>
      </c>
      <c r="AB1130" t="s">
        <v>45</v>
      </c>
      <c r="AC1130" t="s">
        <v>5641</v>
      </c>
    </row>
    <row r="1131" spans="1:29">
      <c r="A1131" t="s">
        <v>174</v>
      </c>
      <c r="B1131" s="1">
        <v>77987</v>
      </c>
      <c r="C1131" t="s">
        <v>3481</v>
      </c>
      <c r="D1131" t="s">
        <v>9266</v>
      </c>
      <c r="E1131" s="1">
        <v>-5898</v>
      </c>
      <c r="F1131" t="s">
        <v>185</v>
      </c>
      <c r="G1131" t="s">
        <v>2052</v>
      </c>
      <c r="H1131" t="s">
        <v>7310</v>
      </c>
      <c r="I1131">
        <v>4</v>
      </c>
      <c r="J1131" t="s">
        <v>881</v>
      </c>
      <c r="K1131">
        <v>81</v>
      </c>
      <c r="L1131" t="s">
        <v>7311</v>
      </c>
      <c r="M1131" t="s">
        <v>7312</v>
      </c>
      <c r="N1131" t="s">
        <v>7313</v>
      </c>
      <c r="O1131" t="s">
        <v>9267</v>
      </c>
      <c r="P1131" t="s">
        <v>7314</v>
      </c>
      <c r="Q1131" t="s">
        <v>7315</v>
      </c>
      <c r="R1131" t="s">
        <v>7316</v>
      </c>
      <c r="S1131" s="2">
        <v>37411</v>
      </c>
      <c r="T1131" t="s">
        <v>7317</v>
      </c>
      <c r="U1131" t="s">
        <v>7318</v>
      </c>
      <c r="V1131">
        <v>1</v>
      </c>
      <c r="W1131">
        <v>5</v>
      </c>
      <c r="X1131">
        <v>244507</v>
      </c>
      <c r="Y1131" t="s">
        <v>4159</v>
      </c>
      <c r="Z1131" t="s">
        <v>7315</v>
      </c>
      <c r="AA1131" t="s">
        <v>9268</v>
      </c>
      <c r="AB1131" t="s">
        <v>45</v>
      </c>
      <c r="AC1131" t="s">
        <v>9269</v>
      </c>
    </row>
    <row r="1132" spans="1:29">
      <c r="A1132" t="s">
        <v>8483</v>
      </c>
      <c r="B1132" t="s">
        <v>9270</v>
      </c>
      <c r="C1132" t="s">
        <v>1666</v>
      </c>
      <c r="D1132" t="s">
        <v>9266</v>
      </c>
      <c r="E1132" s="1">
        <v>-4251</v>
      </c>
      <c r="F1132" t="s">
        <v>1737</v>
      </c>
      <c r="G1132" t="s">
        <v>880</v>
      </c>
      <c r="H1132" t="s">
        <v>9271</v>
      </c>
      <c r="I1132">
        <v>4</v>
      </c>
      <c r="J1132" t="s">
        <v>6784</v>
      </c>
      <c r="K1132">
        <v>70</v>
      </c>
      <c r="L1132" t="s">
        <v>9272</v>
      </c>
      <c r="M1132" t="s">
        <v>9273</v>
      </c>
      <c r="N1132" t="s">
        <v>9274</v>
      </c>
      <c r="O1132" t="s">
        <v>9267</v>
      </c>
      <c r="P1132" t="s">
        <v>9275</v>
      </c>
      <c r="Q1132" t="s">
        <v>9276</v>
      </c>
      <c r="R1132" t="s">
        <v>9277</v>
      </c>
      <c r="S1132" s="2">
        <v>38353</v>
      </c>
      <c r="T1132" t="s">
        <v>9278</v>
      </c>
      <c r="U1132" t="s">
        <v>9279</v>
      </c>
      <c r="V1132">
        <v>1</v>
      </c>
      <c r="W1132">
        <v>10</v>
      </c>
      <c r="X1132">
        <v>193653</v>
      </c>
      <c r="Y1132" t="s">
        <v>8996</v>
      </c>
      <c r="Z1132" t="s">
        <v>9276</v>
      </c>
      <c r="AA1132" t="s">
        <v>9268</v>
      </c>
      <c r="AB1132" t="s">
        <v>45</v>
      </c>
      <c r="AC1132" t="s">
        <v>9269</v>
      </c>
    </row>
    <row r="1133" spans="1:29">
      <c r="A1133" t="s">
        <v>9093</v>
      </c>
      <c r="B1133" s="1">
        <v>162152</v>
      </c>
      <c r="C1133" t="s">
        <v>3543</v>
      </c>
      <c r="D1133" t="s">
        <v>9266</v>
      </c>
      <c r="E1133" s="1">
        <v>-5428</v>
      </c>
      <c r="F1133" t="s">
        <v>4224</v>
      </c>
      <c r="G1133" t="s">
        <v>2974</v>
      </c>
      <c r="H1133" t="s">
        <v>9280</v>
      </c>
      <c r="I1133">
        <v>4</v>
      </c>
      <c r="J1133" t="s">
        <v>9281</v>
      </c>
      <c r="K1133">
        <v>80</v>
      </c>
      <c r="L1133" t="s">
        <v>9282</v>
      </c>
      <c r="M1133" t="s">
        <v>9283</v>
      </c>
      <c r="N1133" t="s">
        <v>9284</v>
      </c>
      <c r="O1133" t="s">
        <v>9267</v>
      </c>
      <c r="P1133" t="s">
        <v>9285</v>
      </c>
      <c r="Q1133" t="s">
        <v>9286</v>
      </c>
      <c r="R1133" t="s">
        <v>7522</v>
      </c>
      <c r="S1133" s="2">
        <v>37089</v>
      </c>
      <c r="T1133">
        <v>0</v>
      </c>
      <c r="U1133" t="s">
        <v>9287</v>
      </c>
      <c r="V1133">
        <v>1</v>
      </c>
      <c r="W1133">
        <v>2</v>
      </c>
      <c r="X1133">
        <v>165853</v>
      </c>
      <c r="Y1133" t="s">
        <v>7595</v>
      </c>
      <c r="Z1133" t="s">
        <v>9286</v>
      </c>
      <c r="AA1133" t="s">
        <v>9268</v>
      </c>
      <c r="AB1133" t="s">
        <v>45</v>
      </c>
      <c r="AC1133" t="s">
        <v>9269</v>
      </c>
    </row>
    <row r="1134" spans="1:29">
      <c r="A1134" t="s">
        <v>447</v>
      </c>
      <c r="B1134" s="1">
        <v>100008</v>
      </c>
      <c r="C1134" t="s">
        <v>2740</v>
      </c>
      <c r="D1134" t="s">
        <v>9266</v>
      </c>
      <c r="E1134" t="s">
        <v>9288</v>
      </c>
      <c r="F1134" t="s">
        <v>9289</v>
      </c>
      <c r="G1134" t="s">
        <v>420</v>
      </c>
      <c r="H1134" t="s">
        <v>9271</v>
      </c>
      <c r="I1134">
        <v>4</v>
      </c>
      <c r="J1134" t="s">
        <v>3230</v>
      </c>
      <c r="K1134">
        <v>69</v>
      </c>
      <c r="L1134" t="s">
        <v>9290</v>
      </c>
      <c r="M1134" t="s">
        <v>9291</v>
      </c>
      <c r="N1134" t="s">
        <v>9292</v>
      </c>
      <c r="O1134" t="s">
        <v>9267</v>
      </c>
      <c r="P1134" t="s">
        <v>9293</v>
      </c>
      <c r="Q1134" t="s">
        <v>9294</v>
      </c>
      <c r="R1134" t="s">
        <v>9295</v>
      </c>
      <c r="S1134" s="2">
        <v>39448</v>
      </c>
      <c r="T1134">
        <v>0</v>
      </c>
      <c r="U1134" t="s">
        <v>9296</v>
      </c>
      <c r="V1134">
        <v>1</v>
      </c>
      <c r="W1134">
        <v>4</v>
      </c>
      <c r="X1134">
        <v>213107</v>
      </c>
      <c r="Y1134" t="s">
        <v>8204</v>
      </c>
      <c r="Z1134" t="s">
        <v>9294</v>
      </c>
      <c r="AA1134" t="s">
        <v>9268</v>
      </c>
      <c r="AB1134" t="s">
        <v>45</v>
      </c>
      <c r="AC1134" t="s">
        <v>9269</v>
      </c>
    </row>
    <row r="1135" spans="1:29">
      <c r="A1135" t="s">
        <v>1836</v>
      </c>
      <c r="B1135" s="1">
        <v>119974</v>
      </c>
      <c r="C1135" t="s">
        <v>1786</v>
      </c>
      <c r="D1135" t="s">
        <v>9266</v>
      </c>
      <c r="E1135" s="1">
        <v>-4404</v>
      </c>
      <c r="F1135" t="s">
        <v>700</v>
      </c>
      <c r="G1135" t="s">
        <v>2974</v>
      </c>
      <c r="H1135" t="s">
        <v>9297</v>
      </c>
      <c r="I1135">
        <v>4</v>
      </c>
      <c r="J1135" t="s">
        <v>5363</v>
      </c>
      <c r="K1135">
        <v>69</v>
      </c>
      <c r="L1135" t="s">
        <v>9298</v>
      </c>
      <c r="M1135" t="s">
        <v>9299</v>
      </c>
      <c r="N1135" t="s">
        <v>9300</v>
      </c>
      <c r="O1135" t="s">
        <v>9267</v>
      </c>
      <c r="P1135" t="s">
        <v>9301</v>
      </c>
      <c r="Q1135" t="s">
        <v>9302</v>
      </c>
      <c r="R1135">
        <v>1985</v>
      </c>
      <c r="S1135">
        <v>2004</v>
      </c>
      <c r="T1135">
        <v>0</v>
      </c>
      <c r="U1135" t="s">
        <v>9303</v>
      </c>
      <c r="V1135">
        <v>1</v>
      </c>
      <c r="W1135">
        <v>4</v>
      </c>
      <c r="X1135">
        <v>193000</v>
      </c>
      <c r="Y1135" t="s">
        <v>3329</v>
      </c>
      <c r="Z1135" t="s">
        <v>9302</v>
      </c>
      <c r="AA1135" t="s">
        <v>9268</v>
      </c>
      <c r="AB1135" t="s">
        <v>45</v>
      </c>
      <c r="AC1135" t="s">
        <v>9269</v>
      </c>
    </row>
    <row r="1136" spans="1:29">
      <c r="A1136" t="s">
        <v>3312</v>
      </c>
      <c r="B1136" s="1">
        <v>118015</v>
      </c>
      <c r="C1136" t="s">
        <v>1098</v>
      </c>
      <c r="D1136" t="s">
        <v>9266</v>
      </c>
      <c r="E1136" s="1">
        <v>-4927</v>
      </c>
      <c r="F1136" t="s">
        <v>2821</v>
      </c>
      <c r="G1136" t="s">
        <v>1407</v>
      </c>
      <c r="H1136" t="s">
        <v>9304</v>
      </c>
      <c r="I1136">
        <v>4</v>
      </c>
      <c r="J1136" t="s">
        <v>396</v>
      </c>
      <c r="K1136">
        <v>72</v>
      </c>
      <c r="L1136" t="s">
        <v>9305</v>
      </c>
      <c r="M1136" t="s">
        <v>9306</v>
      </c>
      <c r="N1136" t="s">
        <v>9307</v>
      </c>
      <c r="O1136" t="s">
        <v>9267</v>
      </c>
      <c r="P1136" t="s">
        <v>9308</v>
      </c>
      <c r="Q1136" t="s">
        <v>9309</v>
      </c>
      <c r="R1136" t="s">
        <v>9310</v>
      </c>
      <c r="S1136" s="2">
        <v>37622</v>
      </c>
      <c r="T1136" t="s">
        <v>9311</v>
      </c>
      <c r="U1136" t="s">
        <v>9312</v>
      </c>
      <c r="V1136">
        <v>0</v>
      </c>
      <c r="W1136">
        <v>11</v>
      </c>
      <c r="X1136">
        <v>197987</v>
      </c>
      <c r="Y1136" t="s">
        <v>5549</v>
      </c>
      <c r="Z1136" t="s">
        <v>9309</v>
      </c>
      <c r="AA1136" t="s">
        <v>9268</v>
      </c>
      <c r="AB1136" t="s">
        <v>45</v>
      </c>
      <c r="AC1136" t="s">
        <v>9269</v>
      </c>
    </row>
    <row r="1137" spans="1:29">
      <c r="A1137" t="s">
        <v>4723</v>
      </c>
      <c r="B1137" s="1">
        <v>172977</v>
      </c>
      <c r="C1137" t="s">
        <v>4056</v>
      </c>
      <c r="D1137" t="s">
        <v>9266</v>
      </c>
      <c r="E1137" s="1">
        <v>-3677</v>
      </c>
      <c r="F1137" t="s">
        <v>2099</v>
      </c>
      <c r="G1137" t="s">
        <v>380</v>
      </c>
      <c r="H1137" t="s">
        <v>8973</v>
      </c>
      <c r="I1137">
        <v>4</v>
      </c>
      <c r="J1137" t="s">
        <v>9313</v>
      </c>
      <c r="K1137">
        <v>73</v>
      </c>
      <c r="L1137" t="s">
        <v>9314</v>
      </c>
      <c r="M1137" t="s">
        <v>9315</v>
      </c>
      <c r="N1137" t="s">
        <v>9316</v>
      </c>
      <c r="O1137" t="s">
        <v>9267</v>
      </c>
      <c r="P1137" t="s">
        <v>9317</v>
      </c>
      <c r="Q1137" t="s">
        <v>9318</v>
      </c>
      <c r="R1137" t="s">
        <v>9319</v>
      </c>
      <c r="S1137" s="2">
        <v>39244</v>
      </c>
      <c r="T1137" t="s">
        <v>9320</v>
      </c>
      <c r="U1137" t="s">
        <v>9321</v>
      </c>
      <c r="V1137">
        <v>1</v>
      </c>
      <c r="W1137">
        <v>1</v>
      </c>
      <c r="X1137">
        <v>211520</v>
      </c>
      <c r="Y1137" t="s">
        <v>9322</v>
      </c>
      <c r="Z1137" t="s">
        <v>9318</v>
      </c>
      <c r="AA1137" t="s">
        <v>9268</v>
      </c>
      <c r="AB1137" t="s">
        <v>45</v>
      </c>
      <c r="AC1137" t="s">
        <v>9269</v>
      </c>
    </row>
    <row r="1138" spans="1:29">
      <c r="A1138" t="s">
        <v>1384</v>
      </c>
      <c r="B1138" t="s">
        <v>9323</v>
      </c>
      <c r="C1138" t="s">
        <v>3877</v>
      </c>
      <c r="D1138" t="s">
        <v>9266</v>
      </c>
      <c r="E1138" s="1">
        <v>-4094</v>
      </c>
      <c r="F1138" t="s">
        <v>2725</v>
      </c>
      <c r="G1138" t="s">
        <v>744</v>
      </c>
      <c r="H1138" t="s">
        <v>9324</v>
      </c>
      <c r="I1138">
        <v>4</v>
      </c>
      <c r="J1138" t="s">
        <v>3218</v>
      </c>
      <c r="K1138">
        <v>69</v>
      </c>
      <c r="L1138" t="s">
        <v>9325</v>
      </c>
      <c r="M1138" t="s">
        <v>9326</v>
      </c>
      <c r="N1138" t="s">
        <v>9327</v>
      </c>
      <c r="O1138" t="s">
        <v>9267</v>
      </c>
      <c r="P1138" t="s">
        <v>9328</v>
      </c>
      <c r="Q1138" t="s">
        <v>9329</v>
      </c>
      <c r="R1138" t="s">
        <v>9330</v>
      </c>
      <c r="S1138" s="2">
        <v>38718</v>
      </c>
      <c r="T1138">
        <v>0</v>
      </c>
      <c r="U1138" t="s">
        <v>9331</v>
      </c>
      <c r="V1138">
        <v>1</v>
      </c>
      <c r="W1138">
        <v>7</v>
      </c>
      <c r="X1138">
        <v>214707</v>
      </c>
      <c r="Y1138" t="s">
        <v>4562</v>
      </c>
      <c r="Z1138" t="s">
        <v>9329</v>
      </c>
      <c r="AA1138" t="s">
        <v>9268</v>
      </c>
      <c r="AB1138" t="s">
        <v>45</v>
      </c>
      <c r="AC1138" t="s">
        <v>9269</v>
      </c>
    </row>
    <row r="1139" spans="1:29">
      <c r="A1139" t="s">
        <v>3349</v>
      </c>
      <c r="B1139" s="1">
        <v>149937</v>
      </c>
      <c r="C1139" t="s">
        <v>606</v>
      </c>
      <c r="D1139" t="s">
        <v>9266</v>
      </c>
      <c r="E1139" s="1">
        <v>-4417</v>
      </c>
      <c r="F1139" t="s">
        <v>1503</v>
      </c>
      <c r="G1139" t="s">
        <v>1919</v>
      </c>
      <c r="H1139" t="s">
        <v>7310</v>
      </c>
      <c r="I1139">
        <v>4</v>
      </c>
      <c r="J1139" t="s">
        <v>9332</v>
      </c>
      <c r="K1139">
        <v>77</v>
      </c>
      <c r="L1139" t="s">
        <v>9333</v>
      </c>
      <c r="M1139" t="s">
        <v>9334</v>
      </c>
      <c r="N1139" t="s">
        <v>7313</v>
      </c>
      <c r="O1139" t="s">
        <v>9267</v>
      </c>
      <c r="P1139" t="s">
        <v>9335</v>
      </c>
      <c r="Q1139" t="s">
        <v>9336</v>
      </c>
      <c r="R1139" t="s">
        <v>9337</v>
      </c>
      <c r="S1139" s="2">
        <v>37411</v>
      </c>
      <c r="T1139">
        <v>0</v>
      </c>
      <c r="U1139" t="s">
        <v>7318</v>
      </c>
      <c r="V1139">
        <v>1</v>
      </c>
      <c r="W1139">
        <v>0</v>
      </c>
      <c r="X1139">
        <v>204000</v>
      </c>
      <c r="Y1139" t="s">
        <v>9338</v>
      </c>
      <c r="Z1139" t="s">
        <v>9336</v>
      </c>
      <c r="AA1139" t="s">
        <v>9268</v>
      </c>
      <c r="AB1139" t="s">
        <v>45</v>
      </c>
      <c r="AC1139" t="s">
        <v>9269</v>
      </c>
    </row>
    <row r="1140" spans="1:29">
      <c r="A1140" t="s">
        <v>276</v>
      </c>
      <c r="B1140" t="s">
        <v>9339</v>
      </c>
      <c r="C1140" t="s">
        <v>409</v>
      </c>
      <c r="D1140" t="s">
        <v>9266</v>
      </c>
      <c r="E1140" s="1">
        <v>-7462</v>
      </c>
      <c r="F1140" t="s">
        <v>49</v>
      </c>
      <c r="G1140" t="s">
        <v>3154</v>
      </c>
      <c r="H1140" t="s">
        <v>7310</v>
      </c>
      <c r="I1140">
        <v>3</v>
      </c>
      <c r="J1140" t="s">
        <v>5922</v>
      </c>
      <c r="K1140">
        <v>73</v>
      </c>
      <c r="L1140" t="s">
        <v>9340</v>
      </c>
      <c r="M1140" t="s">
        <v>9341</v>
      </c>
      <c r="N1140" t="s">
        <v>7313</v>
      </c>
      <c r="O1140" t="s">
        <v>9267</v>
      </c>
      <c r="P1140" t="s">
        <v>9342</v>
      </c>
      <c r="Q1140" t="s">
        <v>9343</v>
      </c>
      <c r="R1140" t="s">
        <v>9344</v>
      </c>
      <c r="S1140" s="2">
        <v>37411</v>
      </c>
      <c r="T1140">
        <v>0</v>
      </c>
      <c r="U1140" t="s">
        <v>7318</v>
      </c>
      <c r="V1140">
        <v>1</v>
      </c>
      <c r="W1140">
        <v>9</v>
      </c>
      <c r="X1140">
        <v>223067</v>
      </c>
      <c r="Y1140" t="s">
        <v>2650</v>
      </c>
      <c r="Z1140" t="s">
        <v>9343</v>
      </c>
      <c r="AA1140" t="s">
        <v>9268</v>
      </c>
      <c r="AB1140" t="s">
        <v>45</v>
      </c>
      <c r="AC1140" t="s">
        <v>9269</v>
      </c>
    </row>
    <row r="1141" spans="1:29">
      <c r="A1141" t="s">
        <v>1597</v>
      </c>
      <c r="B1141" s="1">
        <v>170229</v>
      </c>
      <c r="C1141" t="s">
        <v>4281</v>
      </c>
      <c r="D1141" t="s">
        <v>9266</v>
      </c>
      <c r="E1141" s="1">
        <v>-2407</v>
      </c>
      <c r="F1141" t="s">
        <v>6425</v>
      </c>
      <c r="G1141" t="s">
        <v>3227</v>
      </c>
      <c r="H1141" t="s">
        <v>7310</v>
      </c>
      <c r="I1141">
        <v>4</v>
      </c>
      <c r="J1141" t="s">
        <v>9345</v>
      </c>
      <c r="K1141">
        <v>70</v>
      </c>
      <c r="L1141" t="s">
        <v>9346</v>
      </c>
      <c r="M1141" t="s">
        <v>9347</v>
      </c>
      <c r="N1141" t="s">
        <v>9348</v>
      </c>
      <c r="O1141" t="s">
        <v>9267</v>
      </c>
      <c r="P1141" t="s">
        <v>9349</v>
      </c>
      <c r="Q1141" t="s">
        <v>9350</v>
      </c>
      <c r="R1141" t="s">
        <v>9351</v>
      </c>
      <c r="S1141">
        <v>2004</v>
      </c>
      <c r="T1141">
        <v>0</v>
      </c>
      <c r="U1141" t="s">
        <v>9352</v>
      </c>
      <c r="V1141">
        <v>1</v>
      </c>
      <c r="W1141">
        <v>2</v>
      </c>
      <c r="X1141">
        <v>242413</v>
      </c>
      <c r="Y1141" t="s">
        <v>9353</v>
      </c>
      <c r="Z1141" t="s">
        <v>9350</v>
      </c>
      <c r="AA1141" t="s">
        <v>9268</v>
      </c>
      <c r="AB1141" t="s">
        <v>45</v>
      </c>
      <c r="AC1141" t="s">
        <v>9269</v>
      </c>
    </row>
    <row r="1142" spans="1:29">
      <c r="A1142" t="s">
        <v>94</v>
      </c>
      <c r="B1142" s="1">
        <v>177751</v>
      </c>
      <c r="C1142" t="s">
        <v>6377</v>
      </c>
      <c r="D1142" t="s">
        <v>9266</v>
      </c>
      <c r="E1142" s="1">
        <v>-3127</v>
      </c>
      <c r="F1142" t="s">
        <v>348</v>
      </c>
      <c r="G1142" t="s">
        <v>9354</v>
      </c>
      <c r="H1142" t="s">
        <v>9355</v>
      </c>
      <c r="I1142">
        <v>4</v>
      </c>
      <c r="J1142" t="s">
        <v>135</v>
      </c>
      <c r="K1142">
        <v>75</v>
      </c>
      <c r="L1142" t="s">
        <v>9356</v>
      </c>
      <c r="M1142" t="s">
        <v>9357</v>
      </c>
      <c r="N1142" t="s">
        <v>9358</v>
      </c>
      <c r="O1142" t="s">
        <v>9267</v>
      </c>
      <c r="P1142" t="s">
        <v>9359</v>
      </c>
      <c r="Q1142" t="s">
        <v>9360</v>
      </c>
      <c r="R1142" t="s">
        <v>9361</v>
      </c>
      <c r="S1142" s="2">
        <v>37533</v>
      </c>
      <c r="T1142">
        <v>0</v>
      </c>
      <c r="U1142" t="s">
        <v>9362</v>
      </c>
      <c r="V1142">
        <v>1</v>
      </c>
      <c r="W1142">
        <v>1</v>
      </c>
      <c r="X1142">
        <v>175093</v>
      </c>
      <c r="Y1142" t="s">
        <v>9363</v>
      </c>
      <c r="Z1142" t="s">
        <v>9360</v>
      </c>
      <c r="AA1142" t="s">
        <v>9268</v>
      </c>
      <c r="AB1142" t="s">
        <v>45</v>
      </c>
      <c r="AC1142" t="s">
        <v>9269</v>
      </c>
    </row>
    <row r="1143" spans="1:29">
      <c r="A1143" t="s">
        <v>9354</v>
      </c>
      <c r="B1143" s="1">
        <v>104031</v>
      </c>
      <c r="C1143" t="s">
        <v>3984</v>
      </c>
      <c r="D1143" t="s">
        <v>9266</v>
      </c>
      <c r="E1143" s="1">
        <v>-3681</v>
      </c>
      <c r="F1143" t="s">
        <v>9364</v>
      </c>
      <c r="G1143" t="s">
        <v>892</v>
      </c>
      <c r="H1143" t="s">
        <v>8973</v>
      </c>
      <c r="I1143">
        <v>4</v>
      </c>
      <c r="J1143" t="s">
        <v>5484</v>
      </c>
      <c r="K1143">
        <v>71</v>
      </c>
      <c r="L1143" t="s">
        <v>9365</v>
      </c>
      <c r="M1143" t="s">
        <v>9366</v>
      </c>
      <c r="N1143" t="s">
        <v>8973</v>
      </c>
      <c r="O1143" t="s">
        <v>9267</v>
      </c>
      <c r="P1143" t="s">
        <v>9367</v>
      </c>
      <c r="Q1143" t="s">
        <v>9368</v>
      </c>
      <c r="R1143" t="s">
        <v>9369</v>
      </c>
      <c r="S1143" s="2">
        <v>41369</v>
      </c>
      <c r="T1143" t="s">
        <v>9370</v>
      </c>
      <c r="U1143" t="s">
        <v>9371</v>
      </c>
      <c r="V1143">
        <v>1</v>
      </c>
      <c r="W1143">
        <v>9</v>
      </c>
      <c r="X1143">
        <v>296520</v>
      </c>
      <c r="Y1143" t="s">
        <v>1073</v>
      </c>
      <c r="Z1143" t="s">
        <v>9368</v>
      </c>
      <c r="AA1143" t="s">
        <v>9268</v>
      </c>
      <c r="AB1143" t="s">
        <v>45</v>
      </c>
      <c r="AC1143" t="s">
        <v>9269</v>
      </c>
    </row>
    <row r="1144" spans="1:29">
      <c r="A1144" t="s">
        <v>9372</v>
      </c>
      <c r="B1144" t="s">
        <v>9373</v>
      </c>
      <c r="C1144" t="s">
        <v>1213</v>
      </c>
      <c r="D1144" t="s">
        <v>9266</v>
      </c>
      <c r="E1144" s="1">
        <v>-3763</v>
      </c>
      <c r="F1144" t="s">
        <v>4714</v>
      </c>
      <c r="G1144" t="s">
        <v>5448</v>
      </c>
      <c r="H1144" t="s">
        <v>8973</v>
      </c>
      <c r="I1144">
        <v>4</v>
      </c>
      <c r="J1144" t="s">
        <v>6784</v>
      </c>
      <c r="K1144">
        <v>78</v>
      </c>
      <c r="L1144" t="s">
        <v>9374</v>
      </c>
      <c r="M1144" t="s">
        <v>9375</v>
      </c>
      <c r="N1144" t="s">
        <v>8973</v>
      </c>
      <c r="O1144" t="s">
        <v>9267</v>
      </c>
      <c r="P1144" t="s">
        <v>9376</v>
      </c>
      <c r="Q1144" t="s">
        <v>9377</v>
      </c>
      <c r="R1144" t="s">
        <v>9378</v>
      </c>
      <c r="S1144" s="2">
        <v>41369</v>
      </c>
      <c r="T1144">
        <v>0</v>
      </c>
      <c r="U1144" t="s">
        <v>9371</v>
      </c>
      <c r="V1144">
        <v>1</v>
      </c>
      <c r="W1144">
        <v>5</v>
      </c>
      <c r="X1144">
        <v>216013</v>
      </c>
      <c r="Y1144" t="s">
        <v>9379</v>
      </c>
      <c r="Z1144" t="s">
        <v>9377</v>
      </c>
      <c r="AA1144" t="s">
        <v>9268</v>
      </c>
      <c r="AB1144" t="s">
        <v>45</v>
      </c>
      <c r="AC1144" t="s">
        <v>9269</v>
      </c>
    </row>
    <row r="1145" spans="1:29">
      <c r="A1145" t="s">
        <v>5174</v>
      </c>
      <c r="B1145" s="1">
        <v>170094</v>
      </c>
      <c r="C1145" t="s">
        <v>4813</v>
      </c>
      <c r="D1145" t="s">
        <v>9266</v>
      </c>
      <c r="E1145" s="1">
        <v>-4106</v>
      </c>
      <c r="F1145" t="s">
        <v>2917</v>
      </c>
      <c r="G1145" t="s">
        <v>669</v>
      </c>
      <c r="H1145" t="s">
        <v>9380</v>
      </c>
      <c r="I1145">
        <v>4</v>
      </c>
      <c r="J1145" t="s">
        <v>476</v>
      </c>
      <c r="K1145">
        <v>72</v>
      </c>
      <c r="L1145" t="s">
        <v>9381</v>
      </c>
      <c r="M1145" t="s">
        <v>9382</v>
      </c>
      <c r="N1145" t="s">
        <v>9383</v>
      </c>
      <c r="O1145" t="s">
        <v>9267</v>
      </c>
      <c r="P1145" t="s">
        <v>9384</v>
      </c>
      <c r="Q1145" t="s">
        <v>9385</v>
      </c>
      <c r="R1145" t="s">
        <v>9386</v>
      </c>
      <c r="S1145" s="2">
        <v>38622</v>
      </c>
      <c r="T1145">
        <v>0</v>
      </c>
      <c r="U1145" t="s">
        <v>9387</v>
      </c>
      <c r="V1145">
        <v>0</v>
      </c>
      <c r="W1145">
        <v>9</v>
      </c>
      <c r="X1145">
        <v>186635</v>
      </c>
      <c r="Y1145" t="s">
        <v>9388</v>
      </c>
      <c r="Z1145" t="s">
        <v>9385</v>
      </c>
      <c r="AA1145" t="s">
        <v>9268</v>
      </c>
      <c r="AB1145" t="s">
        <v>45</v>
      </c>
      <c r="AC1145" t="s">
        <v>9269</v>
      </c>
    </row>
    <row r="1146" spans="1:29">
      <c r="A1146" t="s">
        <v>1513</v>
      </c>
      <c r="B1146" s="1">
        <v>148708</v>
      </c>
      <c r="C1146" t="s">
        <v>2557</v>
      </c>
      <c r="D1146" t="s">
        <v>9266</v>
      </c>
      <c r="E1146" s="1">
        <v>-4918</v>
      </c>
      <c r="F1146" t="s">
        <v>143</v>
      </c>
      <c r="G1146" t="s">
        <v>1457</v>
      </c>
      <c r="H1146" t="s">
        <v>9389</v>
      </c>
      <c r="I1146">
        <v>4</v>
      </c>
      <c r="J1146" t="s">
        <v>1775</v>
      </c>
      <c r="K1146">
        <v>81</v>
      </c>
      <c r="L1146" t="s">
        <v>9390</v>
      </c>
      <c r="M1146" t="s">
        <v>9391</v>
      </c>
      <c r="N1146" t="s">
        <v>9392</v>
      </c>
      <c r="O1146" t="s">
        <v>9267</v>
      </c>
      <c r="P1146" t="s">
        <v>9393</v>
      </c>
      <c r="Q1146" t="s">
        <v>9394</v>
      </c>
      <c r="R1146" t="s">
        <v>9395</v>
      </c>
      <c r="S1146" s="2">
        <v>36312</v>
      </c>
      <c r="T1146">
        <v>0</v>
      </c>
      <c r="U1146" t="s">
        <v>9396</v>
      </c>
      <c r="V1146">
        <v>1</v>
      </c>
      <c r="W1146">
        <v>0</v>
      </c>
      <c r="X1146">
        <v>167067</v>
      </c>
      <c r="Y1146" t="s">
        <v>5354</v>
      </c>
      <c r="Z1146" t="s">
        <v>9394</v>
      </c>
      <c r="AA1146" t="s">
        <v>9268</v>
      </c>
      <c r="AB1146" t="s">
        <v>45</v>
      </c>
      <c r="AC1146" t="s">
        <v>9269</v>
      </c>
    </row>
    <row r="1147" spans="1:29">
      <c r="A1147" t="s">
        <v>891</v>
      </c>
      <c r="B1147" t="s">
        <v>9397</v>
      </c>
      <c r="C1147" t="s">
        <v>4636</v>
      </c>
      <c r="D1147" t="s">
        <v>9266</v>
      </c>
      <c r="E1147" s="1">
        <v>-5146</v>
      </c>
      <c r="F1147" t="s">
        <v>4915</v>
      </c>
      <c r="G1147" t="s">
        <v>2795</v>
      </c>
      <c r="H1147" t="s">
        <v>867</v>
      </c>
      <c r="I1147">
        <v>4</v>
      </c>
      <c r="J1147" t="s">
        <v>1453</v>
      </c>
      <c r="K1147">
        <v>77</v>
      </c>
      <c r="L1147" t="s">
        <v>9398</v>
      </c>
      <c r="M1147" t="s">
        <v>9399</v>
      </c>
      <c r="N1147" t="s">
        <v>9400</v>
      </c>
      <c r="O1147" t="s">
        <v>9267</v>
      </c>
      <c r="P1147" t="s">
        <v>9401</v>
      </c>
      <c r="Q1147" t="s">
        <v>9402</v>
      </c>
      <c r="R1147" t="s">
        <v>9403</v>
      </c>
      <c r="S1147" s="2">
        <v>38251</v>
      </c>
      <c r="T1147">
        <v>0</v>
      </c>
      <c r="U1147" t="s">
        <v>9404</v>
      </c>
      <c r="V1147">
        <v>1</v>
      </c>
      <c r="W1147">
        <v>7</v>
      </c>
      <c r="X1147">
        <v>285653</v>
      </c>
      <c r="Y1147" t="s">
        <v>9405</v>
      </c>
      <c r="Z1147" t="s">
        <v>9402</v>
      </c>
      <c r="AA1147" t="s">
        <v>9268</v>
      </c>
      <c r="AB1147" t="s">
        <v>45</v>
      </c>
      <c r="AC1147" t="s">
        <v>9269</v>
      </c>
    </row>
    <row r="1148" spans="1:29">
      <c r="A1148" t="s">
        <v>863</v>
      </c>
      <c r="B1148" s="1">
        <v>94612</v>
      </c>
      <c r="C1148" t="s">
        <v>1062</v>
      </c>
      <c r="D1148" t="s">
        <v>9266</v>
      </c>
      <c r="E1148" s="1">
        <v>-3188</v>
      </c>
      <c r="F1148" t="s">
        <v>515</v>
      </c>
      <c r="G1148" t="s">
        <v>2261</v>
      </c>
      <c r="H1148" t="s">
        <v>9324</v>
      </c>
      <c r="I1148">
        <v>4</v>
      </c>
      <c r="J1148" t="s">
        <v>3847</v>
      </c>
      <c r="K1148">
        <v>83</v>
      </c>
      <c r="L1148" t="s">
        <v>9406</v>
      </c>
      <c r="M1148" t="s">
        <v>9407</v>
      </c>
      <c r="N1148" t="s">
        <v>9408</v>
      </c>
      <c r="O1148" t="s">
        <v>9267</v>
      </c>
      <c r="P1148" t="s">
        <v>9409</v>
      </c>
      <c r="Q1148" t="s">
        <v>9410</v>
      </c>
      <c r="R1148" t="s">
        <v>9411</v>
      </c>
      <c r="S1148" s="2">
        <v>37684</v>
      </c>
      <c r="T1148" t="s">
        <v>9412</v>
      </c>
      <c r="U1148" t="s">
        <v>9413</v>
      </c>
      <c r="V1148">
        <v>0</v>
      </c>
      <c r="W1148">
        <v>4</v>
      </c>
      <c r="X1148">
        <v>235893</v>
      </c>
      <c r="Y1148" t="s">
        <v>9414</v>
      </c>
      <c r="Z1148" t="s">
        <v>9410</v>
      </c>
      <c r="AA1148" t="s">
        <v>9268</v>
      </c>
      <c r="AB1148" t="s">
        <v>45</v>
      </c>
      <c r="AC1148" t="s">
        <v>9269</v>
      </c>
    </row>
    <row r="1149" spans="1:29">
      <c r="A1149" t="s">
        <v>2672</v>
      </c>
      <c r="B1149" s="1">
        <v>149976</v>
      </c>
      <c r="C1149" t="s">
        <v>2098</v>
      </c>
      <c r="D1149" t="s">
        <v>9266</v>
      </c>
      <c r="E1149" s="1">
        <v>-3689</v>
      </c>
      <c r="F1149" t="s">
        <v>476</v>
      </c>
      <c r="G1149" t="s">
        <v>3578</v>
      </c>
      <c r="H1149" t="s">
        <v>7310</v>
      </c>
      <c r="I1149">
        <v>4</v>
      </c>
      <c r="J1149" t="s">
        <v>8160</v>
      </c>
      <c r="K1149">
        <v>71</v>
      </c>
      <c r="L1149" t="s">
        <v>9415</v>
      </c>
      <c r="M1149" t="s">
        <v>9416</v>
      </c>
      <c r="N1149" t="s">
        <v>9417</v>
      </c>
      <c r="O1149" t="s">
        <v>9267</v>
      </c>
      <c r="P1149" t="s">
        <v>9418</v>
      </c>
      <c r="Q1149" t="s">
        <v>9419</v>
      </c>
      <c r="R1149" t="s">
        <v>9420</v>
      </c>
      <c r="S1149" s="2">
        <v>40610</v>
      </c>
      <c r="T1149" t="s">
        <v>9421</v>
      </c>
      <c r="U1149" t="s">
        <v>9422</v>
      </c>
      <c r="V1149">
        <v>0</v>
      </c>
      <c r="W1149">
        <v>6</v>
      </c>
      <c r="X1149">
        <v>220707</v>
      </c>
      <c r="Y1149" t="s">
        <v>9423</v>
      </c>
      <c r="Z1149" t="s">
        <v>9419</v>
      </c>
      <c r="AA1149" t="s">
        <v>9268</v>
      </c>
      <c r="AB1149" t="s">
        <v>45</v>
      </c>
      <c r="AC1149" t="s">
        <v>9269</v>
      </c>
    </row>
    <row r="1150" spans="1:29">
      <c r="A1150" t="s">
        <v>866</v>
      </c>
      <c r="B1150" s="1">
        <v>110024</v>
      </c>
      <c r="C1150" t="s">
        <v>293</v>
      </c>
      <c r="D1150" t="s">
        <v>9266</v>
      </c>
      <c r="E1150" s="1">
        <v>-6547</v>
      </c>
      <c r="F1150" t="s">
        <v>7792</v>
      </c>
      <c r="G1150" t="s">
        <v>985</v>
      </c>
      <c r="H1150" t="s">
        <v>9389</v>
      </c>
      <c r="I1150">
        <v>4</v>
      </c>
      <c r="J1150" t="s">
        <v>4406</v>
      </c>
      <c r="K1150">
        <v>75</v>
      </c>
      <c r="L1150" t="s">
        <v>9424</v>
      </c>
      <c r="M1150" t="s">
        <v>9425</v>
      </c>
      <c r="N1150" t="s">
        <v>9389</v>
      </c>
      <c r="O1150" t="s">
        <v>9267</v>
      </c>
      <c r="P1150" t="s">
        <v>9426</v>
      </c>
      <c r="Q1150" t="s">
        <v>9427</v>
      </c>
      <c r="R1150" t="s">
        <v>9428</v>
      </c>
      <c r="S1150" s="2">
        <v>37622</v>
      </c>
      <c r="T1150" t="s">
        <v>9429</v>
      </c>
      <c r="U1150" t="s">
        <v>9430</v>
      </c>
      <c r="V1150">
        <v>1</v>
      </c>
      <c r="W1150">
        <v>11</v>
      </c>
      <c r="X1150">
        <v>227240</v>
      </c>
      <c r="Y1150" t="s">
        <v>9431</v>
      </c>
      <c r="Z1150" t="s">
        <v>9427</v>
      </c>
      <c r="AA1150" t="s">
        <v>9268</v>
      </c>
      <c r="AB1150" t="s">
        <v>45</v>
      </c>
      <c r="AC1150" t="s">
        <v>9269</v>
      </c>
    </row>
    <row r="1151" spans="1:29">
      <c r="A1151" t="s">
        <v>3311</v>
      </c>
      <c r="B1151" t="s">
        <v>9432</v>
      </c>
      <c r="C1151" t="s">
        <v>434</v>
      </c>
      <c r="D1151" t="s">
        <v>9266</v>
      </c>
      <c r="E1151" s="1">
        <v>-4095</v>
      </c>
      <c r="F1151" t="s">
        <v>1524</v>
      </c>
      <c r="G1151" t="s">
        <v>7091</v>
      </c>
      <c r="H1151" t="s">
        <v>867</v>
      </c>
      <c r="I1151">
        <v>4</v>
      </c>
      <c r="J1151" t="s">
        <v>9433</v>
      </c>
      <c r="K1151">
        <v>70</v>
      </c>
      <c r="L1151" t="s">
        <v>9434</v>
      </c>
      <c r="M1151" t="s">
        <v>9435</v>
      </c>
      <c r="N1151" t="s">
        <v>9436</v>
      </c>
      <c r="O1151" t="s">
        <v>9267</v>
      </c>
      <c r="P1151" t="s">
        <v>9437</v>
      </c>
      <c r="Q1151" t="s">
        <v>9438</v>
      </c>
      <c r="R1151" t="s">
        <v>9439</v>
      </c>
      <c r="S1151" s="2">
        <v>43056</v>
      </c>
      <c r="T1151" t="s">
        <v>9440</v>
      </c>
      <c r="U1151" t="s">
        <v>9441</v>
      </c>
      <c r="V1151">
        <v>1</v>
      </c>
      <c r="W1151">
        <v>8</v>
      </c>
      <c r="X1151">
        <v>262333</v>
      </c>
      <c r="Y1151" t="s">
        <v>8912</v>
      </c>
      <c r="Z1151" t="s">
        <v>9438</v>
      </c>
      <c r="AA1151" t="s">
        <v>9268</v>
      </c>
      <c r="AB1151" t="s">
        <v>45</v>
      </c>
      <c r="AC1151" t="s">
        <v>9269</v>
      </c>
    </row>
    <row r="1152" spans="1:29">
      <c r="A1152" t="s">
        <v>8906</v>
      </c>
      <c r="B1152" s="1">
        <v>186113</v>
      </c>
      <c r="C1152" t="s">
        <v>3736</v>
      </c>
      <c r="D1152" t="s">
        <v>9266</v>
      </c>
      <c r="E1152" s="1">
        <v>-2042</v>
      </c>
      <c r="F1152" t="s">
        <v>2174</v>
      </c>
      <c r="G1152" t="s">
        <v>159</v>
      </c>
      <c r="H1152" t="s">
        <v>867</v>
      </c>
      <c r="I1152">
        <v>4</v>
      </c>
      <c r="J1152" t="s">
        <v>7714</v>
      </c>
      <c r="K1152">
        <v>79</v>
      </c>
      <c r="L1152" t="s">
        <v>9442</v>
      </c>
      <c r="M1152" t="s">
        <v>9443</v>
      </c>
      <c r="N1152" t="s">
        <v>9400</v>
      </c>
      <c r="O1152" t="s">
        <v>9267</v>
      </c>
      <c r="P1152" t="s">
        <v>9444</v>
      </c>
      <c r="Q1152" t="s">
        <v>9445</v>
      </c>
      <c r="R1152" t="s">
        <v>9400</v>
      </c>
      <c r="S1152" s="2">
        <v>38251</v>
      </c>
      <c r="T1152" t="s">
        <v>9446</v>
      </c>
      <c r="U1152" t="s">
        <v>9404</v>
      </c>
      <c r="V1152">
        <v>1</v>
      </c>
      <c r="W1152">
        <v>1</v>
      </c>
      <c r="X1152">
        <v>176346</v>
      </c>
      <c r="Y1152" t="s">
        <v>9447</v>
      </c>
      <c r="Z1152" t="s">
        <v>9445</v>
      </c>
      <c r="AA1152" t="s">
        <v>9268</v>
      </c>
      <c r="AB1152" t="s">
        <v>45</v>
      </c>
      <c r="AC1152" t="s">
        <v>9269</v>
      </c>
    </row>
    <row r="1153" spans="1:29">
      <c r="A1153" t="s">
        <v>2984</v>
      </c>
      <c r="B1153" s="1">
        <v>87904</v>
      </c>
      <c r="C1153" t="s">
        <v>838</v>
      </c>
      <c r="D1153" t="s">
        <v>9266</v>
      </c>
      <c r="E1153" s="1">
        <v>-3761</v>
      </c>
      <c r="F1153" t="s">
        <v>744</v>
      </c>
      <c r="G1153" t="s">
        <v>392</v>
      </c>
      <c r="H1153" t="s">
        <v>9448</v>
      </c>
      <c r="I1153">
        <v>4</v>
      </c>
      <c r="J1153" t="s">
        <v>8613</v>
      </c>
      <c r="K1153">
        <v>68</v>
      </c>
      <c r="L1153" t="s">
        <v>9449</v>
      </c>
      <c r="M1153" t="s">
        <v>9450</v>
      </c>
      <c r="N1153" t="s">
        <v>9451</v>
      </c>
      <c r="O1153" t="s">
        <v>9267</v>
      </c>
      <c r="P1153" t="s">
        <v>9452</v>
      </c>
      <c r="Q1153" t="s">
        <v>9453</v>
      </c>
      <c r="R1153" t="s">
        <v>9454</v>
      </c>
      <c r="S1153" s="2">
        <v>38482</v>
      </c>
      <c r="T1153">
        <v>0</v>
      </c>
      <c r="U1153" t="s">
        <v>9455</v>
      </c>
      <c r="V1153">
        <v>1</v>
      </c>
      <c r="W1153">
        <v>5</v>
      </c>
      <c r="X1153">
        <v>196093</v>
      </c>
      <c r="Y1153" t="s">
        <v>9456</v>
      </c>
      <c r="Z1153" t="s">
        <v>9453</v>
      </c>
      <c r="AA1153" t="s">
        <v>9268</v>
      </c>
      <c r="AB1153" t="s">
        <v>45</v>
      </c>
      <c r="AC1153" t="s">
        <v>9269</v>
      </c>
    </row>
    <row r="1154" spans="1:29">
      <c r="A1154" t="s">
        <v>346</v>
      </c>
      <c r="B1154" s="1">
        <v>137715</v>
      </c>
      <c r="C1154" t="s">
        <v>3163</v>
      </c>
      <c r="D1154" t="s">
        <v>9266</v>
      </c>
      <c r="E1154" s="1">
        <v>-6607</v>
      </c>
      <c r="F1154" t="s">
        <v>1799</v>
      </c>
      <c r="G1154" t="s">
        <v>1980</v>
      </c>
      <c r="H1154" t="s">
        <v>8973</v>
      </c>
      <c r="I1154">
        <v>3</v>
      </c>
      <c r="J1154" t="s">
        <v>9457</v>
      </c>
      <c r="K1154">
        <v>74</v>
      </c>
      <c r="L1154" t="s">
        <v>9458</v>
      </c>
      <c r="M1154" t="s">
        <v>9459</v>
      </c>
      <c r="N1154" t="s">
        <v>9460</v>
      </c>
      <c r="O1154" t="s">
        <v>9267</v>
      </c>
      <c r="P1154" t="s">
        <v>9461</v>
      </c>
      <c r="Q1154" t="s">
        <v>9462</v>
      </c>
      <c r="R1154" t="s">
        <v>9463</v>
      </c>
      <c r="S1154" s="2">
        <v>40084</v>
      </c>
      <c r="T1154">
        <v>0</v>
      </c>
      <c r="U1154" t="s">
        <v>9464</v>
      </c>
      <c r="V1154">
        <v>1</v>
      </c>
      <c r="W1154">
        <v>4</v>
      </c>
      <c r="X1154">
        <v>267653</v>
      </c>
      <c r="Y1154" t="s">
        <v>1347</v>
      </c>
      <c r="Z1154" t="s">
        <v>9462</v>
      </c>
      <c r="AA1154" t="s">
        <v>9268</v>
      </c>
      <c r="AB1154" t="s">
        <v>45</v>
      </c>
      <c r="AC1154" t="s">
        <v>9269</v>
      </c>
    </row>
    <row r="1155" spans="1:29">
      <c r="A1155" t="s">
        <v>487</v>
      </c>
      <c r="B1155" s="1">
        <v>119921</v>
      </c>
      <c r="C1155" t="s">
        <v>361</v>
      </c>
      <c r="D1155" t="s">
        <v>9266</v>
      </c>
      <c r="E1155" s="1">
        <v>-4718</v>
      </c>
      <c r="F1155" t="s">
        <v>1991</v>
      </c>
      <c r="G1155" t="s">
        <v>2012</v>
      </c>
      <c r="H1155" t="s">
        <v>9465</v>
      </c>
      <c r="I1155">
        <v>4</v>
      </c>
      <c r="J1155" t="s">
        <v>7571</v>
      </c>
      <c r="K1155">
        <v>68</v>
      </c>
      <c r="L1155" t="s">
        <v>9466</v>
      </c>
      <c r="M1155" t="s">
        <v>9467</v>
      </c>
      <c r="N1155" t="s">
        <v>9468</v>
      </c>
      <c r="O1155" t="s">
        <v>9267</v>
      </c>
      <c r="P1155" t="s">
        <v>9469</v>
      </c>
      <c r="Q1155" t="s">
        <v>9470</v>
      </c>
      <c r="R1155" t="s">
        <v>9471</v>
      </c>
      <c r="S1155" s="2">
        <v>43651</v>
      </c>
      <c r="T1155">
        <v>0</v>
      </c>
      <c r="U1155" t="s">
        <v>9472</v>
      </c>
      <c r="V1155">
        <v>1</v>
      </c>
      <c r="W1155">
        <v>7</v>
      </c>
      <c r="X1155">
        <v>169397</v>
      </c>
      <c r="Y1155" t="s">
        <v>4783</v>
      </c>
      <c r="Z1155" t="s">
        <v>9470</v>
      </c>
      <c r="AA1155" t="s">
        <v>9268</v>
      </c>
      <c r="AB1155" t="s">
        <v>45</v>
      </c>
      <c r="AC1155" t="s">
        <v>9269</v>
      </c>
    </row>
    <row r="1156" spans="1:29">
      <c r="A1156" t="s">
        <v>1236</v>
      </c>
      <c r="B1156" s="1">
        <v>103408</v>
      </c>
      <c r="C1156" t="s">
        <v>6377</v>
      </c>
      <c r="D1156" t="s">
        <v>9266</v>
      </c>
      <c r="E1156" s="1">
        <v>-2757</v>
      </c>
      <c r="F1156" t="s">
        <v>983</v>
      </c>
      <c r="G1156" t="s">
        <v>392</v>
      </c>
      <c r="H1156" t="s">
        <v>9473</v>
      </c>
      <c r="I1156">
        <v>4</v>
      </c>
      <c r="J1156" t="s">
        <v>854</v>
      </c>
      <c r="K1156">
        <v>74</v>
      </c>
      <c r="L1156" t="s">
        <v>9474</v>
      </c>
      <c r="M1156" t="s">
        <v>9475</v>
      </c>
      <c r="N1156" t="s">
        <v>9476</v>
      </c>
      <c r="O1156" t="s">
        <v>9267</v>
      </c>
      <c r="P1156" t="s">
        <v>9477</v>
      </c>
      <c r="Q1156" t="s">
        <v>9478</v>
      </c>
      <c r="R1156" t="s">
        <v>9479</v>
      </c>
      <c r="S1156" s="2">
        <v>36213</v>
      </c>
      <c r="T1156">
        <v>0</v>
      </c>
      <c r="U1156" t="s">
        <v>9480</v>
      </c>
      <c r="V1156">
        <v>1</v>
      </c>
      <c r="W1156">
        <v>4</v>
      </c>
      <c r="X1156">
        <v>169027</v>
      </c>
      <c r="Y1156" t="s">
        <v>9481</v>
      </c>
      <c r="Z1156" t="s">
        <v>9478</v>
      </c>
      <c r="AA1156" t="s">
        <v>9268</v>
      </c>
      <c r="AB1156" t="s">
        <v>45</v>
      </c>
      <c r="AC1156" t="s">
        <v>9269</v>
      </c>
    </row>
    <row r="1157" spans="1:29">
      <c r="A1157" t="s">
        <v>500</v>
      </c>
      <c r="B1157" s="1">
        <v>173734</v>
      </c>
      <c r="C1157" t="s">
        <v>930</v>
      </c>
      <c r="D1157" t="s">
        <v>9266</v>
      </c>
      <c r="E1157" s="1">
        <v>-3751</v>
      </c>
      <c r="F1157" t="s">
        <v>9482</v>
      </c>
      <c r="G1157" t="s">
        <v>80</v>
      </c>
      <c r="H1157" t="s">
        <v>9483</v>
      </c>
      <c r="I1157">
        <v>4</v>
      </c>
      <c r="J1157" t="s">
        <v>9484</v>
      </c>
      <c r="K1157">
        <v>71</v>
      </c>
      <c r="L1157" t="s">
        <v>9485</v>
      </c>
      <c r="M1157" t="s">
        <v>9486</v>
      </c>
      <c r="N1157" t="s">
        <v>9487</v>
      </c>
      <c r="O1157" t="s">
        <v>9267</v>
      </c>
      <c r="P1157" t="s">
        <v>9488</v>
      </c>
      <c r="Q1157" t="s">
        <v>9489</v>
      </c>
      <c r="R1157" t="s">
        <v>9487</v>
      </c>
      <c r="S1157" s="2">
        <v>37622</v>
      </c>
      <c r="T1157" t="s">
        <v>9490</v>
      </c>
      <c r="U1157" t="s">
        <v>9491</v>
      </c>
      <c r="V1157">
        <v>0</v>
      </c>
      <c r="W1157">
        <v>6</v>
      </c>
      <c r="X1157">
        <v>198267</v>
      </c>
      <c r="Y1157" t="s">
        <v>9492</v>
      </c>
      <c r="Z1157" t="s">
        <v>9489</v>
      </c>
      <c r="AA1157" t="s">
        <v>9268</v>
      </c>
      <c r="AB1157" t="s">
        <v>45</v>
      </c>
      <c r="AC1157" t="s">
        <v>9269</v>
      </c>
    </row>
    <row r="1158" spans="1:29">
      <c r="A1158" t="s">
        <v>1199</v>
      </c>
      <c r="B1158" s="1">
        <v>92956</v>
      </c>
      <c r="C1158" t="s">
        <v>3767</v>
      </c>
      <c r="D1158" t="s">
        <v>9266</v>
      </c>
      <c r="E1158" s="1">
        <v>-2189</v>
      </c>
      <c r="F1158" t="s">
        <v>743</v>
      </c>
      <c r="G1158" t="s">
        <v>771</v>
      </c>
      <c r="H1158" t="s">
        <v>9493</v>
      </c>
      <c r="I1158">
        <v>4</v>
      </c>
      <c r="J1158" t="s">
        <v>3196</v>
      </c>
      <c r="K1158">
        <v>75</v>
      </c>
      <c r="L1158" t="s">
        <v>9494</v>
      </c>
      <c r="M1158" t="s">
        <v>9495</v>
      </c>
      <c r="N1158" t="s">
        <v>9496</v>
      </c>
      <c r="O1158" t="s">
        <v>9267</v>
      </c>
      <c r="P1158" t="s">
        <v>9497</v>
      </c>
      <c r="Q1158" t="s">
        <v>9498</v>
      </c>
      <c r="R1158" t="s">
        <v>9499</v>
      </c>
      <c r="S1158" s="2">
        <v>38718</v>
      </c>
      <c r="T1158">
        <v>0</v>
      </c>
      <c r="U1158" t="s">
        <v>9500</v>
      </c>
      <c r="V1158">
        <v>0</v>
      </c>
      <c r="W1158">
        <v>7</v>
      </c>
      <c r="X1158">
        <v>192000</v>
      </c>
      <c r="Y1158" t="s">
        <v>9501</v>
      </c>
      <c r="Z1158" t="s">
        <v>9498</v>
      </c>
      <c r="AA1158" t="s">
        <v>9268</v>
      </c>
      <c r="AB1158" t="s">
        <v>45</v>
      </c>
      <c r="AC1158" t="s">
        <v>9269</v>
      </c>
    </row>
    <row r="1159" spans="1:29">
      <c r="A1159" t="s">
        <v>6077</v>
      </c>
      <c r="B1159" s="1">
        <v>143519</v>
      </c>
      <c r="C1159" t="s">
        <v>43</v>
      </c>
      <c r="D1159" t="s">
        <v>9266</v>
      </c>
      <c r="E1159" s="1">
        <v>-4542</v>
      </c>
      <c r="F1159" t="s">
        <v>3044</v>
      </c>
      <c r="G1159" t="s">
        <v>157</v>
      </c>
      <c r="H1159" t="s">
        <v>9502</v>
      </c>
      <c r="I1159">
        <v>4</v>
      </c>
      <c r="J1159" t="s">
        <v>4737</v>
      </c>
      <c r="K1159">
        <v>68</v>
      </c>
      <c r="L1159" t="s">
        <v>9503</v>
      </c>
      <c r="M1159" t="s">
        <v>9504</v>
      </c>
      <c r="N1159" t="s">
        <v>9505</v>
      </c>
      <c r="O1159" t="s">
        <v>9267</v>
      </c>
      <c r="P1159" t="s">
        <v>9506</v>
      </c>
      <c r="Q1159" t="s">
        <v>9507</v>
      </c>
      <c r="R1159" t="s">
        <v>9508</v>
      </c>
      <c r="S1159" s="2">
        <v>38874</v>
      </c>
      <c r="T1159" t="s">
        <v>9509</v>
      </c>
      <c r="U1159" t="s">
        <v>9510</v>
      </c>
      <c r="V1159">
        <v>1</v>
      </c>
      <c r="W1159">
        <v>8</v>
      </c>
      <c r="X1159">
        <v>206587</v>
      </c>
      <c r="Y1159" t="s">
        <v>9511</v>
      </c>
      <c r="Z1159" t="s">
        <v>9507</v>
      </c>
      <c r="AA1159" t="s">
        <v>9268</v>
      </c>
      <c r="AB1159" t="s">
        <v>45</v>
      </c>
      <c r="AC1159" t="s">
        <v>9269</v>
      </c>
    </row>
    <row r="1160" spans="1:29">
      <c r="A1160" t="s">
        <v>6809</v>
      </c>
      <c r="B1160" s="1">
        <v>154844</v>
      </c>
      <c r="C1160" t="s">
        <v>6948</v>
      </c>
      <c r="D1160" t="s">
        <v>9266</v>
      </c>
      <c r="E1160" s="1">
        <v>-5046</v>
      </c>
      <c r="F1160" t="s">
        <v>582</v>
      </c>
      <c r="G1160" t="s">
        <v>2641</v>
      </c>
      <c r="H1160" t="s">
        <v>9512</v>
      </c>
      <c r="I1160">
        <v>4</v>
      </c>
      <c r="J1160" t="s">
        <v>4772</v>
      </c>
      <c r="K1160">
        <v>77</v>
      </c>
      <c r="L1160" t="s">
        <v>9513</v>
      </c>
      <c r="M1160" t="s">
        <v>9514</v>
      </c>
      <c r="N1160" t="s">
        <v>9515</v>
      </c>
      <c r="O1160" t="s">
        <v>9267</v>
      </c>
      <c r="P1160" t="s">
        <v>9516</v>
      </c>
      <c r="Q1160" t="s">
        <v>9517</v>
      </c>
      <c r="R1160" t="s">
        <v>9518</v>
      </c>
      <c r="S1160" s="2">
        <v>39083</v>
      </c>
      <c r="T1160">
        <v>0</v>
      </c>
      <c r="U1160" t="s">
        <v>9519</v>
      </c>
      <c r="V1160">
        <v>0</v>
      </c>
      <c r="W1160">
        <v>10</v>
      </c>
      <c r="X1160">
        <v>203507</v>
      </c>
      <c r="Y1160" t="s">
        <v>9520</v>
      </c>
      <c r="Z1160" t="s">
        <v>9517</v>
      </c>
      <c r="AA1160" t="s">
        <v>9268</v>
      </c>
      <c r="AB1160" t="s">
        <v>45</v>
      </c>
      <c r="AC1160" t="s">
        <v>9269</v>
      </c>
    </row>
    <row r="1161" spans="1:29">
      <c r="A1161" t="s">
        <v>4376</v>
      </c>
      <c r="B1161" s="1">
        <v>111647</v>
      </c>
      <c r="C1161" t="s">
        <v>2611</v>
      </c>
      <c r="D1161" t="s">
        <v>9266</v>
      </c>
      <c r="E1161" s="1">
        <v>-3063</v>
      </c>
      <c r="F1161" t="s">
        <v>1619</v>
      </c>
      <c r="G1161" t="s">
        <v>2569</v>
      </c>
      <c r="H1161" t="s">
        <v>9038</v>
      </c>
      <c r="I1161">
        <v>4</v>
      </c>
      <c r="J1161" t="s">
        <v>4753</v>
      </c>
      <c r="K1161">
        <v>79</v>
      </c>
      <c r="L1161" t="s">
        <v>9521</v>
      </c>
      <c r="M1161" t="s">
        <v>9522</v>
      </c>
      <c r="N1161" t="s">
        <v>9042</v>
      </c>
      <c r="O1161" t="s">
        <v>9267</v>
      </c>
      <c r="P1161" t="s">
        <v>9523</v>
      </c>
      <c r="Q1161" t="s">
        <v>9524</v>
      </c>
      <c r="R1161" t="s">
        <v>9525</v>
      </c>
      <c r="S1161" s="2">
        <v>39013</v>
      </c>
      <c r="T1161">
        <v>0</v>
      </c>
      <c r="U1161" t="s">
        <v>9047</v>
      </c>
      <c r="V1161">
        <v>1</v>
      </c>
      <c r="W1161">
        <v>4</v>
      </c>
      <c r="X1161">
        <v>161920</v>
      </c>
      <c r="Y1161" t="s">
        <v>7688</v>
      </c>
      <c r="Z1161" t="s">
        <v>9524</v>
      </c>
      <c r="AA1161" t="s">
        <v>9268</v>
      </c>
      <c r="AB1161" t="s">
        <v>45</v>
      </c>
      <c r="AC1161" t="s">
        <v>9269</v>
      </c>
    </row>
    <row r="1162" spans="1:29">
      <c r="A1162" t="s">
        <v>7018</v>
      </c>
      <c r="B1162" s="1">
        <v>196482</v>
      </c>
      <c r="C1162" t="s">
        <v>2844</v>
      </c>
      <c r="D1162" t="s">
        <v>9266</v>
      </c>
      <c r="E1162" s="1">
        <v>-5215</v>
      </c>
      <c r="F1162" t="s">
        <v>3826</v>
      </c>
      <c r="G1162" t="s">
        <v>2386</v>
      </c>
      <c r="H1162" t="s">
        <v>9526</v>
      </c>
      <c r="I1162">
        <v>4</v>
      </c>
      <c r="J1162" t="s">
        <v>2117</v>
      </c>
      <c r="K1162">
        <v>73</v>
      </c>
      <c r="L1162" t="s">
        <v>9527</v>
      </c>
      <c r="M1162" t="s">
        <v>9528</v>
      </c>
      <c r="N1162" t="s">
        <v>9529</v>
      </c>
      <c r="O1162" t="s">
        <v>9267</v>
      </c>
      <c r="P1162" t="s">
        <v>9530</v>
      </c>
      <c r="Q1162" t="s">
        <v>9531</v>
      </c>
      <c r="R1162" t="s">
        <v>9532</v>
      </c>
      <c r="S1162" s="2">
        <v>36892</v>
      </c>
      <c r="T1162">
        <v>0</v>
      </c>
      <c r="U1162" t="s">
        <v>9533</v>
      </c>
      <c r="V1162">
        <v>1</v>
      </c>
      <c r="W1162">
        <v>9</v>
      </c>
      <c r="X1162">
        <v>178267</v>
      </c>
      <c r="Y1162" t="s">
        <v>9534</v>
      </c>
      <c r="Z1162" t="s">
        <v>9531</v>
      </c>
      <c r="AA1162" t="s">
        <v>9268</v>
      </c>
      <c r="AB1162" t="s">
        <v>45</v>
      </c>
      <c r="AC1162" t="s">
        <v>9269</v>
      </c>
    </row>
    <row r="1163" spans="1:29">
      <c r="A1163" t="s">
        <v>5611</v>
      </c>
      <c r="B1163" s="1">
        <v>157663</v>
      </c>
      <c r="C1163" t="s">
        <v>3632</v>
      </c>
      <c r="D1163" t="s">
        <v>9266</v>
      </c>
      <c r="E1163" s="1">
        <v>-7419</v>
      </c>
      <c r="F1163" t="s">
        <v>3635</v>
      </c>
      <c r="G1163" t="s">
        <v>3431</v>
      </c>
      <c r="H1163" t="s">
        <v>9389</v>
      </c>
      <c r="I1163">
        <v>4</v>
      </c>
      <c r="J1163" t="s">
        <v>8392</v>
      </c>
      <c r="K1163">
        <v>77</v>
      </c>
      <c r="L1163" t="s">
        <v>9535</v>
      </c>
      <c r="M1163" t="s">
        <v>9536</v>
      </c>
      <c r="N1163" t="s">
        <v>9392</v>
      </c>
      <c r="O1163" t="s">
        <v>9267</v>
      </c>
      <c r="P1163" t="s">
        <v>9537</v>
      </c>
      <c r="Q1163" t="s">
        <v>9538</v>
      </c>
      <c r="R1163" t="s">
        <v>9539</v>
      </c>
      <c r="S1163" s="2">
        <v>36312</v>
      </c>
      <c r="T1163" t="s">
        <v>9540</v>
      </c>
      <c r="U1163" t="s">
        <v>9396</v>
      </c>
      <c r="V1163">
        <v>1</v>
      </c>
      <c r="W1163">
        <v>6</v>
      </c>
      <c r="X1163">
        <v>148360</v>
      </c>
      <c r="Y1163" t="s">
        <v>9541</v>
      </c>
      <c r="Z1163" t="s">
        <v>9538</v>
      </c>
      <c r="AA1163" t="s">
        <v>9268</v>
      </c>
      <c r="AB1163" t="s">
        <v>45</v>
      </c>
      <c r="AC1163" t="s">
        <v>9269</v>
      </c>
    </row>
    <row r="1164" spans="1:29">
      <c r="A1164" t="s">
        <v>407</v>
      </c>
      <c r="B1164" s="1">
        <v>138559</v>
      </c>
      <c r="C1164" t="s">
        <v>5292</v>
      </c>
      <c r="D1164" t="s">
        <v>9266</v>
      </c>
      <c r="E1164" s="1">
        <v>-6679</v>
      </c>
      <c r="F1164" t="s">
        <v>4347</v>
      </c>
      <c r="G1164" t="s">
        <v>2241</v>
      </c>
      <c r="H1164" t="s">
        <v>9542</v>
      </c>
      <c r="I1164">
        <v>4</v>
      </c>
      <c r="J1164" t="s">
        <v>4261</v>
      </c>
      <c r="K1164">
        <v>84</v>
      </c>
      <c r="L1164" t="s">
        <v>9543</v>
      </c>
      <c r="M1164" t="s">
        <v>9544</v>
      </c>
      <c r="N1164" t="s">
        <v>9545</v>
      </c>
      <c r="O1164" t="s">
        <v>9267</v>
      </c>
      <c r="P1164" t="s">
        <v>9546</v>
      </c>
      <c r="Q1164" t="s">
        <v>9547</v>
      </c>
      <c r="R1164" t="s">
        <v>9548</v>
      </c>
      <c r="S1164" s="2">
        <v>38495</v>
      </c>
      <c r="T1164" t="s">
        <v>9549</v>
      </c>
      <c r="U1164" t="s">
        <v>9550</v>
      </c>
      <c r="V1164">
        <v>1</v>
      </c>
      <c r="W1164">
        <v>6</v>
      </c>
      <c r="X1164">
        <v>222640</v>
      </c>
      <c r="Y1164" t="s">
        <v>9551</v>
      </c>
      <c r="Z1164" t="s">
        <v>9547</v>
      </c>
      <c r="AA1164" t="s">
        <v>9268</v>
      </c>
      <c r="AB1164" t="s">
        <v>45</v>
      </c>
      <c r="AC1164" t="s">
        <v>9269</v>
      </c>
    </row>
    <row r="1165" spans="1:29">
      <c r="A1165" t="s">
        <v>3379</v>
      </c>
      <c r="B1165" s="1">
        <v>179722</v>
      </c>
      <c r="C1165" t="s">
        <v>3055</v>
      </c>
      <c r="D1165" t="s">
        <v>9266</v>
      </c>
      <c r="E1165" s="1">
        <v>-3427</v>
      </c>
      <c r="F1165" t="s">
        <v>2031</v>
      </c>
      <c r="G1165" t="s">
        <v>1749</v>
      </c>
      <c r="H1165" t="s">
        <v>9038</v>
      </c>
      <c r="I1165">
        <v>4</v>
      </c>
      <c r="J1165" t="s">
        <v>1723</v>
      </c>
      <c r="K1165">
        <v>74</v>
      </c>
      <c r="L1165" t="s">
        <v>9552</v>
      </c>
      <c r="M1165" t="s">
        <v>9553</v>
      </c>
      <c r="N1165" t="s">
        <v>9554</v>
      </c>
      <c r="O1165" t="s">
        <v>9267</v>
      </c>
      <c r="P1165" t="s">
        <v>9555</v>
      </c>
      <c r="Q1165" t="s">
        <v>9556</v>
      </c>
      <c r="R1165" t="s">
        <v>9557</v>
      </c>
      <c r="S1165" s="2">
        <v>38146</v>
      </c>
      <c r="T1165">
        <v>0</v>
      </c>
      <c r="U1165" t="s">
        <v>9558</v>
      </c>
      <c r="V1165">
        <v>1</v>
      </c>
      <c r="W1165">
        <v>9</v>
      </c>
      <c r="X1165">
        <v>186480</v>
      </c>
      <c r="Y1165" t="s">
        <v>9559</v>
      </c>
      <c r="Z1165" t="s">
        <v>9556</v>
      </c>
      <c r="AA1165" t="s">
        <v>9268</v>
      </c>
      <c r="AB1165" t="s">
        <v>45</v>
      </c>
      <c r="AC1165" t="s">
        <v>9269</v>
      </c>
    </row>
    <row r="1166" spans="1:29">
      <c r="A1166" t="s">
        <v>6756</v>
      </c>
      <c r="B1166" s="1">
        <v>164057</v>
      </c>
      <c r="C1166" t="s">
        <v>5846</v>
      </c>
      <c r="D1166" t="s">
        <v>9266</v>
      </c>
      <c r="E1166" s="1">
        <v>-4219</v>
      </c>
      <c r="F1166" t="s">
        <v>366</v>
      </c>
      <c r="G1166" t="s">
        <v>491</v>
      </c>
      <c r="H1166" t="s">
        <v>8973</v>
      </c>
      <c r="I1166">
        <v>4</v>
      </c>
      <c r="J1166" t="s">
        <v>5474</v>
      </c>
      <c r="K1166">
        <v>71</v>
      </c>
      <c r="L1166" t="s">
        <v>8974</v>
      </c>
      <c r="M1166" t="s">
        <v>8975</v>
      </c>
      <c r="N1166" t="s">
        <v>8976</v>
      </c>
      <c r="O1166" t="s">
        <v>9267</v>
      </c>
      <c r="P1166" t="s">
        <v>8977</v>
      </c>
      <c r="Q1166" t="s">
        <v>8978</v>
      </c>
      <c r="R1166" t="s">
        <v>8976</v>
      </c>
      <c r="S1166" s="2">
        <v>39756</v>
      </c>
      <c r="T1166" t="s">
        <v>8979</v>
      </c>
      <c r="U1166" t="s">
        <v>8980</v>
      </c>
      <c r="V1166">
        <v>0</v>
      </c>
      <c r="W1166">
        <v>10</v>
      </c>
      <c r="X1166">
        <v>261960</v>
      </c>
      <c r="Y1166" t="s">
        <v>8981</v>
      </c>
      <c r="Z1166" t="s">
        <v>8978</v>
      </c>
      <c r="AA1166" t="s">
        <v>9268</v>
      </c>
      <c r="AB1166" t="s">
        <v>45</v>
      </c>
      <c r="AC1166" t="s">
        <v>9269</v>
      </c>
    </row>
    <row r="1167" spans="1:29">
      <c r="A1167" t="s">
        <v>5292</v>
      </c>
      <c r="B1167" s="1">
        <v>119965</v>
      </c>
      <c r="C1167" t="s">
        <v>3888</v>
      </c>
      <c r="D1167" t="s">
        <v>9266</v>
      </c>
      <c r="E1167" s="1">
        <v>-5379</v>
      </c>
      <c r="F1167" t="s">
        <v>2566</v>
      </c>
      <c r="G1167" t="s">
        <v>1823</v>
      </c>
      <c r="H1167" t="s">
        <v>8973</v>
      </c>
      <c r="I1167">
        <v>4</v>
      </c>
      <c r="J1167" t="s">
        <v>7514</v>
      </c>
      <c r="K1167">
        <v>73</v>
      </c>
      <c r="L1167" t="s">
        <v>9560</v>
      </c>
      <c r="M1167" t="s">
        <v>9561</v>
      </c>
      <c r="N1167" t="s">
        <v>9562</v>
      </c>
      <c r="O1167" t="s">
        <v>9267</v>
      </c>
      <c r="P1167" t="s">
        <v>9563</v>
      </c>
      <c r="Q1167" t="s">
        <v>9564</v>
      </c>
      <c r="R1167" t="s">
        <v>9565</v>
      </c>
      <c r="S1167" s="2">
        <v>42867</v>
      </c>
      <c r="T1167" t="s">
        <v>9566</v>
      </c>
      <c r="U1167" t="s">
        <v>9567</v>
      </c>
      <c r="V1167">
        <v>0</v>
      </c>
      <c r="W1167">
        <v>5</v>
      </c>
      <c r="X1167">
        <v>182693</v>
      </c>
      <c r="Y1167" t="s">
        <v>9568</v>
      </c>
      <c r="Z1167" t="s">
        <v>9564</v>
      </c>
      <c r="AA1167" t="s">
        <v>9268</v>
      </c>
      <c r="AB1167" t="s">
        <v>45</v>
      </c>
      <c r="AC1167" t="s">
        <v>9269</v>
      </c>
    </row>
    <row r="1168" spans="1:29">
      <c r="A1168" t="s">
        <v>6147</v>
      </c>
      <c r="B1168" s="1">
        <v>125921</v>
      </c>
      <c r="C1168" t="s">
        <v>997</v>
      </c>
      <c r="D1168" t="s">
        <v>9266</v>
      </c>
      <c r="E1168" s="1">
        <v>-3487</v>
      </c>
      <c r="F1168" t="s">
        <v>1980</v>
      </c>
      <c r="G1168" t="s">
        <v>3205</v>
      </c>
      <c r="H1168" t="s">
        <v>9038</v>
      </c>
      <c r="I1168">
        <v>4</v>
      </c>
      <c r="J1168" t="s">
        <v>189</v>
      </c>
      <c r="K1168">
        <v>76</v>
      </c>
      <c r="L1168" t="s">
        <v>9569</v>
      </c>
      <c r="M1168" t="s">
        <v>9570</v>
      </c>
      <c r="N1168" t="s">
        <v>9554</v>
      </c>
      <c r="O1168" t="s">
        <v>9267</v>
      </c>
      <c r="P1168" t="s">
        <v>9571</v>
      </c>
      <c r="Q1168" t="s">
        <v>9572</v>
      </c>
      <c r="R1168" t="s">
        <v>9573</v>
      </c>
      <c r="S1168" s="2">
        <v>38146</v>
      </c>
      <c r="T1168">
        <v>0</v>
      </c>
      <c r="U1168" t="s">
        <v>9558</v>
      </c>
      <c r="V1168">
        <v>1</v>
      </c>
      <c r="W1168">
        <v>4</v>
      </c>
      <c r="X1168">
        <v>204733</v>
      </c>
      <c r="Y1168" t="s">
        <v>9574</v>
      </c>
      <c r="Z1168" t="s">
        <v>9572</v>
      </c>
      <c r="AA1168" t="s">
        <v>9268</v>
      </c>
      <c r="AB1168" t="s">
        <v>45</v>
      </c>
      <c r="AC1168" t="s">
        <v>9269</v>
      </c>
    </row>
    <row r="1169" spans="1:29">
      <c r="A1169" t="s">
        <v>1384</v>
      </c>
      <c r="B1169" s="1">
        <v>122252</v>
      </c>
      <c r="C1169" t="s">
        <v>133</v>
      </c>
      <c r="D1169" t="s">
        <v>9266</v>
      </c>
      <c r="E1169" s="1">
        <v>-3679</v>
      </c>
      <c r="F1169" t="s">
        <v>2342</v>
      </c>
      <c r="G1169" t="s">
        <v>4712</v>
      </c>
      <c r="H1169" t="s">
        <v>9038</v>
      </c>
      <c r="I1169">
        <v>4</v>
      </c>
      <c r="J1169" t="s">
        <v>582</v>
      </c>
      <c r="K1169">
        <v>72</v>
      </c>
      <c r="L1169" t="s">
        <v>9575</v>
      </c>
      <c r="M1169" t="s">
        <v>9576</v>
      </c>
      <c r="N1169" t="s">
        <v>9042</v>
      </c>
      <c r="O1169" t="s">
        <v>9267</v>
      </c>
      <c r="P1169" t="s">
        <v>9577</v>
      </c>
      <c r="Q1169" t="s">
        <v>9578</v>
      </c>
      <c r="R1169" t="s">
        <v>9579</v>
      </c>
      <c r="S1169" s="2">
        <v>39013</v>
      </c>
      <c r="T1169" t="s">
        <v>9580</v>
      </c>
      <c r="U1169" t="s">
        <v>9047</v>
      </c>
      <c r="V1169">
        <v>0</v>
      </c>
      <c r="W1169">
        <v>2</v>
      </c>
      <c r="X1169">
        <v>299227</v>
      </c>
      <c r="Y1169" t="s">
        <v>9581</v>
      </c>
      <c r="Z1169" t="s">
        <v>9578</v>
      </c>
      <c r="AA1169" t="s">
        <v>9268</v>
      </c>
      <c r="AB1169" t="s">
        <v>45</v>
      </c>
      <c r="AC1169" t="s">
        <v>9269</v>
      </c>
    </row>
    <row r="1170" spans="1:29">
      <c r="A1170" t="s">
        <v>9582</v>
      </c>
      <c r="B1170" s="1">
        <v>165981</v>
      </c>
      <c r="C1170" t="s">
        <v>1214</v>
      </c>
      <c r="D1170" t="s">
        <v>9266</v>
      </c>
      <c r="E1170" s="1">
        <v>-2522</v>
      </c>
      <c r="F1170" t="s">
        <v>3144</v>
      </c>
      <c r="G1170" t="s">
        <v>1990</v>
      </c>
      <c r="H1170" t="s">
        <v>9038</v>
      </c>
      <c r="I1170">
        <v>4</v>
      </c>
      <c r="J1170" t="s">
        <v>6624</v>
      </c>
      <c r="K1170">
        <v>68</v>
      </c>
      <c r="L1170" t="s">
        <v>9583</v>
      </c>
      <c r="M1170" t="s">
        <v>9584</v>
      </c>
      <c r="N1170" t="s">
        <v>9585</v>
      </c>
      <c r="O1170" t="s">
        <v>9267</v>
      </c>
      <c r="P1170" t="s">
        <v>9586</v>
      </c>
      <c r="Q1170" t="s">
        <v>9587</v>
      </c>
      <c r="R1170" t="s">
        <v>9588</v>
      </c>
      <c r="S1170" s="2">
        <v>40487</v>
      </c>
      <c r="T1170" t="s">
        <v>9589</v>
      </c>
      <c r="U1170" t="s">
        <v>9590</v>
      </c>
      <c r="V1170">
        <v>0</v>
      </c>
      <c r="W1170">
        <v>8</v>
      </c>
      <c r="X1170">
        <v>205960</v>
      </c>
      <c r="Y1170" t="s">
        <v>9591</v>
      </c>
      <c r="Z1170" t="s">
        <v>9587</v>
      </c>
      <c r="AA1170" t="s">
        <v>9268</v>
      </c>
      <c r="AB1170" t="s">
        <v>45</v>
      </c>
      <c r="AC1170" t="s">
        <v>9269</v>
      </c>
    </row>
    <row r="1171" spans="1:29">
      <c r="A1171" t="s">
        <v>4065</v>
      </c>
      <c r="B1171" s="1">
        <v>169835</v>
      </c>
      <c r="C1171" t="s">
        <v>2763</v>
      </c>
      <c r="D1171" t="s">
        <v>9266</v>
      </c>
      <c r="E1171" t="s">
        <v>607</v>
      </c>
      <c r="F1171" t="s">
        <v>2392</v>
      </c>
      <c r="G1171" t="s">
        <v>2500</v>
      </c>
      <c r="H1171" t="s">
        <v>9038</v>
      </c>
      <c r="I1171">
        <v>4</v>
      </c>
      <c r="J1171" t="s">
        <v>9039</v>
      </c>
      <c r="K1171">
        <v>74</v>
      </c>
      <c r="L1171" t="s">
        <v>9040</v>
      </c>
      <c r="M1171" t="s">
        <v>9041</v>
      </c>
      <c r="N1171" t="s">
        <v>9042</v>
      </c>
      <c r="O1171" t="s">
        <v>9267</v>
      </c>
      <c r="P1171" t="s">
        <v>9043</v>
      </c>
      <c r="Q1171" t="s">
        <v>9044</v>
      </c>
      <c r="R1171" t="s">
        <v>9045</v>
      </c>
      <c r="S1171" s="2">
        <v>39013</v>
      </c>
      <c r="T1171" t="s">
        <v>9046</v>
      </c>
      <c r="U1171" t="s">
        <v>9047</v>
      </c>
      <c r="V1171">
        <v>1</v>
      </c>
      <c r="W1171">
        <v>0</v>
      </c>
      <c r="X1171">
        <v>238680</v>
      </c>
      <c r="Y1171" t="s">
        <v>9048</v>
      </c>
      <c r="Z1171" t="s">
        <v>9044</v>
      </c>
      <c r="AA1171" t="s">
        <v>9268</v>
      </c>
      <c r="AB1171" t="s">
        <v>45</v>
      </c>
      <c r="AC1171" t="s">
        <v>9269</v>
      </c>
    </row>
    <row r="1172" spans="1:29">
      <c r="A1172" t="s">
        <v>2211</v>
      </c>
      <c r="B1172" s="1">
        <v>145781</v>
      </c>
      <c r="C1172" t="s">
        <v>2392</v>
      </c>
      <c r="D1172" t="s">
        <v>9266</v>
      </c>
      <c r="E1172" s="1">
        <v>-3805</v>
      </c>
      <c r="F1172" t="s">
        <v>3543</v>
      </c>
      <c r="G1172" t="s">
        <v>2100</v>
      </c>
      <c r="H1172" t="s">
        <v>9038</v>
      </c>
      <c r="I1172">
        <v>4</v>
      </c>
      <c r="J1172" t="s">
        <v>6334</v>
      </c>
      <c r="K1172">
        <v>70</v>
      </c>
      <c r="L1172" t="s">
        <v>9592</v>
      </c>
      <c r="M1172" t="s">
        <v>9593</v>
      </c>
      <c r="N1172" t="s">
        <v>9554</v>
      </c>
      <c r="O1172" t="s">
        <v>9267</v>
      </c>
      <c r="P1172" t="s">
        <v>9594</v>
      </c>
      <c r="Q1172" t="s">
        <v>9595</v>
      </c>
      <c r="R1172" t="s">
        <v>9596</v>
      </c>
      <c r="S1172" s="2">
        <v>38146</v>
      </c>
      <c r="T1172">
        <v>0</v>
      </c>
      <c r="U1172" t="s">
        <v>9558</v>
      </c>
      <c r="V1172">
        <v>0</v>
      </c>
      <c r="W1172">
        <v>11</v>
      </c>
      <c r="X1172">
        <v>194253</v>
      </c>
      <c r="Y1172" t="s">
        <v>1361</v>
      </c>
      <c r="Z1172" t="s">
        <v>9595</v>
      </c>
      <c r="AA1172" t="s">
        <v>9268</v>
      </c>
      <c r="AB1172" t="s">
        <v>45</v>
      </c>
      <c r="AC1172" t="s">
        <v>9269</v>
      </c>
    </row>
    <row r="1173" spans="1:29">
      <c r="A1173" t="s">
        <v>2710</v>
      </c>
      <c r="B1173" s="1">
        <v>95594</v>
      </c>
      <c r="C1173" t="s">
        <v>190</v>
      </c>
      <c r="D1173" t="s">
        <v>9266</v>
      </c>
      <c r="E1173" s="1">
        <v>-4344</v>
      </c>
      <c r="F1173" t="s">
        <v>2613</v>
      </c>
      <c r="G1173" t="s">
        <v>630</v>
      </c>
      <c r="H1173" t="s">
        <v>9389</v>
      </c>
      <c r="I1173">
        <v>4</v>
      </c>
      <c r="J1173" t="s">
        <v>123</v>
      </c>
      <c r="K1173">
        <v>74</v>
      </c>
      <c r="L1173" t="s">
        <v>9597</v>
      </c>
      <c r="M1173" t="s">
        <v>9598</v>
      </c>
      <c r="N1173" t="s">
        <v>9599</v>
      </c>
      <c r="O1173" t="s">
        <v>9267</v>
      </c>
      <c r="P1173" t="s">
        <v>9600</v>
      </c>
      <c r="Q1173" t="s">
        <v>9601</v>
      </c>
      <c r="R1173" t="s">
        <v>9602</v>
      </c>
      <c r="S1173">
        <v>2001</v>
      </c>
      <c r="T1173">
        <v>0</v>
      </c>
      <c r="U1173" t="s">
        <v>9603</v>
      </c>
      <c r="V1173">
        <v>1</v>
      </c>
      <c r="W1173">
        <v>0</v>
      </c>
      <c r="X1173">
        <v>171533</v>
      </c>
      <c r="Y1173" t="s">
        <v>9604</v>
      </c>
      <c r="Z1173" t="s">
        <v>9601</v>
      </c>
      <c r="AA1173" t="s">
        <v>9268</v>
      </c>
      <c r="AB1173" t="s">
        <v>45</v>
      </c>
      <c r="AC1173" t="s">
        <v>9269</v>
      </c>
    </row>
    <row r="1174" spans="1:29">
      <c r="A1174" t="s">
        <v>1772</v>
      </c>
      <c r="B1174" s="1">
        <v>162011</v>
      </c>
      <c r="C1174" t="s">
        <v>6377</v>
      </c>
      <c r="D1174" t="s">
        <v>9266</v>
      </c>
      <c r="E1174" s="1">
        <v>-4784</v>
      </c>
      <c r="F1174" t="s">
        <v>32</v>
      </c>
      <c r="G1174" t="s">
        <v>1552</v>
      </c>
      <c r="H1174" t="s">
        <v>9512</v>
      </c>
      <c r="I1174">
        <v>4</v>
      </c>
      <c r="J1174" t="s">
        <v>767</v>
      </c>
      <c r="K1174">
        <v>76</v>
      </c>
      <c r="L1174" t="s">
        <v>9605</v>
      </c>
      <c r="M1174" t="s">
        <v>9606</v>
      </c>
      <c r="N1174" t="s">
        <v>9607</v>
      </c>
      <c r="O1174" t="s">
        <v>9267</v>
      </c>
      <c r="P1174" t="s">
        <v>9608</v>
      </c>
      <c r="Q1174" t="s">
        <v>9609</v>
      </c>
      <c r="R1174" t="s">
        <v>9610</v>
      </c>
      <c r="S1174" s="2">
        <v>38475</v>
      </c>
      <c r="T1174">
        <v>0</v>
      </c>
      <c r="U1174" t="s">
        <v>9611</v>
      </c>
      <c r="V1174">
        <v>1</v>
      </c>
      <c r="W1174">
        <v>7</v>
      </c>
      <c r="X1174">
        <v>229093</v>
      </c>
      <c r="Y1174" t="s">
        <v>8447</v>
      </c>
      <c r="Z1174" t="s">
        <v>9609</v>
      </c>
      <c r="AA1174" t="s">
        <v>9268</v>
      </c>
      <c r="AB1174" t="s">
        <v>45</v>
      </c>
      <c r="AC1174" t="s">
        <v>9269</v>
      </c>
    </row>
    <row r="1175" spans="1:29">
      <c r="A1175" t="s">
        <v>1849</v>
      </c>
      <c r="B1175" s="1">
        <v>114451</v>
      </c>
      <c r="C1175" t="s">
        <v>3613</v>
      </c>
      <c r="D1175" t="s">
        <v>9266</v>
      </c>
      <c r="E1175" s="1">
        <v>-3198</v>
      </c>
      <c r="F1175" t="s">
        <v>9612</v>
      </c>
      <c r="G1175" t="s">
        <v>929</v>
      </c>
      <c r="H1175" t="s">
        <v>9512</v>
      </c>
      <c r="I1175">
        <v>4</v>
      </c>
      <c r="J1175" t="s">
        <v>1073</v>
      </c>
      <c r="K1175">
        <v>75</v>
      </c>
      <c r="L1175" t="s">
        <v>9613</v>
      </c>
      <c r="M1175" t="s">
        <v>9614</v>
      </c>
      <c r="N1175" t="s">
        <v>9607</v>
      </c>
      <c r="O1175" t="s">
        <v>9267</v>
      </c>
      <c r="P1175" t="s">
        <v>9615</v>
      </c>
      <c r="Q1175" t="s">
        <v>9616</v>
      </c>
      <c r="R1175" t="s">
        <v>9617</v>
      </c>
      <c r="S1175" s="2">
        <v>38475</v>
      </c>
      <c r="T1175">
        <v>0</v>
      </c>
      <c r="U1175" t="s">
        <v>9611</v>
      </c>
      <c r="V1175">
        <v>0</v>
      </c>
      <c r="W1175">
        <v>11</v>
      </c>
      <c r="X1175">
        <v>180267</v>
      </c>
      <c r="Y1175" t="s">
        <v>9618</v>
      </c>
      <c r="Z1175" t="s">
        <v>9616</v>
      </c>
      <c r="AA1175" t="s">
        <v>9268</v>
      </c>
      <c r="AB1175" t="s">
        <v>45</v>
      </c>
      <c r="AC1175" t="s">
        <v>9269</v>
      </c>
    </row>
    <row r="1176" spans="1:29">
      <c r="A1176" t="s">
        <v>6018</v>
      </c>
      <c r="B1176" s="1">
        <v>193144</v>
      </c>
      <c r="C1176" t="s">
        <v>4044</v>
      </c>
      <c r="D1176" t="s">
        <v>9266</v>
      </c>
      <c r="E1176" s="1">
        <v>-4563</v>
      </c>
      <c r="F1176" t="s">
        <v>9619</v>
      </c>
      <c r="G1176" t="s">
        <v>5174</v>
      </c>
      <c r="H1176" t="s">
        <v>9389</v>
      </c>
      <c r="I1176">
        <v>4</v>
      </c>
      <c r="J1176" t="s">
        <v>7723</v>
      </c>
      <c r="K1176">
        <v>69</v>
      </c>
      <c r="L1176" t="s">
        <v>9620</v>
      </c>
      <c r="M1176" t="s">
        <v>9621</v>
      </c>
      <c r="N1176" t="s">
        <v>9599</v>
      </c>
      <c r="O1176" t="s">
        <v>9267</v>
      </c>
      <c r="P1176" t="s">
        <v>9622</v>
      </c>
      <c r="Q1176" t="s">
        <v>9623</v>
      </c>
      <c r="R1176" t="s">
        <v>9624</v>
      </c>
      <c r="S1176">
        <v>2001</v>
      </c>
      <c r="T1176">
        <v>0</v>
      </c>
      <c r="U1176" t="s">
        <v>9603</v>
      </c>
      <c r="V1176">
        <v>1</v>
      </c>
      <c r="W1176">
        <v>9</v>
      </c>
      <c r="X1176">
        <v>171600</v>
      </c>
      <c r="Y1176" t="s">
        <v>9625</v>
      </c>
      <c r="Z1176" t="s">
        <v>9623</v>
      </c>
      <c r="AA1176" t="s">
        <v>9268</v>
      </c>
      <c r="AB1176" t="s">
        <v>45</v>
      </c>
      <c r="AC1176" t="s">
        <v>9269</v>
      </c>
    </row>
    <row r="1177" spans="1:29">
      <c r="A1177" t="s">
        <v>6835</v>
      </c>
      <c r="B1177" s="1">
        <v>167086</v>
      </c>
      <c r="C1177" t="s">
        <v>2283</v>
      </c>
      <c r="D1177" t="s">
        <v>9266</v>
      </c>
      <c r="E1177" s="1">
        <v>-3451</v>
      </c>
      <c r="F1177" t="s">
        <v>1951</v>
      </c>
      <c r="G1177" t="s">
        <v>3877</v>
      </c>
      <c r="H1177" t="s">
        <v>867</v>
      </c>
      <c r="I1177">
        <v>4</v>
      </c>
      <c r="J1177" t="s">
        <v>6558</v>
      </c>
      <c r="K1177">
        <v>69</v>
      </c>
      <c r="L1177" t="s">
        <v>9626</v>
      </c>
      <c r="M1177" t="s">
        <v>9627</v>
      </c>
      <c r="N1177" t="s">
        <v>9400</v>
      </c>
      <c r="O1177" t="s">
        <v>9267</v>
      </c>
      <c r="P1177" t="s">
        <v>9628</v>
      </c>
      <c r="Q1177" t="s">
        <v>9629</v>
      </c>
      <c r="R1177" t="s">
        <v>9630</v>
      </c>
      <c r="S1177" s="2">
        <v>38251</v>
      </c>
      <c r="T1177" t="s">
        <v>9631</v>
      </c>
      <c r="U1177" t="s">
        <v>9404</v>
      </c>
      <c r="V1177">
        <v>1</v>
      </c>
      <c r="W1177">
        <v>8</v>
      </c>
      <c r="X1177">
        <v>493400</v>
      </c>
      <c r="Y1177" t="s">
        <v>9632</v>
      </c>
      <c r="Z1177" t="s">
        <v>9629</v>
      </c>
      <c r="AA1177" t="s">
        <v>9268</v>
      </c>
      <c r="AB1177" t="s">
        <v>45</v>
      </c>
      <c r="AC1177" t="s">
        <v>9269</v>
      </c>
    </row>
    <row r="1178" spans="1:29">
      <c r="A1178" t="s">
        <v>3482</v>
      </c>
      <c r="B1178" t="s">
        <v>9633</v>
      </c>
      <c r="C1178" t="s">
        <v>4078</v>
      </c>
      <c r="D1178" t="s">
        <v>9266</v>
      </c>
      <c r="E1178" s="1">
        <v>-5803</v>
      </c>
      <c r="F1178" t="s">
        <v>801</v>
      </c>
      <c r="G1178" t="s">
        <v>2664</v>
      </c>
      <c r="H1178" t="s">
        <v>9389</v>
      </c>
      <c r="I1178">
        <v>4</v>
      </c>
      <c r="J1178" t="s">
        <v>3339</v>
      </c>
      <c r="K1178">
        <v>71</v>
      </c>
      <c r="L1178" t="s">
        <v>9634</v>
      </c>
      <c r="M1178" t="s">
        <v>9635</v>
      </c>
      <c r="N1178" t="s">
        <v>9392</v>
      </c>
      <c r="O1178" t="s">
        <v>9267</v>
      </c>
      <c r="P1178" t="s">
        <v>9636</v>
      </c>
      <c r="Q1178" t="s">
        <v>9637</v>
      </c>
      <c r="R1178" t="s">
        <v>9638</v>
      </c>
      <c r="S1178" s="2">
        <v>36312</v>
      </c>
      <c r="T1178">
        <v>0</v>
      </c>
      <c r="U1178" t="s">
        <v>9396</v>
      </c>
      <c r="V1178">
        <v>1</v>
      </c>
      <c r="W1178">
        <v>0</v>
      </c>
      <c r="X1178">
        <v>249627</v>
      </c>
      <c r="Y1178" t="s">
        <v>4406</v>
      </c>
      <c r="Z1178" t="s">
        <v>9637</v>
      </c>
      <c r="AA1178" t="s">
        <v>9268</v>
      </c>
      <c r="AB1178" t="s">
        <v>45</v>
      </c>
      <c r="AC1178" t="s">
        <v>9269</v>
      </c>
    </row>
    <row r="1179" spans="1:29">
      <c r="A1179" t="s">
        <v>4840</v>
      </c>
      <c r="B1179" s="1">
        <v>112363</v>
      </c>
      <c r="C1179" t="s">
        <v>2844</v>
      </c>
      <c r="D1179" t="s">
        <v>9266</v>
      </c>
      <c r="E1179" s="1">
        <v>-2238</v>
      </c>
      <c r="F1179" t="s">
        <v>8266</v>
      </c>
      <c r="G1179" t="s">
        <v>2559</v>
      </c>
      <c r="H1179" t="s">
        <v>9639</v>
      </c>
      <c r="I1179">
        <v>4</v>
      </c>
      <c r="J1179" t="s">
        <v>2295</v>
      </c>
      <c r="K1179">
        <v>75</v>
      </c>
      <c r="L1179" t="s">
        <v>9640</v>
      </c>
      <c r="M1179" t="s">
        <v>9641</v>
      </c>
      <c r="N1179" t="s">
        <v>9642</v>
      </c>
      <c r="O1179" t="s">
        <v>9267</v>
      </c>
      <c r="P1179" t="s">
        <v>9643</v>
      </c>
      <c r="Q1179" t="s">
        <v>9644</v>
      </c>
      <c r="R1179" t="s">
        <v>9645</v>
      </c>
      <c r="S1179" s="2">
        <v>41107</v>
      </c>
      <c r="T1179" t="s">
        <v>9646</v>
      </c>
      <c r="U1179" t="s">
        <v>9647</v>
      </c>
      <c r="V1179">
        <v>1</v>
      </c>
      <c r="W1179">
        <v>6</v>
      </c>
      <c r="X1179">
        <v>236293</v>
      </c>
      <c r="Y1179" t="s">
        <v>9648</v>
      </c>
      <c r="Z1179" t="s">
        <v>9644</v>
      </c>
      <c r="AA1179" t="s">
        <v>9268</v>
      </c>
      <c r="AB1179" t="s">
        <v>45</v>
      </c>
      <c r="AC1179" t="s">
        <v>9269</v>
      </c>
    </row>
    <row r="1180" spans="1:29">
      <c r="A1180" t="s">
        <v>4958</v>
      </c>
      <c r="B1180" s="1">
        <v>159989</v>
      </c>
      <c r="C1180" t="s">
        <v>475</v>
      </c>
      <c r="D1180" t="s">
        <v>9266</v>
      </c>
      <c r="E1180" s="1">
        <v>-3545</v>
      </c>
      <c r="F1180" t="s">
        <v>4867</v>
      </c>
      <c r="G1180" t="s">
        <v>280</v>
      </c>
      <c r="H1180" t="s">
        <v>9649</v>
      </c>
      <c r="I1180">
        <v>4</v>
      </c>
      <c r="J1180" t="s">
        <v>1442</v>
      </c>
      <c r="K1180">
        <v>68</v>
      </c>
      <c r="L1180" t="s">
        <v>9650</v>
      </c>
      <c r="M1180" t="s">
        <v>9651</v>
      </c>
      <c r="N1180" t="s">
        <v>9642</v>
      </c>
      <c r="O1180" t="s">
        <v>9267</v>
      </c>
      <c r="P1180" t="s">
        <v>9652</v>
      </c>
      <c r="Q1180" t="s">
        <v>9653</v>
      </c>
      <c r="R1180" t="s">
        <v>9654</v>
      </c>
      <c r="S1180" s="2">
        <v>41107</v>
      </c>
      <c r="T1180" t="s">
        <v>9655</v>
      </c>
      <c r="U1180" t="s">
        <v>9647</v>
      </c>
      <c r="V1180">
        <v>0</v>
      </c>
      <c r="W1180">
        <v>6</v>
      </c>
      <c r="X1180">
        <v>267867</v>
      </c>
      <c r="Y1180" t="s">
        <v>9656</v>
      </c>
      <c r="Z1180" t="s">
        <v>9653</v>
      </c>
      <c r="AA1180" t="s">
        <v>9268</v>
      </c>
      <c r="AB1180" t="s">
        <v>45</v>
      </c>
      <c r="AC1180" t="s">
        <v>9269</v>
      </c>
    </row>
    <row r="1181" spans="1:29">
      <c r="A1181" t="s">
        <v>948</v>
      </c>
      <c r="B1181" s="1">
        <v>112751</v>
      </c>
      <c r="C1181" t="s">
        <v>653</v>
      </c>
      <c r="D1181" t="s">
        <v>9657</v>
      </c>
      <c r="E1181" s="1">
        <v>-12967</v>
      </c>
      <c r="F1181" t="s">
        <v>67</v>
      </c>
      <c r="G1181" t="s">
        <v>606</v>
      </c>
      <c r="H1181" t="s">
        <v>1360</v>
      </c>
      <c r="I1181">
        <v>4</v>
      </c>
      <c r="J1181" t="s">
        <v>3238</v>
      </c>
      <c r="K1181">
        <v>72</v>
      </c>
      <c r="L1181" t="s">
        <v>9658</v>
      </c>
      <c r="M1181" t="s">
        <v>9659</v>
      </c>
      <c r="N1181" t="s">
        <v>9660</v>
      </c>
      <c r="O1181" t="s">
        <v>9661</v>
      </c>
      <c r="P1181" t="s">
        <v>9662</v>
      </c>
      <c r="Q1181" t="s">
        <v>9663</v>
      </c>
      <c r="R1181" t="s">
        <v>9664</v>
      </c>
      <c r="S1181" s="2">
        <v>32749</v>
      </c>
      <c r="T1181" t="s">
        <v>9665</v>
      </c>
      <c r="U1181" t="s">
        <v>9666</v>
      </c>
      <c r="V1181">
        <v>0</v>
      </c>
      <c r="W1181">
        <v>11</v>
      </c>
      <c r="X1181">
        <v>304133</v>
      </c>
      <c r="Y1181" t="s">
        <v>9667</v>
      </c>
      <c r="Z1181" t="s">
        <v>9663</v>
      </c>
      <c r="AA1181" t="s">
        <v>682</v>
      </c>
      <c r="AB1181" t="s">
        <v>45</v>
      </c>
      <c r="AC1181" t="s">
        <v>9668</v>
      </c>
    </row>
    <row r="1182" spans="1:29">
      <c r="A1182" t="s">
        <v>75</v>
      </c>
      <c r="B1182" s="1">
        <v>67531</v>
      </c>
      <c r="C1182" t="s">
        <v>438</v>
      </c>
      <c r="D1182" t="s">
        <v>9657</v>
      </c>
      <c r="E1182" s="1">
        <v>-12518</v>
      </c>
      <c r="F1182" t="s">
        <v>9669</v>
      </c>
      <c r="G1182" t="s">
        <v>437</v>
      </c>
      <c r="H1182" t="s">
        <v>7981</v>
      </c>
      <c r="I1182">
        <v>4</v>
      </c>
      <c r="J1182" t="s">
        <v>8352</v>
      </c>
      <c r="K1182">
        <v>75</v>
      </c>
      <c r="L1182" t="s">
        <v>9670</v>
      </c>
      <c r="M1182" t="s">
        <v>9671</v>
      </c>
      <c r="N1182" t="s">
        <v>9672</v>
      </c>
      <c r="O1182" t="s">
        <v>9661</v>
      </c>
      <c r="P1182" t="s">
        <v>9673</v>
      </c>
      <c r="Q1182" t="s">
        <v>9674</v>
      </c>
      <c r="R1182" t="s">
        <v>9675</v>
      </c>
      <c r="S1182" s="2">
        <v>33925</v>
      </c>
      <c r="T1182" t="s">
        <v>9676</v>
      </c>
      <c r="U1182" t="s">
        <v>9677</v>
      </c>
      <c r="V1182">
        <v>1</v>
      </c>
      <c r="W1182">
        <v>4</v>
      </c>
      <c r="X1182">
        <v>271093</v>
      </c>
      <c r="Y1182" t="s">
        <v>4193</v>
      </c>
      <c r="Z1182" t="s">
        <v>9674</v>
      </c>
      <c r="AA1182" t="s">
        <v>682</v>
      </c>
      <c r="AB1182" t="s">
        <v>45</v>
      </c>
      <c r="AC1182" t="s">
        <v>9668</v>
      </c>
    </row>
    <row r="1183" spans="1:29">
      <c r="A1183" t="s">
        <v>3798</v>
      </c>
      <c r="B1183" s="1">
        <v>116262</v>
      </c>
      <c r="C1183" t="s">
        <v>3032</v>
      </c>
      <c r="D1183" t="s">
        <v>9657</v>
      </c>
      <c r="E1183" t="s">
        <v>9678</v>
      </c>
      <c r="F1183" t="s">
        <v>3808</v>
      </c>
      <c r="G1183" t="s">
        <v>160</v>
      </c>
      <c r="H1183" t="s">
        <v>1039</v>
      </c>
      <c r="I1183">
        <v>4</v>
      </c>
      <c r="J1183" t="s">
        <v>788</v>
      </c>
      <c r="K1183">
        <v>74</v>
      </c>
      <c r="L1183" t="s">
        <v>9679</v>
      </c>
      <c r="M1183" t="s">
        <v>9680</v>
      </c>
      <c r="N1183" t="s">
        <v>9681</v>
      </c>
      <c r="O1183" t="s">
        <v>9661</v>
      </c>
      <c r="P1183" t="s">
        <v>9682</v>
      </c>
      <c r="Q1183" t="s">
        <v>9683</v>
      </c>
      <c r="R1183" t="s">
        <v>9684</v>
      </c>
      <c r="S1183" s="2">
        <v>42657</v>
      </c>
      <c r="T1183">
        <v>0</v>
      </c>
      <c r="U1183" t="s">
        <v>9685</v>
      </c>
      <c r="V1183">
        <v>1</v>
      </c>
      <c r="W1183">
        <v>1</v>
      </c>
      <c r="X1183">
        <v>206360</v>
      </c>
      <c r="Y1183" t="s">
        <v>4141</v>
      </c>
      <c r="Z1183" t="s">
        <v>9683</v>
      </c>
      <c r="AA1183" t="s">
        <v>682</v>
      </c>
      <c r="AB1183" t="s">
        <v>45</v>
      </c>
      <c r="AC1183" t="s">
        <v>9668</v>
      </c>
    </row>
    <row r="1184" spans="1:29">
      <c r="A1184" t="s">
        <v>4017</v>
      </c>
      <c r="B1184" s="1">
        <v>149705</v>
      </c>
      <c r="C1184" t="s">
        <v>1371</v>
      </c>
      <c r="D1184" t="s">
        <v>9657</v>
      </c>
      <c r="E1184" t="s">
        <v>9686</v>
      </c>
      <c r="F1184" t="s">
        <v>8881</v>
      </c>
      <c r="G1184" t="s">
        <v>278</v>
      </c>
      <c r="H1184" t="s">
        <v>9687</v>
      </c>
      <c r="I1184">
        <v>3</v>
      </c>
      <c r="J1184" t="s">
        <v>9688</v>
      </c>
      <c r="K1184">
        <v>70</v>
      </c>
      <c r="L1184" t="s">
        <v>9689</v>
      </c>
      <c r="M1184" t="s">
        <v>9690</v>
      </c>
      <c r="N1184" t="s">
        <v>9691</v>
      </c>
      <c r="O1184" t="s">
        <v>9661</v>
      </c>
      <c r="P1184" t="s">
        <v>9692</v>
      </c>
      <c r="Q1184" t="s">
        <v>9693</v>
      </c>
      <c r="R1184" t="s">
        <v>9694</v>
      </c>
      <c r="S1184" s="2">
        <v>33358</v>
      </c>
      <c r="T1184">
        <v>0</v>
      </c>
      <c r="U1184" t="s">
        <v>9695</v>
      </c>
      <c r="V1184">
        <v>0</v>
      </c>
      <c r="W1184">
        <v>5</v>
      </c>
      <c r="X1184">
        <v>351467</v>
      </c>
      <c r="Y1184" t="s">
        <v>6301</v>
      </c>
      <c r="Z1184" t="s">
        <v>9693</v>
      </c>
      <c r="AA1184" t="s">
        <v>682</v>
      </c>
      <c r="AB1184" t="s">
        <v>45</v>
      </c>
      <c r="AC1184" t="s">
        <v>9668</v>
      </c>
    </row>
    <row r="1185" spans="1:29">
      <c r="A1185" t="s">
        <v>1177</v>
      </c>
      <c r="B1185" s="1">
        <v>140054</v>
      </c>
      <c r="C1185" t="s">
        <v>4636</v>
      </c>
      <c r="D1185" t="s">
        <v>9657</v>
      </c>
      <c r="E1185" s="1">
        <v>-9072</v>
      </c>
      <c r="F1185" t="s">
        <v>4615</v>
      </c>
      <c r="G1185" t="s">
        <v>132</v>
      </c>
      <c r="H1185" t="s">
        <v>9696</v>
      </c>
      <c r="I1185">
        <v>4</v>
      </c>
      <c r="J1185" t="s">
        <v>5922</v>
      </c>
      <c r="K1185">
        <v>71</v>
      </c>
      <c r="L1185" t="s">
        <v>9697</v>
      </c>
      <c r="M1185" t="s">
        <v>9698</v>
      </c>
      <c r="N1185" t="s">
        <v>9699</v>
      </c>
      <c r="O1185" t="s">
        <v>9661</v>
      </c>
      <c r="P1185" t="s">
        <v>9700</v>
      </c>
      <c r="Q1185" t="s">
        <v>9701</v>
      </c>
      <c r="R1185" t="s">
        <v>9702</v>
      </c>
      <c r="S1185" s="2">
        <v>34282</v>
      </c>
      <c r="T1185" t="s">
        <v>3181</v>
      </c>
      <c r="U1185" t="s">
        <v>9703</v>
      </c>
      <c r="V1185">
        <v>1</v>
      </c>
      <c r="W1185">
        <v>8</v>
      </c>
      <c r="X1185">
        <v>342400</v>
      </c>
      <c r="Y1185" t="s">
        <v>5806</v>
      </c>
      <c r="Z1185" t="s">
        <v>9701</v>
      </c>
      <c r="AA1185" t="s">
        <v>682</v>
      </c>
      <c r="AB1185" t="s">
        <v>45</v>
      </c>
      <c r="AC1185" t="s">
        <v>9668</v>
      </c>
    </row>
    <row r="1186" spans="1:29">
      <c r="A1186" t="s">
        <v>1335</v>
      </c>
      <c r="B1186" t="s">
        <v>9704</v>
      </c>
      <c r="C1186" t="s">
        <v>4078</v>
      </c>
      <c r="D1186" t="s">
        <v>9657</v>
      </c>
      <c r="E1186" s="1">
        <v>-6655</v>
      </c>
      <c r="F1186" t="s">
        <v>1372</v>
      </c>
      <c r="G1186" t="s">
        <v>158</v>
      </c>
      <c r="H1186" t="s">
        <v>9705</v>
      </c>
      <c r="I1186">
        <v>4</v>
      </c>
      <c r="J1186" t="s">
        <v>6205</v>
      </c>
      <c r="K1186">
        <v>77</v>
      </c>
      <c r="L1186" t="s">
        <v>9706</v>
      </c>
      <c r="M1186" t="s">
        <v>9707</v>
      </c>
      <c r="N1186" t="s">
        <v>9708</v>
      </c>
      <c r="O1186" t="s">
        <v>9661</v>
      </c>
      <c r="P1186" t="s">
        <v>9709</v>
      </c>
      <c r="Q1186" t="s">
        <v>9710</v>
      </c>
      <c r="R1186" t="s">
        <v>9711</v>
      </c>
      <c r="S1186" s="2">
        <v>33013</v>
      </c>
      <c r="T1186" t="s">
        <v>9712</v>
      </c>
      <c r="U1186" t="s">
        <v>9713</v>
      </c>
      <c r="V1186">
        <v>1</v>
      </c>
      <c r="W1186">
        <v>5</v>
      </c>
      <c r="X1186">
        <v>258787</v>
      </c>
      <c r="Y1186" t="s">
        <v>406</v>
      </c>
      <c r="Z1186" t="s">
        <v>9710</v>
      </c>
      <c r="AA1186" t="s">
        <v>682</v>
      </c>
      <c r="AB1186" t="s">
        <v>45</v>
      </c>
      <c r="AC1186" t="s">
        <v>9668</v>
      </c>
    </row>
    <row r="1187" spans="1:29">
      <c r="A1187" t="s">
        <v>1573</v>
      </c>
      <c r="B1187" s="1">
        <v>119873</v>
      </c>
      <c r="C1187" t="s">
        <v>421</v>
      </c>
      <c r="D1187" t="s">
        <v>9657</v>
      </c>
      <c r="E1187" s="1">
        <v>-9303</v>
      </c>
      <c r="F1187" t="s">
        <v>5703</v>
      </c>
      <c r="G1187" t="s">
        <v>1096</v>
      </c>
      <c r="H1187" t="s">
        <v>8256</v>
      </c>
      <c r="I1187">
        <v>4</v>
      </c>
      <c r="J1187" t="s">
        <v>8812</v>
      </c>
      <c r="K1187">
        <v>68</v>
      </c>
      <c r="L1187" t="s">
        <v>9714</v>
      </c>
      <c r="M1187" t="s">
        <v>9715</v>
      </c>
      <c r="N1187" t="s">
        <v>9716</v>
      </c>
      <c r="O1187" t="s">
        <v>9661</v>
      </c>
      <c r="P1187" t="s">
        <v>9717</v>
      </c>
      <c r="Q1187" t="s">
        <v>9718</v>
      </c>
      <c r="R1187" t="s">
        <v>9719</v>
      </c>
      <c r="S1187" s="2">
        <v>34866</v>
      </c>
      <c r="T1187" t="s">
        <v>8518</v>
      </c>
      <c r="U1187" t="s">
        <v>9720</v>
      </c>
      <c r="V1187">
        <v>1</v>
      </c>
      <c r="W1187">
        <v>11</v>
      </c>
      <c r="X1187">
        <v>345600</v>
      </c>
      <c r="Y1187" t="s">
        <v>5560</v>
      </c>
      <c r="Z1187" t="s">
        <v>9718</v>
      </c>
      <c r="AA1187" t="s">
        <v>682</v>
      </c>
      <c r="AB1187" t="s">
        <v>45</v>
      </c>
      <c r="AC1187" t="s">
        <v>9668</v>
      </c>
    </row>
    <row r="1188" spans="1:29">
      <c r="A1188" t="s">
        <v>609</v>
      </c>
      <c r="B1188" s="1">
        <v>131783</v>
      </c>
      <c r="C1188" t="s">
        <v>1456</v>
      </c>
      <c r="D1188" t="s">
        <v>9657</v>
      </c>
      <c r="E1188" s="1">
        <v>-16063</v>
      </c>
      <c r="F1188" t="s">
        <v>3635</v>
      </c>
      <c r="G1188" t="s">
        <v>132</v>
      </c>
      <c r="H1188" t="s">
        <v>9721</v>
      </c>
      <c r="I1188">
        <v>4</v>
      </c>
      <c r="J1188" t="s">
        <v>4780</v>
      </c>
      <c r="K1188">
        <v>69</v>
      </c>
      <c r="L1188" t="s">
        <v>9722</v>
      </c>
      <c r="M1188" t="s">
        <v>9723</v>
      </c>
      <c r="N1188" t="s">
        <v>9724</v>
      </c>
      <c r="O1188" t="s">
        <v>9661</v>
      </c>
      <c r="P1188" t="s">
        <v>9725</v>
      </c>
      <c r="Q1188" t="s">
        <v>9726</v>
      </c>
      <c r="R1188" t="s">
        <v>9727</v>
      </c>
      <c r="S1188" s="2">
        <v>30317</v>
      </c>
      <c r="T1188" t="s">
        <v>9728</v>
      </c>
      <c r="U1188" t="s">
        <v>9729</v>
      </c>
      <c r="V1188">
        <v>1</v>
      </c>
      <c r="W1188">
        <v>5</v>
      </c>
      <c r="X1188">
        <v>192067</v>
      </c>
      <c r="Y1188" t="s">
        <v>3613</v>
      </c>
      <c r="Z1188" t="s">
        <v>9726</v>
      </c>
      <c r="AA1188" t="s">
        <v>682</v>
      </c>
      <c r="AB1188" t="s">
        <v>45</v>
      </c>
      <c r="AC1188" t="s">
        <v>9668</v>
      </c>
    </row>
    <row r="1189" spans="1:29">
      <c r="A1189" t="s">
        <v>2002</v>
      </c>
      <c r="B1189" s="1">
        <v>121948</v>
      </c>
      <c r="C1189" t="s">
        <v>1747</v>
      </c>
      <c r="D1189" t="s">
        <v>9657</v>
      </c>
      <c r="E1189" s="1">
        <v>-10238</v>
      </c>
      <c r="F1189" t="s">
        <v>9730</v>
      </c>
      <c r="G1189" t="s">
        <v>2500</v>
      </c>
      <c r="H1189" t="s">
        <v>9731</v>
      </c>
      <c r="I1189">
        <v>4</v>
      </c>
      <c r="J1189" t="s">
        <v>7064</v>
      </c>
      <c r="K1189">
        <v>70</v>
      </c>
      <c r="L1189" t="s">
        <v>9732</v>
      </c>
      <c r="M1189" t="s">
        <v>9733</v>
      </c>
      <c r="N1189" t="s">
        <v>9734</v>
      </c>
      <c r="O1189" t="s">
        <v>9661</v>
      </c>
      <c r="P1189" t="s">
        <v>9735</v>
      </c>
      <c r="Q1189" t="s">
        <v>9736</v>
      </c>
      <c r="R1189" t="s">
        <v>9737</v>
      </c>
      <c r="S1189" s="2">
        <v>26665</v>
      </c>
      <c r="T1189">
        <v>0</v>
      </c>
      <c r="U1189" t="s">
        <v>9738</v>
      </c>
      <c r="V1189">
        <v>0</v>
      </c>
      <c r="W1189">
        <v>5</v>
      </c>
      <c r="X1189">
        <v>286920</v>
      </c>
      <c r="Y1189" t="s">
        <v>291</v>
      </c>
      <c r="Z1189" t="s">
        <v>9736</v>
      </c>
      <c r="AA1189" t="s">
        <v>682</v>
      </c>
      <c r="AB1189" t="s">
        <v>45</v>
      </c>
      <c r="AC1189" t="s">
        <v>9668</v>
      </c>
    </row>
    <row r="1190" spans="1:29">
      <c r="A1190" t="s">
        <v>2033</v>
      </c>
      <c r="B1190" s="1">
        <v>99304</v>
      </c>
      <c r="C1190" t="s">
        <v>3634</v>
      </c>
      <c r="D1190" t="s">
        <v>9657</v>
      </c>
      <c r="E1190" s="1">
        <v>-14567</v>
      </c>
      <c r="F1190" t="s">
        <v>2083</v>
      </c>
      <c r="G1190" t="s">
        <v>2033</v>
      </c>
      <c r="H1190" t="s">
        <v>7981</v>
      </c>
      <c r="I1190">
        <v>3</v>
      </c>
      <c r="J1190" t="s">
        <v>8187</v>
      </c>
      <c r="K1190">
        <v>68</v>
      </c>
      <c r="L1190" t="s">
        <v>9739</v>
      </c>
      <c r="M1190" t="s">
        <v>9740</v>
      </c>
      <c r="N1190" t="s">
        <v>7981</v>
      </c>
      <c r="O1190" t="s">
        <v>9661</v>
      </c>
      <c r="P1190" t="s">
        <v>9741</v>
      </c>
      <c r="Q1190" t="s">
        <v>9742</v>
      </c>
      <c r="R1190" t="s">
        <v>9743</v>
      </c>
      <c r="S1190" s="2">
        <v>31092</v>
      </c>
      <c r="T1190" t="s">
        <v>9744</v>
      </c>
      <c r="U1190" t="s">
        <v>9745</v>
      </c>
      <c r="V1190">
        <v>0</v>
      </c>
      <c r="W1190">
        <v>6</v>
      </c>
      <c r="X1190">
        <v>238467</v>
      </c>
      <c r="Y1190" t="s">
        <v>3555</v>
      </c>
      <c r="Z1190" t="s">
        <v>9742</v>
      </c>
      <c r="AA1190" t="s">
        <v>682</v>
      </c>
      <c r="AB1190" t="s">
        <v>45</v>
      </c>
      <c r="AC1190" t="s">
        <v>9668</v>
      </c>
    </row>
    <row r="1191" spans="1:29">
      <c r="A1191" t="s">
        <v>3878</v>
      </c>
      <c r="B1191" s="1">
        <v>82803</v>
      </c>
      <c r="C1191" t="s">
        <v>3950</v>
      </c>
      <c r="D1191" t="s">
        <v>9657</v>
      </c>
      <c r="E1191" s="1">
        <v>-13744</v>
      </c>
      <c r="F1191" t="s">
        <v>757</v>
      </c>
      <c r="G1191" t="s">
        <v>4241</v>
      </c>
      <c r="H1191" t="s">
        <v>9746</v>
      </c>
      <c r="I1191">
        <v>4</v>
      </c>
      <c r="J1191" t="s">
        <v>9747</v>
      </c>
      <c r="K1191">
        <v>71</v>
      </c>
      <c r="L1191" t="s">
        <v>9748</v>
      </c>
      <c r="M1191" t="s">
        <v>9749</v>
      </c>
      <c r="N1191" t="s">
        <v>9750</v>
      </c>
      <c r="O1191" t="s">
        <v>9661</v>
      </c>
      <c r="P1191" t="s">
        <v>9751</v>
      </c>
      <c r="Q1191" t="s">
        <v>9752</v>
      </c>
      <c r="R1191" t="s">
        <v>9753</v>
      </c>
      <c r="S1191" s="2">
        <v>36841</v>
      </c>
      <c r="T1191" t="s">
        <v>1131</v>
      </c>
      <c r="U1191" t="s">
        <v>9754</v>
      </c>
      <c r="V1191">
        <v>1</v>
      </c>
      <c r="W1191">
        <v>3</v>
      </c>
      <c r="X1191">
        <v>218547</v>
      </c>
      <c r="Y1191" t="s">
        <v>121</v>
      </c>
      <c r="Z1191" t="s">
        <v>9752</v>
      </c>
      <c r="AA1191" t="s">
        <v>682</v>
      </c>
      <c r="AB1191" t="s">
        <v>45</v>
      </c>
      <c r="AC1191" t="s">
        <v>9668</v>
      </c>
    </row>
    <row r="1192" spans="1:29">
      <c r="A1192" t="s">
        <v>3227</v>
      </c>
      <c r="B1192" t="s">
        <v>9755</v>
      </c>
      <c r="C1192" t="s">
        <v>3555</v>
      </c>
      <c r="D1192" t="s">
        <v>9657</v>
      </c>
      <c r="E1192" t="s">
        <v>9756</v>
      </c>
      <c r="F1192" t="s">
        <v>1643</v>
      </c>
      <c r="G1192" t="s">
        <v>241</v>
      </c>
      <c r="H1192" t="s">
        <v>5592</v>
      </c>
      <c r="I1192">
        <v>4</v>
      </c>
      <c r="J1192" t="s">
        <v>7697</v>
      </c>
      <c r="K1192">
        <v>69</v>
      </c>
      <c r="L1192" t="s">
        <v>9757</v>
      </c>
      <c r="M1192" t="s">
        <v>9758</v>
      </c>
      <c r="N1192" t="s">
        <v>9759</v>
      </c>
      <c r="O1192" t="s">
        <v>9661</v>
      </c>
      <c r="P1192" t="s">
        <v>9760</v>
      </c>
      <c r="Q1192" t="s">
        <v>9761</v>
      </c>
      <c r="R1192" t="s">
        <v>9762</v>
      </c>
      <c r="S1192" s="2">
        <v>39406</v>
      </c>
      <c r="T1192" t="s">
        <v>9763</v>
      </c>
      <c r="U1192" t="s">
        <v>9764</v>
      </c>
      <c r="V1192">
        <v>1</v>
      </c>
      <c r="W1192">
        <v>8</v>
      </c>
      <c r="X1192">
        <v>208107</v>
      </c>
      <c r="Y1192" t="s">
        <v>801</v>
      </c>
      <c r="Z1192" t="s">
        <v>9761</v>
      </c>
      <c r="AA1192" t="s">
        <v>682</v>
      </c>
      <c r="AB1192" t="s">
        <v>45</v>
      </c>
      <c r="AC1192" t="s">
        <v>9668</v>
      </c>
    </row>
    <row r="1193" spans="1:29">
      <c r="A1193" t="s">
        <v>529</v>
      </c>
      <c r="B1193" s="1">
        <v>101991</v>
      </c>
      <c r="C1193" t="s">
        <v>447</v>
      </c>
      <c r="D1193" t="s">
        <v>9657</v>
      </c>
      <c r="E1193" s="1">
        <v>-5087</v>
      </c>
      <c r="F1193" t="s">
        <v>61</v>
      </c>
      <c r="G1193" t="s">
        <v>3163</v>
      </c>
      <c r="H1193" t="s">
        <v>9696</v>
      </c>
      <c r="I1193">
        <v>4</v>
      </c>
      <c r="J1193" t="s">
        <v>1511</v>
      </c>
      <c r="K1193">
        <v>69</v>
      </c>
      <c r="L1193" t="s">
        <v>9765</v>
      </c>
      <c r="M1193" t="s">
        <v>9766</v>
      </c>
      <c r="N1193" t="s">
        <v>9767</v>
      </c>
      <c r="O1193" t="s">
        <v>9661</v>
      </c>
      <c r="P1193" t="s">
        <v>9768</v>
      </c>
      <c r="Q1193" t="s">
        <v>9769</v>
      </c>
      <c r="R1193" t="s">
        <v>9770</v>
      </c>
      <c r="S1193" s="2">
        <v>37337</v>
      </c>
      <c r="T1193" t="s">
        <v>9771</v>
      </c>
      <c r="U1193" t="s">
        <v>9772</v>
      </c>
      <c r="V1193">
        <v>1</v>
      </c>
      <c r="W1193">
        <v>8</v>
      </c>
      <c r="X1193">
        <v>210227</v>
      </c>
      <c r="Y1193" t="s">
        <v>9773</v>
      </c>
      <c r="Z1193" t="s">
        <v>9769</v>
      </c>
      <c r="AA1193" t="s">
        <v>682</v>
      </c>
      <c r="AB1193" t="s">
        <v>45</v>
      </c>
      <c r="AC1193" t="s">
        <v>9668</v>
      </c>
    </row>
    <row r="1194" spans="1:29">
      <c r="A1194" t="s">
        <v>1880</v>
      </c>
      <c r="B1194" s="1">
        <v>131745</v>
      </c>
      <c r="C1194" t="s">
        <v>985</v>
      </c>
      <c r="D1194" t="s">
        <v>9657</v>
      </c>
      <c r="E1194" t="s">
        <v>9774</v>
      </c>
      <c r="F1194" t="s">
        <v>8390</v>
      </c>
      <c r="G1194" t="s">
        <v>4565</v>
      </c>
      <c r="H1194" t="s">
        <v>9775</v>
      </c>
      <c r="I1194">
        <v>3</v>
      </c>
      <c r="J1194" t="s">
        <v>4780</v>
      </c>
      <c r="K1194">
        <v>71</v>
      </c>
      <c r="L1194" t="s">
        <v>9776</v>
      </c>
      <c r="M1194" t="s">
        <v>9777</v>
      </c>
      <c r="N1194" t="s">
        <v>9775</v>
      </c>
      <c r="O1194" t="s">
        <v>9661</v>
      </c>
      <c r="P1194" t="s">
        <v>9778</v>
      </c>
      <c r="Q1194" t="s">
        <v>9779</v>
      </c>
      <c r="R1194" t="s">
        <v>9780</v>
      </c>
      <c r="S1194" s="2">
        <v>34485</v>
      </c>
      <c r="T1194">
        <v>0</v>
      </c>
      <c r="U1194" t="s">
        <v>9781</v>
      </c>
      <c r="V1194">
        <v>0</v>
      </c>
      <c r="W1194">
        <v>10</v>
      </c>
      <c r="X1194">
        <v>288427</v>
      </c>
      <c r="Y1194" t="s">
        <v>1893</v>
      </c>
      <c r="Z1194" t="s">
        <v>9779</v>
      </c>
      <c r="AA1194" t="s">
        <v>682</v>
      </c>
      <c r="AB1194" t="s">
        <v>45</v>
      </c>
      <c r="AC1194" t="s">
        <v>9668</v>
      </c>
    </row>
    <row r="1195" spans="1:29">
      <c r="A1195" t="s">
        <v>1906</v>
      </c>
      <c r="B1195" s="1">
        <v>129993</v>
      </c>
      <c r="C1195" t="s">
        <v>291</v>
      </c>
      <c r="D1195" t="s">
        <v>9657</v>
      </c>
      <c r="E1195" s="1">
        <v>-5357</v>
      </c>
      <c r="F1195" t="s">
        <v>160</v>
      </c>
      <c r="G1195" t="s">
        <v>527</v>
      </c>
      <c r="H1195" t="s">
        <v>3921</v>
      </c>
      <c r="I1195">
        <v>4</v>
      </c>
      <c r="J1195" t="s">
        <v>517</v>
      </c>
      <c r="K1195">
        <v>70</v>
      </c>
      <c r="L1195" t="s">
        <v>9782</v>
      </c>
      <c r="M1195" t="s">
        <v>9783</v>
      </c>
      <c r="N1195" t="s">
        <v>4073</v>
      </c>
      <c r="O1195" t="s">
        <v>9661</v>
      </c>
      <c r="P1195" t="s">
        <v>9784</v>
      </c>
      <c r="Q1195" t="s">
        <v>9785</v>
      </c>
      <c r="R1195" t="s">
        <v>9786</v>
      </c>
      <c r="S1195" s="2">
        <v>39448</v>
      </c>
      <c r="T1195">
        <v>0</v>
      </c>
      <c r="U1195" t="s">
        <v>4077</v>
      </c>
      <c r="V1195">
        <v>1</v>
      </c>
      <c r="W1195">
        <v>0</v>
      </c>
      <c r="X1195">
        <v>254533</v>
      </c>
      <c r="Y1195" t="s">
        <v>1584</v>
      </c>
      <c r="Z1195" t="s">
        <v>9785</v>
      </c>
      <c r="AA1195" t="s">
        <v>682</v>
      </c>
      <c r="AB1195" t="s">
        <v>45</v>
      </c>
      <c r="AC1195" t="s">
        <v>9668</v>
      </c>
    </row>
    <row r="1196" spans="1:29">
      <c r="A1196" t="s">
        <v>4079</v>
      </c>
      <c r="B1196" s="1">
        <v>94519</v>
      </c>
      <c r="C1196" t="s">
        <v>157</v>
      </c>
      <c r="D1196" t="s">
        <v>9657</v>
      </c>
      <c r="E1196" s="1">
        <v>-8343</v>
      </c>
      <c r="F1196" t="s">
        <v>120</v>
      </c>
      <c r="G1196" t="s">
        <v>4005</v>
      </c>
      <c r="H1196" t="s">
        <v>4080</v>
      </c>
      <c r="I1196">
        <v>4</v>
      </c>
      <c r="J1196" t="s">
        <v>1313</v>
      </c>
      <c r="K1196">
        <v>75</v>
      </c>
      <c r="L1196" t="s">
        <v>4081</v>
      </c>
      <c r="M1196" t="s">
        <v>4082</v>
      </c>
      <c r="N1196" t="s">
        <v>4083</v>
      </c>
      <c r="O1196" t="s">
        <v>9661</v>
      </c>
      <c r="P1196" t="s">
        <v>4084</v>
      </c>
      <c r="Q1196" t="s">
        <v>4085</v>
      </c>
      <c r="R1196" t="s">
        <v>4086</v>
      </c>
      <c r="S1196" s="2">
        <v>38061</v>
      </c>
      <c r="T1196">
        <v>0</v>
      </c>
      <c r="U1196" t="s">
        <v>4087</v>
      </c>
      <c r="V1196">
        <v>0</v>
      </c>
      <c r="W1196">
        <v>7</v>
      </c>
      <c r="X1196">
        <v>249120</v>
      </c>
      <c r="Y1196" t="s">
        <v>1800</v>
      </c>
      <c r="Z1196" t="s">
        <v>4085</v>
      </c>
      <c r="AA1196" t="s">
        <v>682</v>
      </c>
      <c r="AB1196" t="s">
        <v>45</v>
      </c>
      <c r="AC1196" t="s">
        <v>9668</v>
      </c>
    </row>
    <row r="1197" spans="1:29">
      <c r="A1197" t="s">
        <v>1121</v>
      </c>
      <c r="B1197" s="1">
        <v>79983</v>
      </c>
      <c r="C1197" t="s">
        <v>666</v>
      </c>
      <c r="D1197" t="s">
        <v>9657</v>
      </c>
      <c r="E1197" s="1">
        <v>-5908</v>
      </c>
      <c r="F1197" t="s">
        <v>303</v>
      </c>
      <c r="G1197" t="s">
        <v>475</v>
      </c>
      <c r="H1197" t="s">
        <v>7740</v>
      </c>
      <c r="I1197">
        <v>4</v>
      </c>
      <c r="J1197" t="s">
        <v>6076</v>
      </c>
      <c r="K1197">
        <v>71</v>
      </c>
      <c r="L1197" t="s">
        <v>7741</v>
      </c>
      <c r="M1197" t="s">
        <v>7742</v>
      </c>
      <c r="N1197" t="s">
        <v>7743</v>
      </c>
      <c r="O1197" t="s">
        <v>9661</v>
      </c>
      <c r="P1197" t="s">
        <v>7744</v>
      </c>
      <c r="Q1197" t="s">
        <v>7745</v>
      </c>
      <c r="R1197" t="s">
        <v>7746</v>
      </c>
      <c r="S1197" s="2">
        <v>39769</v>
      </c>
      <c r="T1197">
        <v>0</v>
      </c>
      <c r="U1197" t="s">
        <v>7747</v>
      </c>
      <c r="V1197">
        <v>0</v>
      </c>
      <c r="W1197">
        <v>11</v>
      </c>
      <c r="X1197">
        <v>261640</v>
      </c>
      <c r="Y1197" t="s">
        <v>2416</v>
      </c>
      <c r="Z1197" t="s">
        <v>7745</v>
      </c>
      <c r="AA1197" t="s">
        <v>682</v>
      </c>
      <c r="AB1197" t="s">
        <v>45</v>
      </c>
      <c r="AC1197" t="s">
        <v>9668</v>
      </c>
    </row>
    <row r="1198" spans="1:29">
      <c r="A1198" t="s">
        <v>143</v>
      </c>
      <c r="B1198" s="1">
        <v>86768</v>
      </c>
      <c r="C1198" t="s">
        <v>2764</v>
      </c>
      <c r="D1198" t="s">
        <v>9657</v>
      </c>
      <c r="E1198" s="1">
        <v>-5847</v>
      </c>
      <c r="F1198" t="s">
        <v>1980</v>
      </c>
      <c r="G1198" t="s">
        <v>161</v>
      </c>
      <c r="H1198" t="s">
        <v>3846</v>
      </c>
      <c r="I1198">
        <v>4</v>
      </c>
      <c r="J1198" t="s">
        <v>2416</v>
      </c>
      <c r="K1198">
        <v>71</v>
      </c>
      <c r="L1198" t="s">
        <v>3941</v>
      </c>
      <c r="M1198" t="s">
        <v>3942</v>
      </c>
      <c r="N1198" t="s">
        <v>3943</v>
      </c>
      <c r="O1198" t="s">
        <v>9661</v>
      </c>
      <c r="P1198" t="s">
        <v>3944</v>
      </c>
      <c r="Q1198" t="s">
        <v>3945</v>
      </c>
      <c r="R1198" t="s">
        <v>3946</v>
      </c>
      <c r="S1198">
        <v>2005</v>
      </c>
      <c r="T1198">
        <v>0</v>
      </c>
      <c r="U1198" t="s">
        <v>3947</v>
      </c>
      <c r="V1198">
        <v>1</v>
      </c>
      <c r="W1198">
        <v>4</v>
      </c>
      <c r="X1198">
        <v>229040</v>
      </c>
      <c r="Y1198" t="s">
        <v>1483</v>
      </c>
      <c r="Z1198" t="s">
        <v>3945</v>
      </c>
      <c r="AA1198" t="s">
        <v>682</v>
      </c>
      <c r="AB1198" t="s">
        <v>45</v>
      </c>
      <c r="AC1198" t="s">
        <v>9668</v>
      </c>
    </row>
    <row r="1199" spans="1:29">
      <c r="A1199" t="s">
        <v>50</v>
      </c>
      <c r="B1199" s="1">
        <v>87903</v>
      </c>
      <c r="C1199" t="s">
        <v>1189</v>
      </c>
      <c r="D1199" t="s">
        <v>9657</v>
      </c>
      <c r="E1199" s="1">
        <v>-9149</v>
      </c>
      <c r="F1199" t="s">
        <v>366</v>
      </c>
      <c r="G1199" t="s">
        <v>3643</v>
      </c>
      <c r="H1199" t="s">
        <v>9696</v>
      </c>
      <c r="I1199">
        <v>4</v>
      </c>
      <c r="J1199" t="s">
        <v>6558</v>
      </c>
      <c r="K1199">
        <v>72</v>
      </c>
      <c r="L1199" t="s">
        <v>9787</v>
      </c>
      <c r="M1199" t="s">
        <v>9788</v>
      </c>
      <c r="N1199" t="s">
        <v>9789</v>
      </c>
      <c r="O1199" t="s">
        <v>9661</v>
      </c>
      <c r="P1199" t="s">
        <v>9790</v>
      </c>
      <c r="Q1199" t="s">
        <v>9791</v>
      </c>
      <c r="R1199" t="s">
        <v>9792</v>
      </c>
      <c r="S1199" s="2">
        <v>35135</v>
      </c>
      <c r="T1199">
        <v>0</v>
      </c>
      <c r="U1199" t="s">
        <v>9793</v>
      </c>
      <c r="V1199">
        <v>1</v>
      </c>
      <c r="W1199">
        <v>0</v>
      </c>
      <c r="X1199">
        <v>456867</v>
      </c>
      <c r="Y1199" t="s">
        <v>2794</v>
      </c>
      <c r="Z1199" t="s">
        <v>9791</v>
      </c>
      <c r="AA1199" t="s">
        <v>682</v>
      </c>
      <c r="AB1199" t="s">
        <v>45</v>
      </c>
      <c r="AC1199" t="s">
        <v>9668</v>
      </c>
    </row>
    <row r="1200" spans="1:29">
      <c r="A1200" t="s">
        <v>133</v>
      </c>
      <c r="B1200" s="1">
        <v>119919</v>
      </c>
      <c r="C1200" t="s">
        <v>3420</v>
      </c>
      <c r="D1200" t="s">
        <v>9657</v>
      </c>
      <c r="E1200" s="1">
        <v>-9883</v>
      </c>
      <c r="F1200" t="s">
        <v>2843</v>
      </c>
      <c r="G1200" t="s">
        <v>4261</v>
      </c>
      <c r="H1200" t="s">
        <v>9696</v>
      </c>
      <c r="I1200">
        <v>4</v>
      </c>
      <c r="J1200" t="s">
        <v>1130</v>
      </c>
      <c r="K1200">
        <v>74</v>
      </c>
      <c r="L1200" t="s">
        <v>9794</v>
      </c>
      <c r="M1200" t="s">
        <v>9795</v>
      </c>
      <c r="N1200" t="s">
        <v>9789</v>
      </c>
      <c r="O1200" t="s">
        <v>9661</v>
      </c>
      <c r="P1200" t="s">
        <v>9796</v>
      </c>
      <c r="Q1200" t="s">
        <v>9797</v>
      </c>
      <c r="R1200" t="s">
        <v>9798</v>
      </c>
      <c r="S1200" s="2">
        <v>35135</v>
      </c>
      <c r="T1200">
        <v>0</v>
      </c>
      <c r="U1200" t="s">
        <v>9793</v>
      </c>
      <c r="V1200">
        <v>1</v>
      </c>
      <c r="W1200">
        <v>1</v>
      </c>
      <c r="X1200">
        <v>273667</v>
      </c>
      <c r="Y1200" t="s">
        <v>2620</v>
      </c>
      <c r="Z1200" t="s">
        <v>9797</v>
      </c>
      <c r="AA1200" t="s">
        <v>682</v>
      </c>
      <c r="AB1200" t="s">
        <v>45</v>
      </c>
      <c r="AC1200" t="s">
        <v>9668</v>
      </c>
    </row>
    <row r="1201" spans="1:29">
      <c r="A1201" t="s">
        <v>2590</v>
      </c>
      <c r="B1201" s="1">
        <v>94931</v>
      </c>
      <c r="C1201" t="s">
        <v>581</v>
      </c>
      <c r="D1201" t="s">
        <v>9657</v>
      </c>
      <c r="E1201" s="1">
        <v>-3862</v>
      </c>
      <c r="F1201" t="s">
        <v>1202</v>
      </c>
      <c r="G1201" t="s">
        <v>5958</v>
      </c>
      <c r="H1201" t="s">
        <v>7570</v>
      </c>
      <c r="I1201">
        <v>4</v>
      </c>
      <c r="J1201" t="s">
        <v>7571</v>
      </c>
      <c r="K1201">
        <v>75</v>
      </c>
      <c r="L1201" t="s">
        <v>7572</v>
      </c>
      <c r="M1201" t="s">
        <v>7573</v>
      </c>
      <c r="N1201" t="s">
        <v>7574</v>
      </c>
      <c r="O1201" t="s">
        <v>9661</v>
      </c>
      <c r="P1201" t="s">
        <v>7575</v>
      </c>
      <c r="Q1201" t="s">
        <v>7576</v>
      </c>
      <c r="R1201" t="s">
        <v>7577</v>
      </c>
      <c r="S1201" s="2">
        <v>37376</v>
      </c>
      <c r="T1201">
        <v>0</v>
      </c>
      <c r="U1201" t="s">
        <v>7578</v>
      </c>
      <c r="V1201">
        <v>1</v>
      </c>
      <c r="W1201">
        <v>11</v>
      </c>
      <c r="X1201">
        <v>237493</v>
      </c>
      <c r="Y1201" t="s">
        <v>2833</v>
      </c>
      <c r="Z1201" t="s">
        <v>7576</v>
      </c>
      <c r="AA1201" t="s">
        <v>682</v>
      </c>
      <c r="AB1201" t="s">
        <v>45</v>
      </c>
      <c r="AC1201" t="s">
        <v>9668</v>
      </c>
    </row>
    <row r="1202" spans="1:29">
      <c r="A1202" t="s">
        <v>1213</v>
      </c>
      <c r="B1202" s="1">
        <v>94382</v>
      </c>
      <c r="C1202" t="s">
        <v>1023</v>
      </c>
      <c r="D1202" t="s">
        <v>9657</v>
      </c>
      <c r="E1202" t="s">
        <v>9799</v>
      </c>
      <c r="F1202" t="s">
        <v>4337</v>
      </c>
      <c r="G1202" t="s">
        <v>487</v>
      </c>
      <c r="H1202" t="s">
        <v>9800</v>
      </c>
      <c r="I1202">
        <v>4</v>
      </c>
      <c r="J1202" t="s">
        <v>8881</v>
      </c>
      <c r="K1202">
        <v>73</v>
      </c>
      <c r="L1202" t="s">
        <v>9801</v>
      </c>
      <c r="M1202" t="s">
        <v>9802</v>
      </c>
      <c r="N1202" t="s">
        <v>9803</v>
      </c>
      <c r="O1202" t="s">
        <v>9661</v>
      </c>
      <c r="P1202" t="s">
        <v>9804</v>
      </c>
      <c r="Q1202" t="s">
        <v>9805</v>
      </c>
      <c r="R1202" t="s">
        <v>9806</v>
      </c>
      <c r="S1202" s="2">
        <v>30225</v>
      </c>
      <c r="T1202" t="s">
        <v>9807</v>
      </c>
      <c r="U1202" t="s">
        <v>9808</v>
      </c>
      <c r="V1202">
        <v>0</v>
      </c>
      <c r="W1202">
        <v>0</v>
      </c>
      <c r="X1202">
        <v>238600</v>
      </c>
      <c r="Y1202" t="s">
        <v>1483</v>
      </c>
      <c r="Z1202" t="s">
        <v>9805</v>
      </c>
      <c r="AA1202" t="s">
        <v>682</v>
      </c>
      <c r="AB1202" t="s">
        <v>45</v>
      </c>
      <c r="AC1202" t="s">
        <v>9668</v>
      </c>
    </row>
    <row r="1203" spans="1:29">
      <c r="A1203" t="s">
        <v>2134</v>
      </c>
      <c r="B1203" s="1">
        <v>128019</v>
      </c>
      <c r="C1203" t="s">
        <v>2814</v>
      </c>
      <c r="D1203" t="s">
        <v>9657</v>
      </c>
      <c r="E1203" s="1">
        <v>-8651</v>
      </c>
      <c r="F1203" t="s">
        <v>4577</v>
      </c>
      <c r="G1203" t="s">
        <v>655</v>
      </c>
      <c r="H1203" t="s">
        <v>9809</v>
      </c>
      <c r="I1203">
        <v>4</v>
      </c>
      <c r="J1203" t="s">
        <v>323</v>
      </c>
      <c r="K1203">
        <v>68</v>
      </c>
      <c r="L1203" t="s">
        <v>9810</v>
      </c>
      <c r="M1203" t="s">
        <v>9811</v>
      </c>
      <c r="N1203" t="s">
        <v>9812</v>
      </c>
      <c r="O1203" t="s">
        <v>9661</v>
      </c>
      <c r="P1203" t="s">
        <v>9813</v>
      </c>
      <c r="Q1203" t="s">
        <v>9814</v>
      </c>
      <c r="R1203" t="s">
        <v>9815</v>
      </c>
      <c r="S1203" s="2">
        <v>35431</v>
      </c>
      <c r="T1203" t="s">
        <v>9816</v>
      </c>
      <c r="U1203" t="s">
        <v>9817</v>
      </c>
      <c r="V1203">
        <v>1</v>
      </c>
      <c r="W1203">
        <v>1</v>
      </c>
      <c r="X1203">
        <v>331240</v>
      </c>
      <c r="Y1203" t="s">
        <v>2917</v>
      </c>
      <c r="Z1203" t="s">
        <v>9814</v>
      </c>
      <c r="AA1203" t="s">
        <v>682</v>
      </c>
      <c r="AB1203" t="s">
        <v>45</v>
      </c>
      <c r="AC1203" t="s">
        <v>9668</v>
      </c>
    </row>
    <row r="1204" spans="1:29">
      <c r="A1204" t="s">
        <v>5559</v>
      </c>
      <c r="B1204" s="1">
        <v>81998</v>
      </c>
      <c r="C1204" t="s">
        <v>2132</v>
      </c>
      <c r="D1204" t="s">
        <v>9657</v>
      </c>
      <c r="E1204" t="s">
        <v>9818</v>
      </c>
      <c r="F1204" t="s">
        <v>7116</v>
      </c>
      <c r="G1204" t="s">
        <v>551</v>
      </c>
      <c r="H1204" t="s">
        <v>9819</v>
      </c>
      <c r="I1204">
        <v>4</v>
      </c>
      <c r="J1204" t="s">
        <v>411</v>
      </c>
      <c r="K1204">
        <v>75</v>
      </c>
      <c r="L1204" t="s">
        <v>9820</v>
      </c>
      <c r="M1204" t="s">
        <v>9821</v>
      </c>
      <c r="N1204" t="s">
        <v>9822</v>
      </c>
      <c r="O1204" t="s">
        <v>9661</v>
      </c>
      <c r="P1204" t="s">
        <v>9823</v>
      </c>
      <c r="Q1204" t="s">
        <v>9824</v>
      </c>
      <c r="R1204" t="s">
        <v>9825</v>
      </c>
      <c r="S1204" s="2">
        <v>38572</v>
      </c>
      <c r="T1204" t="s">
        <v>9826</v>
      </c>
      <c r="U1204" t="s">
        <v>9827</v>
      </c>
      <c r="V1204">
        <v>0</v>
      </c>
      <c r="W1204">
        <v>0</v>
      </c>
      <c r="X1204">
        <v>209493</v>
      </c>
      <c r="Y1204" t="s">
        <v>3544</v>
      </c>
      <c r="Z1204" t="s">
        <v>9824</v>
      </c>
      <c r="AA1204" t="s">
        <v>682</v>
      </c>
      <c r="AB1204" t="s">
        <v>45</v>
      </c>
      <c r="AC1204" t="s">
        <v>9668</v>
      </c>
    </row>
    <row r="1205" spans="1:29">
      <c r="A1205" t="s">
        <v>6773</v>
      </c>
      <c r="B1205" s="1">
        <v>138009</v>
      </c>
      <c r="C1205" t="s">
        <v>2683</v>
      </c>
      <c r="D1205" t="s">
        <v>9657</v>
      </c>
      <c r="E1205" s="1">
        <v>-3525</v>
      </c>
      <c r="F1205" t="s">
        <v>2013</v>
      </c>
      <c r="G1205" t="s">
        <v>251</v>
      </c>
      <c r="H1205" t="s">
        <v>9828</v>
      </c>
      <c r="I1205">
        <v>4</v>
      </c>
      <c r="J1205" t="s">
        <v>1643</v>
      </c>
      <c r="K1205">
        <v>78</v>
      </c>
      <c r="L1205" t="s">
        <v>9829</v>
      </c>
      <c r="M1205" t="s">
        <v>9830</v>
      </c>
      <c r="N1205" t="s">
        <v>9831</v>
      </c>
      <c r="O1205" t="s">
        <v>9661</v>
      </c>
      <c r="P1205" t="s">
        <v>9832</v>
      </c>
      <c r="Q1205" t="s">
        <v>9833</v>
      </c>
      <c r="R1205" t="s">
        <v>9834</v>
      </c>
      <c r="S1205" s="2">
        <v>36368</v>
      </c>
      <c r="T1205">
        <v>0</v>
      </c>
      <c r="U1205" t="s">
        <v>9835</v>
      </c>
      <c r="V1205">
        <v>0</v>
      </c>
      <c r="W1205">
        <v>5</v>
      </c>
      <c r="X1205">
        <v>271333</v>
      </c>
      <c r="Y1205" t="s">
        <v>3106</v>
      </c>
      <c r="Z1205" t="s">
        <v>9833</v>
      </c>
      <c r="AA1205" t="s">
        <v>682</v>
      </c>
      <c r="AB1205" t="s">
        <v>45</v>
      </c>
      <c r="AC1205" t="s">
        <v>9668</v>
      </c>
    </row>
    <row r="1206" spans="1:29">
      <c r="A1206" t="s">
        <v>2079</v>
      </c>
      <c r="B1206" s="1">
        <v>65043</v>
      </c>
      <c r="C1206" t="s">
        <v>893</v>
      </c>
      <c r="D1206" t="s">
        <v>9657</v>
      </c>
      <c r="E1206" s="1">
        <v>-5237</v>
      </c>
      <c r="F1206" t="s">
        <v>160</v>
      </c>
      <c r="G1206" t="s">
        <v>33</v>
      </c>
      <c r="H1206" t="s">
        <v>9836</v>
      </c>
      <c r="I1206">
        <v>4</v>
      </c>
      <c r="J1206" t="s">
        <v>2043</v>
      </c>
      <c r="K1206">
        <v>81</v>
      </c>
      <c r="L1206" t="s">
        <v>9837</v>
      </c>
      <c r="M1206" t="s">
        <v>9838</v>
      </c>
      <c r="N1206" t="s">
        <v>9839</v>
      </c>
      <c r="O1206" t="s">
        <v>9661</v>
      </c>
      <c r="P1206" t="s">
        <v>9840</v>
      </c>
      <c r="Q1206" t="s">
        <v>9841</v>
      </c>
      <c r="R1206" t="s">
        <v>9842</v>
      </c>
      <c r="S1206" s="2">
        <v>40179</v>
      </c>
      <c r="T1206">
        <v>0</v>
      </c>
      <c r="U1206" t="s">
        <v>9843</v>
      </c>
      <c r="V1206">
        <v>0</v>
      </c>
      <c r="W1206">
        <v>5</v>
      </c>
      <c r="X1206">
        <v>214240</v>
      </c>
      <c r="Y1206" t="s">
        <v>8257</v>
      </c>
      <c r="Z1206" t="s">
        <v>9841</v>
      </c>
      <c r="AA1206" t="s">
        <v>682</v>
      </c>
      <c r="AB1206" t="s">
        <v>45</v>
      </c>
      <c r="AC1206" t="s">
        <v>9668</v>
      </c>
    </row>
    <row r="1207" spans="1:29">
      <c r="A1207" t="s">
        <v>2831</v>
      </c>
      <c r="B1207" s="1">
        <v>93985</v>
      </c>
      <c r="C1207" t="s">
        <v>2786</v>
      </c>
      <c r="D1207" t="s">
        <v>9657</v>
      </c>
      <c r="E1207" s="1">
        <v>-4938</v>
      </c>
      <c r="F1207" t="s">
        <v>1012</v>
      </c>
      <c r="G1207" t="s">
        <v>2151</v>
      </c>
      <c r="H1207" t="s">
        <v>3975</v>
      </c>
      <c r="I1207">
        <v>4</v>
      </c>
      <c r="J1207" t="s">
        <v>850</v>
      </c>
      <c r="K1207">
        <v>69</v>
      </c>
      <c r="L1207" t="s">
        <v>4027</v>
      </c>
      <c r="M1207" t="s">
        <v>4028</v>
      </c>
      <c r="N1207">
        <v>8701</v>
      </c>
      <c r="O1207" t="s">
        <v>9661</v>
      </c>
      <c r="P1207" t="s">
        <v>4029</v>
      </c>
      <c r="Q1207" t="s">
        <v>4030</v>
      </c>
      <c r="R1207" t="s">
        <v>4031</v>
      </c>
      <c r="S1207" s="2">
        <v>37110</v>
      </c>
      <c r="T1207">
        <v>0</v>
      </c>
      <c r="U1207" t="s">
        <v>4032</v>
      </c>
      <c r="V1207">
        <v>1</v>
      </c>
      <c r="W1207">
        <v>6</v>
      </c>
      <c r="X1207">
        <v>266893</v>
      </c>
      <c r="Y1207" t="s">
        <v>2164</v>
      </c>
      <c r="Z1207" t="s">
        <v>4030</v>
      </c>
      <c r="AA1207" t="s">
        <v>682</v>
      </c>
      <c r="AB1207" t="s">
        <v>45</v>
      </c>
      <c r="AC1207" t="s">
        <v>9668</v>
      </c>
    </row>
    <row r="1208" spans="1:29">
      <c r="A1208" t="s">
        <v>133</v>
      </c>
      <c r="B1208" s="1">
        <v>138007</v>
      </c>
      <c r="C1208" t="s">
        <v>4193</v>
      </c>
      <c r="D1208" t="s">
        <v>9657</v>
      </c>
      <c r="E1208" s="1">
        <v>-7674</v>
      </c>
      <c r="F1208" t="s">
        <v>4194</v>
      </c>
      <c r="G1208" t="s">
        <v>2251</v>
      </c>
      <c r="H1208" t="s">
        <v>3975</v>
      </c>
      <c r="I1208">
        <v>4</v>
      </c>
      <c r="J1208" t="s">
        <v>2280</v>
      </c>
      <c r="K1208">
        <v>68</v>
      </c>
      <c r="L1208" t="s">
        <v>4195</v>
      </c>
      <c r="M1208" t="s">
        <v>4196</v>
      </c>
      <c r="N1208" t="s">
        <v>3793</v>
      </c>
      <c r="O1208" t="s">
        <v>9661</v>
      </c>
      <c r="P1208" t="s">
        <v>4197</v>
      </c>
      <c r="Q1208" t="s">
        <v>4198</v>
      </c>
      <c r="R1208" t="s">
        <v>4199</v>
      </c>
      <c r="S1208" s="2">
        <v>38069</v>
      </c>
      <c r="T1208">
        <v>0</v>
      </c>
      <c r="U1208" t="s">
        <v>3797</v>
      </c>
      <c r="V1208">
        <v>1</v>
      </c>
      <c r="W1208">
        <v>1</v>
      </c>
      <c r="X1208">
        <v>211200</v>
      </c>
      <c r="Y1208" t="s">
        <v>4200</v>
      </c>
      <c r="Z1208" t="s">
        <v>4198</v>
      </c>
      <c r="AA1208" t="s">
        <v>682</v>
      </c>
      <c r="AB1208" t="s">
        <v>45</v>
      </c>
      <c r="AC1208" t="s">
        <v>9668</v>
      </c>
    </row>
    <row r="1209" spans="1:29">
      <c r="A1209" t="s">
        <v>3613</v>
      </c>
      <c r="B1209" s="1">
        <v>140036</v>
      </c>
      <c r="C1209" t="s">
        <v>1431</v>
      </c>
      <c r="D1209" t="s">
        <v>9657</v>
      </c>
      <c r="E1209" s="1">
        <v>-6902</v>
      </c>
      <c r="F1209" t="s">
        <v>2884</v>
      </c>
      <c r="G1209" t="s">
        <v>772</v>
      </c>
      <c r="H1209" t="s">
        <v>8275</v>
      </c>
      <c r="I1209">
        <v>4</v>
      </c>
      <c r="J1209" t="s">
        <v>1000</v>
      </c>
      <c r="K1209">
        <v>70</v>
      </c>
      <c r="L1209" t="s">
        <v>9844</v>
      </c>
      <c r="M1209" t="s">
        <v>9845</v>
      </c>
      <c r="N1209" t="s">
        <v>9846</v>
      </c>
      <c r="O1209" t="s">
        <v>9661</v>
      </c>
      <c r="P1209" t="s">
        <v>9847</v>
      </c>
      <c r="Q1209" t="s">
        <v>9848</v>
      </c>
      <c r="R1209" t="s">
        <v>9849</v>
      </c>
      <c r="S1209" s="2">
        <v>41967</v>
      </c>
      <c r="T1209" t="s">
        <v>3939</v>
      </c>
      <c r="U1209" t="s">
        <v>9850</v>
      </c>
      <c r="V1209">
        <v>0</v>
      </c>
      <c r="W1209">
        <v>5</v>
      </c>
      <c r="X1209">
        <v>323480</v>
      </c>
      <c r="Y1209" t="s">
        <v>9851</v>
      </c>
      <c r="Z1209" t="s">
        <v>9848</v>
      </c>
      <c r="AA1209" t="s">
        <v>682</v>
      </c>
      <c r="AB1209" t="s">
        <v>45</v>
      </c>
      <c r="AC1209" t="s">
        <v>9668</v>
      </c>
    </row>
    <row r="1210" spans="1:29">
      <c r="A1210" t="s">
        <v>1895</v>
      </c>
      <c r="B1210" s="1">
        <v>132012</v>
      </c>
      <c r="C1210" t="s">
        <v>291</v>
      </c>
      <c r="D1210" t="s">
        <v>9657</v>
      </c>
      <c r="E1210" s="1">
        <v>-4498</v>
      </c>
      <c r="F1210" t="s">
        <v>7329</v>
      </c>
      <c r="G1210" t="s">
        <v>893</v>
      </c>
      <c r="H1210" t="s">
        <v>9852</v>
      </c>
      <c r="I1210">
        <v>4</v>
      </c>
      <c r="J1210" t="s">
        <v>1361</v>
      </c>
      <c r="K1210">
        <v>77</v>
      </c>
      <c r="L1210" t="s">
        <v>9853</v>
      </c>
      <c r="M1210" t="s">
        <v>9854</v>
      </c>
      <c r="N1210" t="s">
        <v>9855</v>
      </c>
      <c r="O1210" t="s">
        <v>9661</v>
      </c>
      <c r="P1210" t="s">
        <v>9856</v>
      </c>
      <c r="Q1210" t="s">
        <v>9857</v>
      </c>
      <c r="R1210" t="s">
        <v>9858</v>
      </c>
      <c r="S1210" s="2">
        <v>39814</v>
      </c>
      <c r="T1210">
        <v>0</v>
      </c>
      <c r="U1210" t="s">
        <v>9859</v>
      </c>
      <c r="V1210">
        <v>1</v>
      </c>
      <c r="W1210">
        <v>2</v>
      </c>
      <c r="X1210">
        <v>212507</v>
      </c>
      <c r="Y1210" t="s">
        <v>9860</v>
      </c>
      <c r="Z1210" t="s">
        <v>9857</v>
      </c>
      <c r="AA1210" t="s">
        <v>682</v>
      </c>
      <c r="AB1210" t="s">
        <v>45</v>
      </c>
      <c r="AC1210" t="s">
        <v>9668</v>
      </c>
    </row>
    <row r="1211" spans="1:29">
      <c r="A1211" t="s">
        <v>4958</v>
      </c>
      <c r="B1211" s="1">
        <v>86989</v>
      </c>
      <c r="C1211" t="s">
        <v>1445</v>
      </c>
      <c r="D1211" t="s">
        <v>9657</v>
      </c>
      <c r="E1211" s="1">
        <v>-5034</v>
      </c>
      <c r="F1211" t="s">
        <v>4078</v>
      </c>
      <c r="G1211" t="s">
        <v>1371</v>
      </c>
      <c r="H1211" t="s">
        <v>9861</v>
      </c>
      <c r="I1211">
        <v>4</v>
      </c>
      <c r="J1211" t="s">
        <v>2539</v>
      </c>
      <c r="K1211">
        <v>83</v>
      </c>
      <c r="L1211" t="s">
        <v>9862</v>
      </c>
      <c r="M1211" t="s">
        <v>9863</v>
      </c>
      <c r="N1211" t="s">
        <v>9864</v>
      </c>
      <c r="O1211" t="s">
        <v>9661</v>
      </c>
      <c r="P1211" t="s">
        <v>9865</v>
      </c>
      <c r="Q1211" t="s">
        <v>9866</v>
      </c>
      <c r="R1211" t="s">
        <v>9867</v>
      </c>
      <c r="S1211" s="2">
        <v>40347</v>
      </c>
      <c r="T1211">
        <v>0</v>
      </c>
      <c r="U1211" t="s">
        <v>9868</v>
      </c>
      <c r="V1211">
        <v>1</v>
      </c>
      <c r="W1211">
        <v>10</v>
      </c>
      <c r="X1211">
        <v>263373</v>
      </c>
      <c r="Y1211" t="s">
        <v>5957</v>
      </c>
      <c r="Z1211" t="s">
        <v>9866</v>
      </c>
      <c r="AA1211" t="s">
        <v>682</v>
      </c>
      <c r="AB1211" t="s">
        <v>45</v>
      </c>
      <c r="AC1211" t="s">
        <v>9668</v>
      </c>
    </row>
    <row r="1212" spans="1:29">
      <c r="A1212" t="s">
        <v>1085</v>
      </c>
      <c r="B1212" s="1">
        <v>93867</v>
      </c>
      <c r="C1212" t="s">
        <v>2125</v>
      </c>
      <c r="D1212" t="s">
        <v>9657</v>
      </c>
      <c r="E1212" t="s">
        <v>9869</v>
      </c>
      <c r="F1212" t="s">
        <v>624</v>
      </c>
      <c r="G1212" t="s">
        <v>380</v>
      </c>
      <c r="H1212" t="s">
        <v>9870</v>
      </c>
      <c r="I1212">
        <v>4</v>
      </c>
      <c r="J1212" t="s">
        <v>2723</v>
      </c>
      <c r="K1212">
        <v>69</v>
      </c>
      <c r="L1212" t="s">
        <v>9871</v>
      </c>
      <c r="M1212" t="s">
        <v>9872</v>
      </c>
      <c r="N1212" t="s">
        <v>8069</v>
      </c>
      <c r="O1212" t="s">
        <v>9661</v>
      </c>
      <c r="P1212" t="s">
        <v>9873</v>
      </c>
      <c r="Q1212" t="s">
        <v>9874</v>
      </c>
      <c r="R1212" t="s">
        <v>9875</v>
      </c>
      <c r="S1212" s="2">
        <v>39601</v>
      </c>
      <c r="T1212">
        <v>0</v>
      </c>
      <c r="U1212" t="s">
        <v>8074</v>
      </c>
      <c r="V1212">
        <v>0</v>
      </c>
      <c r="W1212">
        <v>5</v>
      </c>
      <c r="X1212">
        <v>218947</v>
      </c>
      <c r="Y1212" t="s">
        <v>825</v>
      </c>
      <c r="Z1212" t="s">
        <v>9874</v>
      </c>
      <c r="AA1212" t="s">
        <v>682</v>
      </c>
      <c r="AB1212" t="s">
        <v>45</v>
      </c>
      <c r="AC1212" t="s">
        <v>9668</v>
      </c>
    </row>
    <row r="1213" spans="1:29">
      <c r="A1213" t="s">
        <v>1199</v>
      </c>
      <c r="B1213" s="1">
        <v>129473</v>
      </c>
      <c r="C1213" t="s">
        <v>4956</v>
      </c>
      <c r="D1213" t="s">
        <v>9657</v>
      </c>
      <c r="E1213" t="s">
        <v>9876</v>
      </c>
      <c r="F1213" t="s">
        <v>4261</v>
      </c>
      <c r="G1213" t="s">
        <v>2500</v>
      </c>
      <c r="H1213" t="s">
        <v>9877</v>
      </c>
      <c r="I1213">
        <v>4</v>
      </c>
      <c r="J1213" t="s">
        <v>1749</v>
      </c>
      <c r="K1213">
        <v>68</v>
      </c>
      <c r="L1213" t="s">
        <v>9878</v>
      </c>
      <c r="M1213" t="s">
        <v>9879</v>
      </c>
      <c r="N1213" t="s">
        <v>9864</v>
      </c>
      <c r="O1213" t="s">
        <v>9661</v>
      </c>
      <c r="P1213" t="s">
        <v>9880</v>
      </c>
      <c r="Q1213" t="s">
        <v>9881</v>
      </c>
      <c r="R1213" t="s">
        <v>9882</v>
      </c>
      <c r="S1213" s="2">
        <v>40347</v>
      </c>
      <c r="T1213">
        <v>0</v>
      </c>
      <c r="U1213" t="s">
        <v>9868</v>
      </c>
      <c r="V1213">
        <v>1</v>
      </c>
      <c r="W1213">
        <v>11</v>
      </c>
      <c r="X1213">
        <v>299507</v>
      </c>
      <c r="Y1213" t="s">
        <v>1483</v>
      </c>
      <c r="Z1213" t="s">
        <v>9881</v>
      </c>
      <c r="AA1213" t="s">
        <v>682</v>
      </c>
      <c r="AB1213" t="s">
        <v>45</v>
      </c>
      <c r="AC1213" t="s">
        <v>9668</v>
      </c>
    </row>
    <row r="1214" spans="1:29">
      <c r="A1214" t="s">
        <v>1267</v>
      </c>
      <c r="B1214" s="1">
        <v>74267</v>
      </c>
      <c r="C1214" t="s">
        <v>744</v>
      </c>
      <c r="D1214" t="s">
        <v>9657</v>
      </c>
      <c r="E1214" s="1">
        <v>-7291</v>
      </c>
      <c r="F1214" t="s">
        <v>189</v>
      </c>
      <c r="G1214" t="s">
        <v>5073</v>
      </c>
      <c r="H1214" t="s">
        <v>9883</v>
      </c>
      <c r="I1214">
        <v>4</v>
      </c>
      <c r="J1214" t="s">
        <v>1266</v>
      </c>
      <c r="K1214">
        <v>74</v>
      </c>
      <c r="L1214" t="s">
        <v>9884</v>
      </c>
      <c r="M1214" t="s">
        <v>9885</v>
      </c>
      <c r="N1214" t="s">
        <v>9886</v>
      </c>
      <c r="O1214" t="s">
        <v>9661</v>
      </c>
      <c r="P1214" t="s">
        <v>9887</v>
      </c>
      <c r="Q1214" t="s">
        <v>9888</v>
      </c>
      <c r="R1214" t="s">
        <v>9889</v>
      </c>
      <c r="S1214" s="2">
        <v>40784</v>
      </c>
      <c r="T1214">
        <v>0</v>
      </c>
      <c r="U1214" t="s">
        <v>9890</v>
      </c>
      <c r="V1214">
        <v>0</v>
      </c>
      <c r="W1214">
        <v>5</v>
      </c>
      <c r="X1214">
        <v>228093</v>
      </c>
      <c r="Y1214" t="s">
        <v>3724</v>
      </c>
      <c r="Z1214" t="s">
        <v>9888</v>
      </c>
      <c r="AA1214" t="s">
        <v>682</v>
      </c>
      <c r="AB1214" t="s">
        <v>45</v>
      </c>
      <c r="AC1214" t="s">
        <v>9668</v>
      </c>
    </row>
    <row r="1215" spans="1:29">
      <c r="A1215" t="s">
        <v>948</v>
      </c>
      <c r="B1215" s="1">
        <v>74375</v>
      </c>
      <c r="C1215" t="s">
        <v>622</v>
      </c>
      <c r="D1215" t="s">
        <v>9657</v>
      </c>
      <c r="E1215" s="1">
        <v>-10533</v>
      </c>
      <c r="F1215" t="s">
        <v>1773</v>
      </c>
      <c r="G1215" t="s">
        <v>3431</v>
      </c>
      <c r="H1215" t="s">
        <v>9891</v>
      </c>
      <c r="I1215">
        <v>4</v>
      </c>
      <c r="J1215" t="s">
        <v>3715</v>
      </c>
      <c r="K1215">
        <v>72</v>
      </c>
      <c r="L1215" t="s">
        <v>9892</v>
      </c>
      <c r="M1215" t="s">
        <v>9893</v>
      </c>
      <c r="N1215" t="s">
        <v>9891</v>
      </c>
      <c r="O1215" t="s">
        <v>9661</v>
      </c>
      <c r="P1215" t="s">
        <v>9894</v>
      </c>
      <c r="Q1215" t="s">
        <v>9895</v>
      </c>
      <c r="R1215" t="s">
        <v>9896</v>
      </c>
      <c r="S1215" s="2">
        <v>32238</v>
      </c>
      <c r="T1215">
        <v>0</v>
      </c>
      <c r="U1215" t="s">
        <v>9897</v>
      </c>
      <c r="V1215">
        <v>1</v>
      </c>
      <c r="W1215">
        <v>2</v>
      </c>
      <c r="X1215">
        <v>193120</v>
      </c>
      <c r="Y1215" t="s">
        <v>8057</v>
      </c>
      <c r="Z1215" t="s">
        <v>9895</v>
      </c>
      <c r="AA1215" t="s">
        <v>682</v>
      </c>
      <c r="AB1215" t="s">
        <v>45</v>
      </c>
      <c r="AC1215" t="s">
        <v>9668</v>
      </c>
    </row>
    <row r="1216" spans="1:29">
      <c r="A1216" t="s">
        <v>513</v>
      </c>
      <c r="B1216" t="s">
        <v>7760</v>
      </c>
      <c r="C1216" t="s">
        <v>3949</v>
      </c>
      <c r="D1216" t="s">
        <v>9657</v>
      </c>
      <c r="E1216" s="1">
        <v>-5415</v>
      </c>
      <c r="F1216" t="s">
        <v>2001</v>
      </c>
      <c r="G1216" t="s">
        <v>2389</v>
      </c>
      <c r="H1216" t="s">
        <v>3815</v>
      </c>
      <c r="I1216">
        <v>4</v>
      </c>
      <c r="J1216" t="s">
        <v>323</v>
      </c>
      <c r="K1216">
        <v>71</v>
      </c>
      <c r="L1216" t="s">
        <v>7761</v>
      </c>
      <c r="M1216" t="s">
        <v>7762</v>
      </c>
      <c r="N1216" t="s">
        <v>7763</v>
      </c>
      <c r="O1216" t="s">
        <v>9661</v>
      </c>
      <c r="P1216" t="s">
        <v>7764</v>
      </c>
      <c r="Q1216" t="s">
        <v>7765</v>
      </c>
      <c r="R1216" t="s">
        <v>3971</v>
      </c>
      <c r="S1216" s="2">
        <v>39395</v>
      </c>
      <c r="T1216" t="s">
        <v>7766</v>
      </c>
      <c r="U1216" t="s">
        <v>7767</v>
      </c>
      <c r="V1216">
        <v>0</v>
      </c>
      <c r="W1216">
        <v>1</v>
      </c>
      <c r="X1216">
        <v>253813</v>
      </c>
      <c r="Y1216" t="s">
        <v>373</v>
      </c>
      <c r="Z1216" t="s">
        <v>7765</v>
      </c>
      <c r="AA1216" t="s">
        <v>682</v>
      </c>
      <c r="AB1216" t="s">
        <v>45</v>
      </c>
      <c r="AC1216" t="s">
        <v>9668</v>
      </c>
    </row>
    <row r="1217" spans="1:29">
      <c r="A1217" t="s">
        <v>5559</v>
      </c>
      <c r="B1217" s="1">
        <v>184374</v>
      </c>
      <c r="C1217" t="s">
        <v>289</v>
      </c>
      <c r="D1217" t="s">
        <v>9657</v>
      </c>
      <c r="E1217" s="1">
        <v>-7055</v>
      </c>
      <c r="F1217" t="s">
        <v>2673</v>
      </c>
      <c r="G1217" t="s">
        <v>2813</v>
      </c>
      <c r="H1217" t="s">
        <v>9898</v>
      </c>
      <c r="I1217">
        <v>4</v>
      </c>
      <c r="J1217" t="s">
        <v>3339</v>
      </c>
      <c r="K1217">
        <v>69</v>
      </c>
      <c r="L1217" t="s">
        <v>9899</v>
      </c>
      <c r="M1217" t="s">
        <v>9900</v>
      </c>
      <c r="N1217" t="s">
        <v>9898</v>
      </c>
      <c r="O1217" t="s">
        <v>9661</v>
      </c>
      <c r="P1217" t="s">
        <v>9901</v>
      </c>
      <c r="Q1217" t="s">
        <v>9902</v>
      </c>
      <c r="R1217" t="s">
        <v>9903</v>
      </c>
      <c r="S1217">
        <v>1998</v>
      </c>
      <c r="T1217" t="s">
        <v>9322</v>
      </c>
      <c r="U1217" t="s">
        <v>9904</v>
      </c>
      <c r="V1217">
        <v>0</v>
      </c>
      <c r="W1217">
        <v>7</v>
      </c>
      <c r="X1217">
        <v>261867</v>
      </c>
      <c r="Y1217" t="s">
        <v>9905</v>
      </c>
      <c r="Z1217" t="s">
        <v>9902</v>
      </c>
      <c r="AA1217" t="s">
        <v>682</v>
      </c>
      <c r="AB1217" t="s">
        <v>45</v>
      </c>
      <c r="AC1217" t="s">
        <v>9668</v>
      </c>
    </row>
    <row r="1218" spans="1:29">
      <c r="A1218" t="s">
        <v>1539</v>
      </c>
      <c r="B1218" s="1">
        <v>80063</v>
      </c>
      <c r="C1218" t="s">
        <v>3545</v>
      </c>
      <c r="D1218" t="s">
        <v>9657</v>
      </c>
      <c r="E1218" s="1">
        <v>-4325</v>
      </c>
      <c r="F1218" t="s">
        <v>998</v>
      </c>
      <c r="G1218" t="s">
        <v>47</v>
      </c>
      <c r="H1218" t="s">
        <v>9906</v>
      </c>
      <c r="I1218">
        <v>4</v>
      </c>
      <c r="J1218" t="s">
        <v>9907</v>
      </c>
      <c r="K1218">
        <v>79</v>
      </c>
      <c r="L1218" t="s">
        <v>9908</v>
      </c>
      <c r="M1218" t="s">
        <v>9909</v>
      </c>
      <c r="N1218" t="s">
        <v>9910</v>
      </c>
      <c r="O1218" t="s">
        <v>9661</v>
      </c>
      <c r="P1218" t="s">
        <v>9911</v>
      </c>
      <c r="Q1218" t="s">
        <v>9912</v>
      </c>
      <c r="R1218" t="s">
        <v>9913</v>
      </c>
      <c r="S1218" s="2">
        <v>36669</v>
      </c>
      <c r="T1218" t="s">
        <v>7685</v>
      </c>
      <c r="U1218" t="s">
        <v>9914</v>
      </c>
      <c r="V1218">
        <v>0</v>
      </c>
      <c r="W1218">
        <v>6</v>
      </c>
      <c r="X1218">
        <v>404107</v>
      </c>
      <c r="Y1218" t="s">
        <v>7595</v>
      </c>
      <c r="Z1218" t="s">
        <v>9912</v>
      </c>
      <c r="AA1218" t="s">
        <v>682</v>
      </c>
      <c r="AB1218" t="s">
        <v>45</v>
      </c>
      <c r="AC1218" t="s">
        <v>9668</v>
      </c>
    </row>
    <row r="1219" spans="1:29">
      <c r="A1219" t="s">
        <v>289</v>
      </c>
      <c r="B1219" s="1">
        <v>104036</v>
      </c>
      <c r="C1219" t="s">
        <v>377</v>
      </c>
      <c r="D1219" t="s">
        <v>9657</v>
      </c>
      <c r="E1219" s="1">
        <v>-5886</v>
      </c>
      <c r="F1219" t="s">
        <v>2795</v>
      </c>
      <c r="G1219" t="s">
        <v>292</v>
      </c>
      <c r="H1219" t="s">
        <v>7562</v>
      </c>
      <c r="I1219">
        <v>4</v>
      </c>
      <c r="J1219" t="s">
        <v>4125</v>
      </c>
      <c r="K1219">
        <v>75</v>
      </c>
      <c r="L1219" t="s">
        <v>7563</v>
      </c>
      <c r="M1219" t="s">
        <v>7564</v>
      </c>
      <c r="N1219" t="s">
        <v>7565</v>
      </c>
      <c r="O1219" t="s">
        <v>9661</v>
      </c>
      <c r="P1219" t="s">
        <v>7566</v>
      </c>
      <c r="Q1219" t="s">
        <v>7567</v>
      </c>
      <c r="R1219" t="s">
        <v>7568</v>
      </c>
      <c r="S1219">
        <v>2007</v>
      </c>
      <c r="T1219">
        <v>0</v>
      </c>
      <c r="U1219" t="s">
        <v>7569</v>
      </c>
      <c r="V1219">
        <v>1</v>
      </c>
      <c r="W1219">
        <v>5</v>
      </c>
      <c r="X1219">
        <v>262467</v>
      </c>
      <c r="Y1219" t="s">
        <v>1142</v>
      </c>
      <c r="Z1219" t="s">
        <v>7567</v>
      </c>
      <c r="AA1219" t="s">
        <v>682</v>
      </c>
      <c r="AB1219" t="s">
        <v>45</v>
      </c>
      <c r="AC1219" t="s">
        <v>9668</v>
      </c>
    </row>
    <row r="1220" spans="1:29">
      <c r="A1220" t="s">
        <v>1747</v>
      </c>
      <c r="B1220" s="1">
        <v>139987</v>
      </c>
      <c r="C1220" t="s">
        <v>6765</v>
      </c>
      <c r="D1220" t="s">
        <v>9657</v>
      </c>
      <c r="E1220" s="1">
        <v>-7918</v>
      </c>
      <c r="F1220" t="s">
        <v>2090</v>
      </c>
      <c r="G1220" t="s">
        <v>742</v>
      </c>
      <c r="H1220" t="s">
        <v>6394</v>
      </c>
      <c r="I1220">
        <v>4</v>
      </c>
      <c r="J1220" t="s">
        <v>3726</v>
      </c>
      <c r="K1220">
        <v>74</v>
      </c>
      <c r="L1220" t="s">
        <v>9915</v>
      </c>
      <c r="M1220" t="s">
        <v>9916</v>
      </c>
      <c r="N1220" t="s">
        <v>9917</v>
      </c>
      <c r="O1220" t="s">
        <v>9661</v>
      </c>
      <c r="P1220" t="s">
        <v>9918</v>
      </c>
      <c r="Q1220" t="s">
        <v>9919</v>
      </c>
      <c r="R1220" t="s">
        <v>9920</v>
      </c>
      <c r="S1220">
        <v>2005</v>
      </c>
      <c r="T1220">
        <v>0</v>
      </c>
      <c r="U1220" t="s">
        <v>9921</v>
      </c>
      <c r="V1220">
        <v>1</v>
      </c>
      <c r="W1220">
        <v>0</v>
      </c>
      <c r="X1220">
        <v>201400</v>
      </c>
      <c r="Y1220" t="s">
        <v>382</v>
      </c>
      <c r="Z1220" t="s">
        <v>9919</v>
      </c>
      <c r="AA1220" t="s">
        <v>682</v>
      </c>
      <c r="AB1220" t="s">
        <v>45</v>
      </c>
      <c r="AC1220" t="s">
        <v>9668</v>
      </c>
    </row>
    <row r="1221" spans="1:29">
      <c r="A1221" t="s">
        <v>3132</v>
      </c>
      <c r="B1221" s="1">
        <v>136628</v>
      </c>
      <c r="C1221" t="s">
        <v>6212</v>
      </c>
      <c r="D1221" t="s">
        <v>9657</v>
      </c>
      <c r="E1221" s="1">
        <v>-5098</v>
      </c>
      <c r="F1221" t="s">
        <v>8057</v>
      </c>
      <c r="G1221" t="s">
        <v>878</v>
      </c>
      <c r="H1221" t="s">
        <v>9922</v>
      </c>
      <c r="I1221">
        <v>4</v>
      </c>
      <c r="J1221" t="s">
        <v>5394</v>
      </c>
      <c r="K1221">
        <v>71</v>
      </c>
      <c r="L1221" t="s">
        <v>9923</v>
      </c>
      <c r="M1221" t="s">
        <v>9924</v>
      </c>
      <c r="N1221" t="s">
        <v>9925</v>
      </c>
      <c r="O1221" t="s">
        <v>9661</v>
      </c>
      <c r="P1221" t="s">
        <v>9926</v>
      </c>
      <c r="Q1221" t="s">
        <v>9927</v>
      </c>
      <c r="R1221" t="s">
        <v>9928</v>
      </c>
      <c r="S1221" s="2">
        <v>31062</v>
      </c>
      <c r="T1221">
        <v>0</v>
      </c>
      <c r="U1221" t="s">
        <v>9929</v>
      </c>
      <c r="V1221">
        <v>1</v>
      </c>
      <c r="W1221">
        <v>1</v>
      </c>
      <c r="X1221">
        <v>242679</v>
      </c>
      <c r="Y1221" t="s">
        <v>2210</v>
      </c>
      <c r="Z1221" t="s">
        <v>9927</v>
      </c>
      <c r="AA1221" t="s">
        <v>682</v>
      </c>
      <c r="AB1221" t="s">
        <v>45</v>
      </c>
      <c r="AC1221" t="s">
        <v>9668</v>
      </c>
    </row>
    <row r="1222" spans="1:29">
      <c r="A1222" t="s">
        <v>4291</v>
      </c>
      <c r="B1222" s="1">
        <v>93135</v>
      </c>
      <c r="C1222" t="s">
        <v>4813</v>
      </c>
      <c r="D1222" t="s">
        <v>9657</v>
      </c>
      <c r="E1222" s="1">
        <v>-6486</v>
      </c>
      <c r="F1222" t="s">
        <v>1538</v>
      </c>
      <c r="G1222" t="s">
        <v>1949</v>
      </c>
      <c r="H1222" t="s">
        <v>9930</v>
      </c>
      <c r="I1222">
        <v>4</v>
      </c>
      <c r="J1222" t="s">
        <v>2063</v>
      </c>
      <c r="K1222">
        <v>69</v>
      </c>
      <c r="L1222" t="s">
        <v>9931</v>
      </c>
      <c r="M1222" t="s">
        <v>9932</v>
      </c>
      <c r="N1222" t="s">
        <v>9930</v>
      </c>
      <c r="O1222" t="s">
        <v>9661</v>
      </c>
      <c r="P1222" t="s">
        <v>9933</v>
      </c>
      <c r="Q1222" t="s">
        <v>9934</v>
      </c>
      <c r="R1222" t="s">
        <v>9935</v>
      </c>
      <c r="S1222" s="2">
        <v>39060</v>
      </c>
      <c r="T1222" t="s">
        <v>9936</v>
      </c>
      <c r="U1222" t="s">
        <v>9937</v>
      </c>
      <c r="V1222">
        <v>1</v>
      </c>
      <c r="W1222">
        <v>8</v>
      </c>
      <c r="X1222">
        <v>217347</v>
      </c>
      <c r="Y1222" t="s">
        <v>3163</v>
      </c>
      <c r="Z1222" t="s">
        <v>9934</v>
      </c>
      <c r="AA1222" t="s">
        <v>682</v>
      </c>
      <c r="AB1222" t="s">
        <v>45</v>
      </c>
      <c r="AC1222" t="s">
        <v>9668</v>
      </c>
    </row>
    <row r="1223" spans="1:29">
      <c r="A1223" t="s">
        <v>3556</v>
      </c>
      <c r="B1223" s="1">
        <v>101967</v>
      </c>
      <c r="C1223" t="s">
        <v>3545</v>
      </c>
      <c r="D1223" t="s">
        <v>9657</v>
      </c>
      <c r="E1223" t="s">
        <v>9938</v>
      </c>
      <c r="F1223" t="s">
        <v>9939</v>
      </c>
      <c r="G1223" t="s">
        <v>5692</v>
      </c>
      <c r="H1223" t="s">
        <v>1039</v>
      </c>
      <c r="I1223">
        <v>4</v>
      </c>
      <c r="J1223" t="s">
        <v>5394</v>
      </c>
      <c r="K1223">
        <v>77</v>
      </c>
      <c r="L1223" t="s">
        <v>9940</v>
      </c>
      <c r="M1223" t="s">
        <v>9941</v>
      </c>
      <c r="N1223" t="s">
        <v>9942</v>
      </c>
      <c r="O1223" t="s">
        <v>9661</v>
      </c>
      <c r="P1223" t="s">
        <v>9943</v>
      </c>
      <c r="Q1223" t="s">
        <v>9944</v>
      </c>
      <c r="R1223" t="s">
        <v>9945</v>
      </c>
      <c r="S1223" s="2">
        <v>32832</v>
      </c>
      <c r="T1223" t="s">
        <v>9946</v>
      </c>
      <c r="U1223" t="s">
        <v>9947</v>
      </c>
      <c r="V1223">
        <v>0</v>
      </c>
      <c r="W1223">
        <v>3</v>
      </c>
      <c r="X1223">
        <v>322133</v>
      </c>
      <c r="Y1223" t="s">
        <v>4346</v>
      </c>
      <c r="Z1223" t="s">
        <v>9944</v>
      </c>
      <c r="AA1223" t="s">
        <v>682</v>
      </c>
      <c r="AB1223" t="s">
        <v>45</v>
      </c>
      <c r="AC1223" t="s">
        <v>9668</v>
      </c>
    </row>
    <row r="1224" spans="1:29">
      <c r="A1224" t="s">
        <v>8390</v>
      </c>
      <c r="B1224" s="1">
        <v>118068</v>
      </c>
      <c r="C1224" t="s">
        <v>1906</v>
      </c>
      <c r="D1224" t="s">
        <v>9657</v>
      </c>
      <c r="E1224" s="1">
        <v>-9443</v>
      </c>
      <c r="F1224" t="s">
        <v>553</v>
      </c>
      <c r="G1224" t="s">
        <v>8493</v>
      </c>
      <c r="H1224" t="s">
        <v>9948</v>
      </c>
      <c r="I1224">
        <v>4</v>
      </c>
      <c r="J1224" t="s">
        <v>1470</v>
      </c>
      <c r="K1224">
        <v>75</v>
      </c>
      <c r="L1224" t="s">
        <v>9949</v>
      </c>
      <c r="M1224" t="s">
        <v>9950</v>
      </c>
      <c r="N1224" t="s">
        <v>9951</v>
      </c>
      <c r="O1224" t="s">
        <v>9661</v>
      </c>
      <c r="P1224" t="s">
        <v>9952</v>
      </c>
      <c r="Q1224" t="s">
        <v>9953</v>
      </c>
      <c r="R1224" t="s">
        <v>9954</v>
      </c>
      <c r="S1224" s="2">
        <v>22878</v>
      </c>
      <c r="T1224" t="s">
        <v>4848</v>
      </c>
      <c r="U1224" t="s">
        <v>9955</v>
      </c>
      <c r="V1224">
        <v>1</v>
      </c>
      <c r="W1224">
        <v>9</v>
      </c>
      <c r="X1224">
        <v>180056</v>
      </c>
      <c r="Y1224" t="s">
        <v>161</v>
      </c>
      <c r="Z1224" t="s">
        <v>9953</v>
      </c>
      <c r="AA1224" t="s">
        <v>682</v>
      </c>
      <c r="AB1224" t="s">
        <v>45</v>
      </c>
      <c r="AC1224" t="s">
        <v>9668</v>
      </c>
    </row>
    <row r="1225" spans="1:29">
      <c r="A1225" t="s">
        <v>1131</v>
      </c>
      <c r="B1225" s="1">
        <v>130009</v>
      </c>
      <c r="C1225" t="s">
        <v>3073</v>
      </c>
      <c r="D1225" t="s">
        <v>9657</v>
      </c>
      <c r="E1225" s="1">
        <v>-6075</v>
      </c>
      <c r="F1225" t="s">
        <v>1372</v>
      </c>
      <c r="G1225" t="s">
        <v>159</v>
      </c>
      <c r="H1225" t="s">
        <v>9956</v>
      </c>
      <c r="I1225">
        <v>4</v>
      </c>
      <c r="J1225" t="s">
        <v>4824</v>
      </c>
      <c r="K1225">
        <v>78</v>
      </c>
      <c r="L1225" t="s">
        <v>9957</v>
      </c>
      <c r="M1225" t="s">
        <v>9958</v>
      </c>
      <c r="N1225" t="s">
        <v>9959</v>
      </c>
      <c r="O1225" t="s">
        <v>9661</v>
      </c>
      <c r="P1225" t="s">
        <v>9960</v>
      </c>
      <c r="Q1225" t="s">
        <v>9961</v>
      </c>
      <c r="R1225" t="s">
        <v>9959</v>
      </c>
      <c r="S1225" s="2">
        <v>39286</v>
      </c>
      <c r="T1225">
        <v>0</v>
      </c>
      <c r="U1225" t="s">
        <v>9962</v>
      </c>
      <c r="V1225">
        <v>0</v>
      </c>
      <c r="W1225">
        <v>1</v>
      </c>
      <c r="X1225">
        <v>225373</v>
      </c>
      <c r="Y1225" t="s">
        <v>1442</v>
      </c>
      <c r="Z1225" t="s">
        <v>9961</v>
      </c>
      <c r="AA1225" t="s">
        <v>682</v>
      </c>
      <c r="AB1225" t="s">
        <v>45</v>
      </c>
      <c r="AC1225" t="s">
        <v>9668</v>
      </c>
    </row>
    <row r="1226" spans="1:29">
      <c r="A1226" t="s">
        <v>1786</v>
      </c>
      <c r="B1226" s="1">
        <v>97785</v>
      </c>
      <c r="C1226" t="s">
        <v>4291</v>
      </c>
      <c r="D1226" t="s">
        <v>667</v>
      </c>
      <c r="E1226" s="1">
        <v>-12145</v>
      </c>
      <c r="F1226" t="s">
        <v>2856</v>
      </c>
      <c r="G1226" t="s">
        <v>2211</v>
      </c>
      <c r="H1226" t="s">
        <v>9963</v>
      </c>
      <c r="I1226">
        <v>4</v>
      </c>
      <c r="J1226" t="s">
        <v>9964</v>
      </c>
      <c r="K1226">
        <v>78</v>
      </c>
      <c r="L1226" t="s">
        <v>9965</v>
      </c>
      <c r="M1226" t="s">
        <v>9966</v>
      </c>
      <c r="N1226" t="s">
        <v>9967</v>
      </c>
      <c r="O1226" t="s">
        <v>9968</v>
      </c>
      <c r="P1226" t="s">
        <v>9969</v>
      </c>
      <c r="Q1226" s="3" t="s">
        <v>9970</v>
      </c>
      <c r="R1226" t="s">
        <v>9971</v>
      </c>
      <c r="S1226" s="2">
        <v>27134</v>
      </c>
      <c r="T1226" t="s">
        <v>1968</v>
      </c>
      <c r="U1226" t="s">
        <v>9972</v>
      </c>
      <c r="V1226">
        <v>1</v>
      </c>
      <c r="W1226">
        <v>7</v>
      </c>
      <c r="X1226">
        <v>283800</v>
      </c>
      <c r="Y1226" t="s">
        <v>2884</v>
      </c>
      <c r="Z1226" s="3" t="s">
        <v>9970</v>
      </c>
      <c r="AA1226" t="s">
        <v>9973</v>
      </c>
      <c r="AB1226" t="s">
        <v>45</v>
      </c>
      <c r="AC1226" t="s">
        <v>9974</v>
      </c>
    </row>
    <row r="1227" spans="1:29">
      <c r="A1227" t="s">
        <v>2918</v>
      </c>
      <c r="B1227" s="1">
        <v>118222</v>
      </c>
      <c r="C1227" t="s">
        <v>3878</v>
      </c>
      <c r="D1227" t="s">
        <v>667</v>
      </c>
      <c r="E1227" t="s">
        <v>9975</v>
      </c>
      <c r="F1227" t="s">
        <v>9976</v>
      </c>
      <c r="G1227" t="s">
        <v>700</v>
      </c>
      <c r="H1227" t="s">
        <v>9963</v>
      </c>
      <c r="I1227">
        <v>4</v>
      </c>
      <c r="J1227" t="s">
        <v>905</v>
      </c>
      <c r="K1227">
        <v>75</v>
      </c>
      <c r="L1227" t="s">
        <v>9977</v>
      </c>
      <c r="M1227" t="s">
        <v>9978</v>
      </c>
      <c r="N1227" t="s">
        <v>9979</v>
      </c>
      <c r="O1227" t="s">
        <v>9968</v>
      </c>
      <c r="P1227" t="s">
        <v>9980</v>
      </c>
      <c r="Q1227" t="s">
        <v>9981</v>
      </c>
      <c r="R1227" t="s">
        <v>9982</v>
      </c>
      <c r="S1227" s="2">
        <v>26665</v>
      </c>
      <c r="T1227" t="s">
        <v>9983</v>
      </c>
      <c r="U1227" t="s">
        <v>9984</v>
      </c>
      <c r="V1227">
        <v>1</v>
      </c>
      <c r="W1227">
        <v>0</v>
      </c>
      <c r="X1227">
        <v>547107</v>
      </c>
      <c r="Y1227" t="s">
        <v>9985</v>
      </c>
      <c r="Z1227" t="s">
        <v>9981</v>
      </c>
      <c r="AA1227" t="s">
        <v>9973</v>
      </c>
      <c r="AB1227" t="s">
        <v>45</v>
      </c>
      <c r="AC1227" t="s">
        <v>9974</v>
      </c>
    </row>
    <row r="1228" spans="1:29">
      <c r="A1228" t="s">
        <v>2182</v>
      </c>
      <c r="B1228" t="s">
        <v>9986</v>
      </c>
      <c r="C1228" t="s">
        <v>948</v>
      </c>
      <c r="D1228" t="s">
        <v>667</v>
      </c>
      <c r="E1228" s="1">
        <v>-8682</v>
      </c>
      <c r="F1228" t="s">
        <v>715</v>
      </c>
      <c r="G1228" t="s">
        <v>1690</v>
      </c>
      <c r="H1228" t="s">
        <v>9963</v>
      </c>
      <c r="I1228">
        <v>4</v>
      </c>
      <c r="J1228" t="s">
        <v>2270</v>
      </c>
      <c r="K1228">
        <v>73</v>
      </c>
      <c r="L1228" t="s">
        <v>9987</v>
      </c>
      <c r="M1228" t="s">
        <v>9988</v>
      </c>
      <c r="N1228" t="s">
        <v>9979</v>
      </c>
      <c r="O1228" t="s">
        <v>9968</v>
      </c>
      <c r="P1228" t="s">
        <v>9989</v>
      </c>
      <c r="Q1228" t="s">
        <v>9990</v>
      </c>
      <c r="R1228" t="s">
        <v>9991</v>
      </c>
      <c r="S1228" s="2">
        <v>26665</v>
      </c>
      <c r="T1228" t="s">
        <v>9992</v>
      </c>
      <c r="U1228" t="s">
        <v>9984</v>
      </c>
      <c r="V1228">
        <v>1</v>
      </c>
      <c r="W1228">
        <v>6</v>
      </c>
      <c r="X1228">
        <v>356627</v>
      </c>
      <c r="Y1228" t="s">
        <v>2051</v>
      </c>
      <c r="Z1228" t="s">
        <v>9990</v>
      </c>
      <c r="AA1228" t="s">
        <v>9973</v>
      </c>
      <c r="AB1228" t="s">
        <v>45</v>
      </c>
      <c r="AC1228" t="s">
        <v>9974</v>
      </c>
    </row>
    <row r="1229" spans="1:29">
      <c r="A1229" t="s">
        <v>132</v>
      </c>
      <c r="B1229" s="1">
        <v>140232</v>
      </c>
      <c r="C1229" t="s">
        <v>133</v>
      </c>
      <c r="D1229" t="s">
        <v>9993</v>
      </c>
      <c r="E1229" s="1">
        <v>-14161</v>
      </c>
      <c r="F1229" t="s">
        <v>2436</v>
      </c>
      <c r="G1229" t="s">
        <v>1096</v>
      </c>
      <c r="H1229" t="s">
        <v>9994</v>
      </c>
      <c r="I1229">
        <v>4</v>
      </c>
      <c r="J1229" t="s">
        <v>1453</v>
      </c>
      <c r="K1229">
        <v>72</v>
      </c>
      <c r="L1229" t="s">
        <v>9995</v>
      </c>
      <c r="M1229" t="s">
        <v>9996</v>
      </c>
      <c r="N1229" t="s">
        <v>9997</v>
      </c>
      <c r="O1229" t="s">
        <v>9998</v>
      </c>
      <c r="P1229" t="s">
        <v>9999</v>
      </c>
      <c r="Q1229" t="s">
        <v>10000</v>
      </c>
      <c r="R1229" t="s">
        <v>9997</v>
      </c>
      <c r="S1229" s="2">
        <v>45555</v>
      </c>
      <c r="T1229" t="s">
        <v>4658</v>
      </c>
      <c r="U1229" t="s">
        <v>10001</v>
      </c>
      <c r="V1229">
        <v>1</v>
      </c>
      <c r="W1229">
        <v>7</v>
      </c>
      <c r="X1229">
        <v>209078</v>
      </c>
      <c r="Y1229" t="s">
        <v>4723</v>
      </c>
      <c r="Z1229" t="s">
        <v>10000</v>
      </c>
      <c r="AA1229" t="s">
        <v>3468</v>
      </c>
      <c r="AB1229" t="s">
        <v>45</v>
      </c>
      <c r="AC1229" t="s">
        <v>10002</v>
      </c>
    </row>
    <row r="1230" spans="1:29">
      <c r="A1230" t="s">
        <v>728</v>
      </c>
      <c r="B1230" s="1">
        <v>117896</v>
      </c>
      <c r="C1230" t="s">
        <v>308</v>
      </c>
      <c r="D1230" t="s">
        <v>9993</v>
      </c>
      <c r="E1230" s="1">
        <v>-6935</v>
      </c>
      <c r="F1230" t="s">
        <v>1392</v>
      </c>
      <c r="G1230" t="s">
        <v>1712</v>
      </c>
      <c r="H1230" t="s">
        <v>7108</v>
      </c>
      <c r="I1230">
        <v>4</v>
      </c>
      <c r="J1230" t="s">
        <v>7109</v>
      </c>
      <c r="K1230">
        <v>87</v>
      </c>
      <c r="L1230" t="s">
        <v>7110</v>
      </c>
      <c r="M1230" t="s">
        <v>7111</v>
      </c>
      <c r="N1230" t="s">
        <v>7112</v>
      </c>
      <c r="O1230" t="s">
        <v>9998</v>
      </c>
      <c r="P1230" t="s">
        <v>7113</v>
      </c>
      <c r="Q1230" t="s">
        <v>7114</v>
      </c>
      <c r="R1230" t="s">
        <v>7112</v>
      </c>
      <c r="S1230" s="2">
        <v>44848</v>
      </c>
      <c r="T1230">
        <v>0</v>
      </c>
      <c r="U1230" t="s">
        <v>7115</v>
      </c>
      <c r="V1230">
        <v>1</v>
      </c>
      <c r="W1230">
        <v>9</v>
      </c>
      <c r="X1230">
        <v>182347</v>
      </c>
      <c r="Y1230" t="s">
        <v>2118</v>
      </c>
      <c r="Z1230" t="s">
        <v>7114</v>
      </c>
      <c r="AA1230" t="s">
        <v>3468</v>
      </c>
      <c r="AB1230" t="s">
        <v>45</v>
      </c>
      <c r="AC1230" t="s">
        <v>10002</v>
      </c>
    </row>
    <row r="1231" spans="1:29">
      <c r="A1231" t="s">
        <v>377</v>
      </c>
      <c r="B1231" s="1">
        <v>144458</v>
      </c>
      <c r="C1231" t="s">
        <v>930</v>
      </c>
      <c r="D1231" t="s">
        <v>9993</v>
      </c>
      <c r="E1231" s="1">
        <v>-6231</v>
      </c>
      <c r="F1231" t="s">
        <v>6319</v>
      </c>
      <c r="G1231" t="s">
        <v>1800</v>
      </c>
      <c r="H1231" t="s">
        <v>10003</v>
      </c>
      <c r="I1231">
        <v>4</v>
      </c>
      <c r="J1231" t="s">
        <v>1269</v>
      </c>
      <c r="K1231">
        <v>74</v>
      </c>
      <c r="L1231" t="s">
        <v>10004</v>
      </c>
      <c r="M1231" t="s">
        <v>10005</v>
      </c>
      <c r="N1231" t="s">
        <v>10003</v>
      </c>
      <c r="O1231" t="s">
        <v>9998</v>
      </c>
      <c r="P1231" t="s">
        <v>10006</v>
      </c>
      <c r="Q1231" t="s">
        <v>10007</v>
      </c>
      <c r="R1231" t="s">
        <v>10008</v>
      </c>
      <c r="S1231" s="2">
        <v>43161</v>
      </c>
      <c r="T1231">
        <v>0</v>
      </c>
      <c r="U1231" t="s">
        <v>10009</v>
      </c>
      <c r="V1231">
        <v>1</v>
      </c>
      <c r="W1231">
        <v>0</v>
      </c>
      <c r="X1231">
        <v>199827</v>
      </c>
      <c r="Y1231" t="s">
        <v>10010</v>
      </c>
      <c r="Z1231" t="s">
        <v>10007</v>
      </c>
      <c r="AA1231" t="s">
        <v>3468</v>
      </c>
      <c r="AB1231" t="s">
        <v>45</v>
      </c>
      <c r="AC1231" t="s">
        <v>10002</v>
      </c>
    </row>
    <row r="1232" spans="1:29">
      <c r="A1232" t="s">
        <v>32</v>
      </c>
      <c r="B1232" s="1">
        <v>148658</v>
      </c>
      <c r="C1232" t="s">
        <v>2033</v>
      </c>
      <c r="D1232" t="s">
        <v>9993</v>
      </c>
      <c r="E1232" s="1">
        <v>-15399</v>
      </c>
      <c r="F1232" t="s">
        <v>10011</v>
      </c>
      <c r="G1232" t="s">
        <v>9313</v>
      </c>
      <c r="H1232" t="s">
        <v>10012</v>
      </c>
      <c r="I1232">
        <v>4</v>
      </c>
      <c r="J1232" t="s">
        <v>8352</v>
      </c>
      <c r="K1232">
        <v>72</v>
      </c>
      <c r="L1232" t="s">
        <v>10013</v>
      </c>
      <c r="M1232" t="s">
        <v>10014</v>
      </c>
      <c r="N1232" t="s">
        <v>10015</v>
      </c>
      <c r="O1232" t="s">
        <v>9998</v>
      </c>
      <c r="P1232" t="s">
        <v>10016</v>
      </c>
      <c r="Q1232" t="s">
        <v>10017</v>
      </c>
      <c r="R1232" t="s">
        <v>10018</v>
      </c>
      <c r="S1232" s="2">
        <v>39209</v>
      </c>
      <c r="T1232" t="s">
        <v>1264</v>
      </c>
      <c r="U1232" t="s">
        <v>10019</v>
      </c>
      <c r="V1232">
        <v>1</v>
      </c>
      <c r="W1232">
        <v>9</v>
      </c>
      <c r="X1232">
        <v>371320</v>
      </c>
      <c r="Y1232" t="s">
        <v>10020</v>
      </c>
      <c r="Z1232" t="s">
        <v>10017</v>
      </c>
      <c r="AA1232" t="s">
        <v>3468</v>
      </c>
      <c r="AB1232" t="s">
        <v>45</v>
      </c>
      <c r="AC1232" t="s">
        <v>10002</v>
      </c>
    </row>
    <row r="1233" spans="1:29">
      <c r="A1233" t="s">
        <v>10021</v>
      </c>
      <c r="B1233" s="1">
        <v>95968</v>
      </c>
      <c r="C1233" t="s">
        <v>2794</v>
      </c>
      <c r="D1233" t="s">
        <v>9993</v>
      </c>
      <c r="E1233" s="1">
        <v>-9431</v>
      </c>
      <c r="F1233" t="s">
        <v>2100</v>
      </c>
      <c r="G1233" t="s">
        <v>2411</v>
      </c>
      <c r="H1233" t="s">
        <v>439</v>
      </c>
      <c r="I1233">
        <v>4</v>
      </c>
      <c r="J1233" t="s">
        <v>1075</v>
      </c>
      <c r="K1233">
        <v>73</v>
      </c>
      <c r="L1233" t="s">
        <v>10022</v>
      </c>
      <c r="M1233" t="s">
        <v>10023</v>
      </c>
      <c r="N1233" t="s">
        <v>10024</v>
      </c>
      <c r="O1233" t="s">
        <v>9998</v>
      </c>
      <c r="P1233" t="s">
        <v>10025</v>
      </c>
      <c r="Q1233" t="s">
        <v>10026</v>
      </c>
      <c r="R1233" t="s">
        <v>10024</v>
      </c>
      <c r="S1233" s="2">
        <v>45212</v>
      </c>
      <c r="T1233" t="s">
        <v>7670</v>
      </c>
      <c r="U1233" t="s">
        <v>10027</v>
      </c>
      <c r="V1233">
        <v>1</v>
      </c>
      <c r="W1233">
        <v>11</v>
      </c>
      <c r="X1233">
        <v>206250</v>
      </c>
      <c r="Y1233" t="s">
        <v>878</v>
      </c>
      <c r="Z1233" t="s">
        <v>10026</v>
      </c>
      <c r="AA1233" t="s">
        <v>3468</v>
      </c>
      <c r="AB1233" t="s">
        <v>45</v>
      </c>
      <c r="AC1233" t="s">
        <v>10002</v>
      </c>
    </row>
    <row r="1234" spans="1:29">
      <c r="A1234" t="s">
        <v>118</v>
      </c>
      <c r="B1234" s="1">
        <v>115011</v>
      </c>
      <c r="C1234" t="s">
        <v>3597</v>
      </c>
      <c r="D1234" t="s">
        <v>9993</v>
      </c>
      <c r="E1234" s="1">
        <v>-11676</v>
      </c>
      <c r="F1234" t="s">
        <v>10028</v>
      </c>
      <c r="G1234" t="s">
        <v>2702</v>
      </c>
      <c r="H1234" t="s">
        <v>10029</v>
      </c>
      <c r="I1234">
        <v>4</v>
      </c>
      <c r="J1234" t="s">
        <v>1842</v>
      </c>
      <c r="K1234">
        <v>74</v>
      </c>
      <c r="L1234" t="s">
        <v>10030</v>
      </c>
      <c r="M1234" t="s">
        <v>10031</v>
      </c>
      <c r="N1234" t="s">
        <v>10029</v>
      </c>
      <c r="O1234" t="s">
        <v>9998</v>
      </c>
      <c r="P1234" t="s">
        <v>10032</v>
      </c>
      <c r="Q1234" t="s">
        <v>10033</v>
      </c>
      <c r="R1234" t="s">
        <v>10034</v>
      </c>
      <c r="S1234" s="2">
        <v>41002</v>
      </c>
      <c r="T1234" t="s">
        <v>3526</v>
      </c>
      <c r="U1234" t="s">
        <v>10035</v>
      </c>
      <c r="V1234">
        <v>1</v>
      </c>
      <c r="W1234">
        <v>0</v>
      </c>
      <c r="X1234">
        <v>279000</v>
      </c>
      <c r="Y1234" t="s">
        <v>1479</v>
      </c>
      <c r="Z1234" t="s">
        <v>10033</v>
      </c>
      <c r="AA1234" t="s">
        <v>3468</v>
      </c>
      <c r="AB1234" t="s">
        <v>45</v>
      </c>
      <c r="AC1234" t="s">
        <v>10002</v>
      </c>
    </row>
    <row r="1235" spans="1:29">
      <c r="A1235" t="s">
        <v>1640</v>
      </c>
      <c r="B1235" t="s">
        <v>10036</v>
      </c>
      <c r="C1235" t="s">
        <v>2262</v>
      </c>
      <c r="D1235" t="s">
        <v>9993</v>
      </c>
      <c r="E1235" s="1">
        <v>-8122</v>
      </c>
      <c r="F1235" t="s">
        <v>6539</v>
      </c>
      <c r="G1235" t="s">
        <v>583</v>
      </c>
      <c r="H1235" t="s">
        <v>10037</v>
      </c>
      <c r="I1235">
        <v>4</v>
      </c>
      <c r="J1235" t="s">
        <v>281</v>
      </c>
      <c r="K1235">
        <v>71</v>
      </c>
      <c r="L1235" t="s">
        <v>10038</v>
      </c>
      <c r="M1235" t="s">
        <v>10039</v>
      </c>
      <c r="N1235" t="s">
        <v>10040</v>
      </c>
      <c r="O1235" t="s">
        <v>9998</v>
      </c>
      <c r="P1235" t="s">
        <v>10041</v>
      </c>
      <c r="Q1235" t="s">
        <v>10042</v>
      </c>
      <c r="R1235" t="s">
        <v>10043</v>
      </c>
      <c r="S1235" s="2">
        <v>43952</v>
      </c>
      <c r="T1235">
        <v>0</v>
      </c>
      <c r="U1235" t="s">
        <v>10044</v>
      </c>
      <c r="V1235">
        <v>1</v>
      </c>
      <c r="W1235">
        <v>5</v>
      </c>
      <c r="X1235">
        <v>199391</v>
      </c>
      <c r="Y1235" t="s">
        <v>5559</v>
      </c>
      <c r="Z1235" t="s">
        <v>10042</v>
      </c>
      <c r="AA1235" t="s">
        <v>3468</v>
      </c>
      <c r="AB1235" t="s">
        <v>45</v>
      </c>
      <c r="AC1235" t="s">
        <v>10002</v>
      </c>
    </row>
    <row r="1236" spans="1:29">
      <c r="A1236" t="s">
        <v>4007</v>
      </c>
      <c r="B1236" t="s">
        <v>10045</v>
      </c>
      <c r="C1236" t="s">
        <v>2251</v>
      </c>
      <c r="D1236" t="s">
        <v>9993</v>
      </c>
      <c r="E1236" s="1">
        <v>-13696</v>
      </c>
      <c r="F1236" t="s">
        <v>2316</v>
      </c>
      <c r="G1236" t="s">
        <v>6244</v>
      </c>
      <c r="H1236" t="s">
        <v>10046</v>
      </c>
      <c r="I1236">
        <v>4</v>
      </c>
      <c r="J1236" t="s">
        <v>3260</v>
      </c>
      <c r="K1236">
        <v>79</v>
      </c>
      <c r="L1236" t="s">
        <v>10047</v>
      </c>
      <c r="M1236" t="s">
        <v>10048</v>
      </c>
      <c r="N1236" t="s">
        <v>10049</v>
      </c>
      <c r="O1236" t="s">
        <v>9998</v>
      </c>
      <c r="P1236" t="s">
        <v>10050</v>
      </c>
      <c r="Q1236" t="s">
        <v>10051</v>
      </c>
      <c r="R1236" t="s">
        <v>10052</v>
      </c>
      <c r="S1236" s="2">
        <v>45548</v>
      </c>
      <c r="T1236">
        <v>0</v>
      </c>
      <c r="U1236" t="s">
        <v>10053</v>
      </c>
      <c r="V1236">
        <v>1</v>
      </c>
      <c r="W1236">
        <v>0</v>
      </c>
      <c r="X1236">
        <v>145438</v>
      </c>
      <c r="Y1236" t="s">
        <v>3974</v>
      </c>
      <c r="Z1236" t="s">
        <v>10051</v>
      </c>
      <c r="AA1236" t="s">
        <v>3468</v>
      </c>
      <c r="AB1236" t="s">
        <v>45</v>
      </c>
      <c r="AC1236" t="s">
        <v>10002</v>
      </c>
    </row>
    <row r="1237" spans="1:29">
      <c r="A1237" t="s">
        <v>133</v>
      </c>
      <c r="B1237" s="1">
        <v>157338</v>
      </c>
      <c r="C1237" t="s">
        <v>799</v>
      </c>
      <c r="D1237" t="s">
        <v>9993</v>
      </c>
      <c r="E1237" s="1">
        <v>-9282</v>
      </c>
      <c r="F1237" t="s">
        <v>10054</v>
      </c>
      <c r="G1237" t="s">
        <v>2589</v>
      </c>
      <c r="H1237" t="s">
        <v>9994</v>
      </c>
      <c r="I1237">
        <v>4</v>
      </c>
      <c r="J1237" t="s">
        <v>3238</v>
      </c>
      <c r="K1237">
        <v>69</v>
      </c>
      <c r="L1237" t="s">
        <v>10055</v>
      </c>
      <c r="M1237" t="s">
        <v>10056</v>
      </c>
      <c r="N1237" t="s">
        <v>10057</v>
      </c>
      <c r="O1237" t="s">
        <v>9998</v>
      </c>
      <c r="P1237" t="s">
        <v>10058</v>
      </c>
      <c r="Q1237" t="s">
        <v>10059</v>
      </c>
      <c r="R1237" t="s">
        <v>10060</v>
      </c>
      <c r="S1237" s="2">
        <v>45583</v>
      </c>
      <c r="T1237" t="s">
        <v>2040</v>
      </c>
      <c r="U1237" t="s">
        <v>10061</v>
      </c>
      <c r="V1237">
        <v>1</v>
      </c>
      <c r="W1237">
        <v>9</v>
      </c>
      <c r="X1237">
        <v>200589</v>
      </c>
      <c r="Y1237" t="s">
        <v>1396</v>
      </c>
      <c r="Z1237" t="s">
        <v>10059</v>
      </c>
      <c r="AA1237" t="s">
        <v>3468</v>
      </c>
      <c r="AB1237" t="s">
        <v>45</v>
      </c>
      <c r="AC1237" t="s">
        <v>10002</v>
      </c>
    </row>
    <row r="1238" spans="1:29">
      <c r="A1238" t="s">
        <v>4004</v>
      </c>
      <c r="B1238" s="1">
        <v>120133</v>
      </c>
      <c r="C1238" t="s">
        <v>1584</v>
      </c>
      <c r="D1238" t="s">
        <v>9993</v>
      </c>
      <c r="E1238" s="1">
        <v>-10908</v>
      </c>
      <c r="F1238" t="s">
        <v>211</v>
      </c>
      <c r="G1238" t="s">
        <v>1882</v>
      </c>
      <c r="H1238" t="s">
        <v>7108</v>
      </c>
      <c r="I1238">
        <v>4</v>
      </c>
      <c r="J1238" t="s">
        <v>2324</v>
      </c>
      <c r="K1238">
        <v>73</v>
      </c>
      <c r="L1238" t="s">
        <v>10062</v>
      </c>
      <c r="M1238" t="s">
        <v>10063</v>
      </c>
      <c r="N1238" t="s">
        <v>7112</v>
      </c>
      <c r="O1238" t="s">
        <v>9998</v>
      </c>
      <c r="P1238" t="s">
        <v>10064</v>
      </c>
      <c r="Q1238" t="s">
        <v>10065</v>
      </c>
      <c r="R1238" t="s">
        <v>10066</v>
      </c>
      <c r="S1238" s="2">
        <v>44848</v>
      </c>
      <c r="T1238" t="s">
        <v>10067</v>
      </c>
      <c r="U1238" t="s">
        <v>7115</v>
      </c>
      <c r="V1238">
        <v>1</v>
      </c>
      <c r="W1238">
        <v>9</v>
      </c>
      <c r="X1238">
        <v>297103</v>
      </c>
      <c r="Y1238" t="s">
        <v>641</v>
      </c>
      <c r="Z1238" t="s">
        <v>10065</v>
      </c>
      <c r="AA1238" t="s">
        <v>3468</v>
      </c>
      <c r="AB1238" t="s">
        <v>45</v>
      </c>
      <c r="AC1238" t="s">
        <v>10002</v>
      </c>
    </row>
    <row r="1239" spans="1:29">
      <c r="A1239" t="s">
        <v>3331</v>
      </c>
      <c r="B1239" s="1">
        <v>79109</v>
      </c>
      <c r="C1239" t="s">
        <v>2304</v>
      </c>
      <c r="D1239" t="s">
        <v>9993</v>
      </c>
      <c r="E1239" s="1">
        <v>-11661</v>
      </c>
      <c r="F1239" t="s">
        <v>1528</v>
      </c>
      <c r="G1239" t="s">
        <v>566</v>
      </c>
      <c r="H1239" t="s">
        <v>10068</v>
      </c>
      <c r="I1239">
        <v>3</v>
      </c>
      <c r="J1239" t="s">
        <v>10069</v>
      </c>
      <c r="K1239">
        <v>84</v>
      </c>
      <c r="L1239" t="s">
        <v>10070</v>
      </c>
      <c r="M1239" t="s">
        <v>10071</v>
      </c>
      <c r="N1239" t="s">
        <v>10072</v>
      </c>
      <c r="O1239" t="s">
        <v>9998</v>
      </c>
      <c r="P1239" t="s">
        <v>10073</v>
      </c>
      <c r="Q1239" t="s">
        <v>10074</v>
      </c>
      <c r="R1239" t="s">
        <v>10075</v>
      </c>
      <c r="S1239" s="2">
        <v>42872</v>
      </c>
      <c r="T1239" t="s">
        <v>10076</v>
      </c>
      <c r="U1239" t="s">
        <v>10077</v>
      </c>
      <c r="V1239">
        <v>1</v>
      </c>
      <c r="W1239">
        <v>3</v>
      </c>
      <c r="X1239">
        <v>87000</v>
      </c>
      <c r="Y1239" t="s">
        <v>2743</v>
      </c>
      <c r="Z1239" t="s">
        <v>10074</v>
      </c>
      <c r="AA1239" t="s">
        <v>3468</v>
      </c>
      <c r="AB1239" t="s">
        <v>45</v>
      </c>
      <c r="AC1239" t="s">
        <v>10002</v>
      </c>
    </row>
    <row r="1240" spans="1:29">
      <c r="A1240" t="s">
        <v>4095</v>
      </c>
      <c r="B1240" s="1">
        <v>83943</v>
      </c>
      <c r="C1240" t="s">
        <v>583</v>
      </c>
      <c r="D1240" t="s">
        <v>9993</v>
      </c>
      <c r="E1240" s="1">
        <v>-12952</v>
      </c>
      <c r="F1240" t="s">
        <v>4253</v>
      </c>
      <c r="G1240" t="s">
        <v>4472</v>
      </c>
      <c r="H1240" t="s">
        <v>10078</v>
      </c>
      <c r="I1240">
        <v>4</v>
      </c>
      <c r="J1240" t="s">
        <v>229</v>
      </c>
      <c r="K1240">
        <v>77</v>
      </c>
      <c r="L1240" t="s">
        <v>10079</v>
      </c>
      <c r="M1240" t="s">
        <v>10080</v>
      </c>
      <c r="N1240" t="s">
        <v>10081</v>
      </c>
      <c r="O1240" t="s">
        <v>9998</v>
      </c>
      <c r="P1240" t="s">
        <v>10082</v>
      </c>
      <c r="Q1240" t="s">
        <v>10083</v>
      </c>
      <c r="R1240" t="s">
        <v>10084</v>
      </c>
      <c r="S1240" s="2">
        <v>44127</v>
      </c>
      <c r="T1240" t="s">
        <v>10085</v>
      </c>
      <c r="U1240" t="s">
        <v>10086</v>
      </c>
      <c r="V1240">
        <v>1</v>
      </c>
      <c r="W1240">
        <v>3</v>
      </c>
      <c r="X1240">
        <v>202047</v>
      </c>
      <c r="Y1240" t="s">
        <v>1098</v>
      </c>
      <c r="Z1240" t="s">
        <v>10083</v>
      </c>
      <c r="AA1240" t="s">
        <v>3468</v>
      </c>
      <c r="AB1240" t="s">
        <v>45</v>
      </c>
      <c r="AC1240" t="s">
        <v>10002</v>
      </c>
    </row>
    <row r="1241" spans="1:29">
      <c r="A1241" t="s">
        <v>452</v>
      </c>
      <c r="B1241" s="1">
        <v>121412</v>
      </c>
      <c r="C1241" t="s">
        <v>2774</v>
      </c>
      <c r="D1241" t="s">
        <v>9993</v>
      </c>
      <c r="E1241" s="1">
        <v>-7672</v>
      </c>
      <c r="F1241" t="s">
        <v>757</v>
      </c>
      <c r="G1241" t="s">
        <v>687</v>
      </c>
      <c r="H1241" t="s">
        <v>395</v>
      </c>
      <c r="I1241">
        <v>4</v>
      </c>
      <c r="J1241" t="s">
        <v>59</v>
      </c>
      <c r="K1241">
        <v>77</v>
      </c>
      <c r="L1241" t="s">
        <v>10087</v>
      </c>
      <c r="M1241" t="s">
        <v>10088</v>
      </c>
      <c r="N1241" t="s">
        <v>10089</v>
      </c>
      <c r="O1241" t="s">
        <v>9998</v>
      </c>
      <c r="P1241" t="s">
        <v>10090</v>
      </c>
      <c r="Q1241" t="s">
        <v>10091</v>
      </c>
      <c r="R1241" t="s">
        <v>10092</v>
      </c>
      <c r="S1241" s="2">
        <v>41901</v>
      </c>
      <c r="T1241">
        <v>0</v>
      </c>
      <c r="U1241" t="s">
        <v>10093</v>
      </c>
      <c r="V1241">
        <v>1</v>
      </c>
      <c r="W1241">
        <v>10</v>
      </c>
      <c r="X1241">
        <v>229720</v>
      </c>
      <c r="Y1241" t="s">
        <v>1445</v>
      </c>
      <c r="Z1241" t="s">
        <v>10091</v>
      </c>
      <c r="AA1241" t="s">
        <v>3468</v>
      </c>
      <c r="AB1241" t="s">
        <v>45</v>
      </c>
      <c r="AC1241" t="s">
        <v>10002</v>
      </c>
    </row>
    <row r="1242" spans="1:29">
      <c r="A1242" t="s">
        <v>4161</v>
      </c>
      <c r="B1242" s="1">
        <v>132679</v>
      </c>
      <c r="C1242" t="s">
        <v>6078</v>
      </c>
      <c r="D1242" t="s">
        <v>9993</v>
      </c>
      <c r="E1242" s="1">
        <v>-16757</v>
      </c>
      <c r="F1242" t="s">
        <v>1643</v>
      </c>
      <c r="G1242" t="s">
        <v>528</v>
      </c>
      <c r="H1242" t="s">
        <v>10094</v>
      </c>
      <c r="I1242">
        <v>4</v>
      </c>
      <c r="J1242" t="s">
        <v>110</v>
      </c>
      <c r="K1242">
        <v>83</v>
      </c>
      <c r="L1242" t="s">
        <v>10095</v>
      </c>
      <c r="M1242" t="s">
        <v>10096</v>
      </c>
      <c r="N1242" t="s">
        <v>10097</v>
      </c>
      <c r="O1242" t="s">
        <v>9998</v>
      </c>
      <c r="P1242" t="s">
        <v>10098</v>
      </c>
      <c r="Q1242" t="s">
        <v>10099</v>
      </c>
      <c r="R1242" t="s">
        <v>10097</v>
      </c>
      <c r="S1242" s="2">
        <v>40431</v>
      </c>
      <c r="T1242" t="s">
        <v>2960</v>
      </c>
      <c r="U1242" t="s">
        <v>10100</v>
      </c>
      <c r="V1242">
        <v>1</v>
      </c>
      <c r="W1242">
        <v>2</v>
      </c>
      <c r="X1242">
        <v>160853</v>
      </c>
      <c r="Y1242" t="s">
        <v>4544</v>
      </c>
      <c r="Z1242" t="s">
        <v>10099</v>
      </c>
      <c r="AA1242" t="s">
        <v>3468</v>
      </c>
      <c r="AB1242" t="s">
        <v>45</v>
      </c>
      <c r="AC1242" t="s">
        <v>10002</v>
      </c>
    </row>
    <row r="1243" spans="1:29">
      <c r="A1243" t="s">
        <v>1049</v>
      </c>
      <c r="B1243" s="1">
        <v>148035</v>
      </c>
      <c r="C1243" t="s">
        <v>2152</v>
      </c>
      <c r="D1243" t="s">
        <v>9993</v>
      </c>
      <c r="E1243" s="1">
        <v>-11258</v>
      </c>
      <c r="F1243" t="s">
        <v>2844</v>
      </c>
      <c r="G1243" t="s">
        <v>5766</v>
      </c>
      <c r="H1243" t="s">
        <v>10101</v>
      </c>
      <c r="I1243">
        <v>4</v>
      </c>
      <c r="J1243" t="s">
        <v>5109</v>
      </c>
      <c r="K1243">
        <v>84</v>
      </c>
      <c r="L1243" t="s">
        <v>10102</v>
      </c>
      <c r="M1243" t="s">
        <v>10103</v>
      </c>
      <c r="N1243" t="s">
        <v>10104</v>
      </c>
      <c r="O1243" t="s">
        <v>9998</v>
      </c>
      <c r="P1243" t="s">
        <v>10105</v>
      </c>
      <c r="Q1243" t="s">
        <v>10106</v>
      </c>
      <c r="R1243" t="s">
        <v>10104</v>
      </c>
      <c r="S1243" s="2">
        <v>45303</v>
      </c>
      <c r="T1243" t="s">
        <v>10107</v>
      </c>
      <c r="U1243" t="s">
        <v>10108</v>
      </c>
      <c r="V1243">
        <v>1</v>
      </c>
      <c r="W1243">
        <v>7</v>
      </c>
      <c r="X1243">
        <v>159636</v>
      </c>
      <c r="Y1243" t="s">
        <v>1189</v>
      </c>
      <c r="Z1243" t="s">
        <v>10106</v>
      </c>
      <c r="AA1243" t="s">
        <v>3468</v>
      </c>
      <c r="AB1243" t="s">
        <v>45</v>
      </c>
      <c r="AC1243" t="s">
        <v>10002</v>
      </c>
    </row>
    <row r="1244" spans="1:29">
      <c r="A1244" t="s">
        <v>1908</v>
      </c>
      <c r="B1244" s="1">
        <v>110044</v>
      </c>
      <c r="C1244" t="s">
        <v>2905</v>
      </c>
      <c r="D1244" t="s">
        <v>9993</v>
      </c>
      <c r="E1244" s="1">
        <v>-15926</v>
      </c>
      <c r="F1244" t="s">
        <v>189</v>
      </c>
      <c r="G1244" t="s">
        <v>3431</v>
      </c>
      <c r="H1244" t="s">
        <v>10109</v>
      </c>
      <c r="I1244">
        <v>4</v>
      </c>
      <c r="J1244" t="s">
        <v>926</v>
      </c>
      <c r="K1244">
        <v>76</v>
      </c>
      <c r="L1244" t="s">
        <v>10110</v>
      </c>
      <c r="M1244" t="s">
        <v>10111</v>
      </c>
      <c r="N1244" t="s">
        <v>10112</v>
      </c>
      <c r="O1244" t="s">
        <v>9998</v>
      </c>
      <c r="P1244" t="s">
        <v>10113</v>
      </c>
      <c r="Q1244" t="s">
        <v>10114</v>
      </c>
      <c r="R1244" t="s">
        <v>10115</v>
      </c>
      <c r="S1244" s="2">
        <v>39814</v>
      </c>
      <c r="T1244" t="s">
        <v>10116</v>
      </c>
      <c r="U1244" t="s">
        <v>10117</v>
      </c>
      <c r="V1244">
        <v>1</v>
      </c>
      <c r="W1244">
        <v>3</v>
      </c>
      <c r="X1244">
        <v>217467</v>
      </c>
      <c r="Y1244" t="s">
        <v>10118</v>
      </c>
      <c r="Z1244" t="s">
        <v>10114</v>
      </c>
      <c r="AA1244" t="s">
        <v>3468</v>
      </c>
      <c r="AB1244" t="s">
        <v>45</v>
      </c>
      <c r="AC1244" t="s">
        <v>10002</v>
      </c>
    </row>
    <row r="1245" spans="1:29">
      <c r="A1245" t="s">
        <v>5629</v>
      </c>
      <c r="B1245" s="1">
        <v>122877</v>
      </c>
      <c r="C1245" t="s">
        <v>188</v>
      </c>
      <c r="D1245" t="s">
        <v>9993</v>
      </c>
      <c r="E1245" s="1">
        <v>-7993</v>
      </c>
      <c r="F1245" t="s">
        <v>49</v>
      </c>
      <c r="G1245" t="s">
        <v>5692</v>
      </c>
      <c r="H1245" t="s">
        <v>439</v>
      </c>
      <c r="I1245">
        <v>4</v>
      </c>
      <c r="J1245" t="s">
        <v>2958</v>
      </c>
      <c r="K1245">
        <v>73</v>
      </c>
      <c r="L1245" t="s">
        <v>10119</v>
      </c>
      <c r="M1245" t="s">
        <v>10120</v>
      </c>
      <c r="N1245" t="s">
        <v>2872</v>
      </c>
      <c r="O1245" t="s">
        <v>9998</v>
      </c>
      <c r="P1245" t="s">
        <v>10121</v>
      </c>
      <c r="Q1245" t="s">
        <v>10122</v>
      </c>
      <c r="R1245" t="s">
        <v>2872</v>
      </c>
      <c r="S1245" s="2">
        <v>45245</v>
      </c>
      <c r="T1245">
        <v>0</v>
      </c>
      <c r="U1245" t="s">
        <v>10123</v>
      </c>
      <c r="V1245">
        <v>1</v>
      </c>
      <c r="W1245">
        <v>0</v>
      </c>
      <c r="X1245">
        <v>199756</v>
      </c>
      <c r="Y1245" t="s">
        <v>4222</v>
      </c>
      <c r="Z1245" t="s">
        <v>10122</v>
      </c>
      <c r="AA1245" t="s">
        <v>3468</v>
      </c>
      <c r="AB1245" t="s">
        <v>45</v>
      </c>
      <c r="AC1245" t="s">
        <v>10002</v>
      </c>
    </row>
    <row r="1246" spans="1:29">
      <c r="A1246" t="s">
        <v>2196</v>
      </c>
      <c r="B1246" s="1">
        <v>87003</v>
      </c>
      <c r="C1246" t="s">
        <v>1480</v>
      </c>
      <c r="D1246" t="s">
        <v>9993</v>
      </c>
      <c r="E1246" s="1">
        <v>-9226</v>
      </c>
      <c r="F1246" t="s">
        <v>2030</v>
      </c>
      <c r="G1246" t="s">
        <v>1990</v>
      </c>
      <c r="H1246" t="s">
        <v>10124</v>
      </c>
      <c r="I1246">
        <v>4</v>
      </c>
      <c r="J1246" t="s">
        <v>3230</v>
      </c>
      <c r="K1246">
        <v>68</v>
      </c>
      <c r="L1246" t="s">
        <v>10125</v>
      </c>
      <c r="M1246" t="s">
        <v>10126</v>
      </c>
      <c r="N1246" t="s">
        <v>10127</v>
      </c>
      <c r="O1246" t="s">
        <v>9998</v>
      </c>
      <c r="P1246" t="s">
        <v>10128</v>
      </c>
      <c r="Q1246" t="s">
        <v>10129</v>
      </c>
      <c r="R1246" t="s">
        <v>10127</v>
      </c>
      <c r="S1246" s="2">
        <v>45226</v>
      </c>
      <c r="T1246">
        <v>0</v>
      </c>
      <c r="U1246" t="s">
        <v>10130</v>
      </c>
      <c r="V1246">
        <v>1</v>
      </c>
      <c r="W1246">
        <v>11</v>
      </c>
      <c r="X1246">
        <v>147608</v>
      </c>
      <c r="Y1246" t="s">
        <v>550</v>
      </c>
      <c r="Z1246" t="s">
        <v>10129</v>
      </c>
      <c r="AA1246" t="s">
        <v>3468</v>
      </c>
      <c r="AB1246" t="s">
        <v>45</v>
      </c>
      <c r="AC1246" t="s">
        <v>10002</v>
      </c>
    </row>
    <row r="1247" spans="1:29">
      <c r="A1247" t="s">
        <v>380</v>
      </c>
      <c r="B1247" s="1">
        <v>101654</v>
      </c>
      <c r="C1247" t="s">
        <v>2570</v>
      </c>
      <c r="D1247" t="s">
        <v>9993</v>
      </c>
      <c r="E1247" s="1">
        <v>-6696</v>
      </c>
      <c r="F1247" t="s">
        <v>486</v>
      </c>
      <c r="G1247" t="s">
        <v>1919</v>
      </c>
      <c r="H1247" t="s">
        <v>6586</v>
      </c>
      <c r="I1247">
        <v>4</v>
      </c>
      <c r="J1247" t="s">
        <v>6587</v>
      </c>
      <c r="K1247">
        <v>85</v>
      </c>
      <c r="L1247" t="s">
        <v>6588</v>
      </c>
      <c r="M1247" t="s">
        <v>6589</v>
      </c>
      <c r="N1247" t="s">
        <v>6590</v>
      </c>
      <c r="O1247" t="s">
        <v>9998</v>
      </c>
      <c r="P1247" t="s">
        <v>6591</v>
      </c>
      <c r="Q1247" t="s">
        <v>6592</v>
      </c>
      <c r="R1247" t="s">
        <v>6593</v>
      </c>
      <c r="S1247" s="2">
        <v>41856</v>
      </c>
      <c r="T1247">
        <v>0</v>
      </c>
      <c r="U1247" t="s">
        <v>6594</v>
      </c>
      <c r="V1247">
        <v>1</v>
      </c>
      <c r="W1247">
        <v>1</v>
      </c>
      <c r="X1247">
        <v>204280</v>
      </c>
      <c r="Y1247" t="s">
        <v>3780</v>
      </c>
      <c r="Z1247" t="s">
        <v>6592</v>
      </c>
      <c r="AA1247" t="s">
        <v>3468</v>
      </c>
      <c r="AB1247" t="s">
        <v>45</v>
      </c>
      <c r="AC1247" t="s">
        <v>10002</v>
      </c>
    </row>
    <row r="1248" spans="1:29">
      <c r="A1248" t="s">
        <v>380</v>
      </c>
      <c r="B1248" s="1">
        <v>94009</v>
      </c>
      <c r="C1248" t="s">
        <v>289</v>
      </c>
      <c r="D1248" t="s">
        <v>9993</v>
      </c>
      <c r="E1248" s="1">
        <v>-5861</v>
      </c>
      <c r="F1248" t="s">
        <v>10131</v>
      </c>
      <c r="G1248" t="s">
        <v>1141</v>
      </c>
      <c r="H1248" t="s">
        <v>530</v>
      </c>
      <c r="I1248">
        <v>4</v>
      </c>
      <c r="J1248" t="s">
        <v>411</v>
      </c>
      <c r="K1248">
        <v>71</v>
      </c>
      <c r="L1248" t="s">
        <v>10132</v>
      </c>
      <c r="M1248" t="s">
        <v>10133</v>
      </c>
      <c r="N1248" t="s">
        <v>10134</v>
      </c>
      <c r="O1248" t="s">
        <v>9998</v>
      </c>
      <c r="P1248" t="s">
        <v>10135</v>
      </c>
      <c r="Q1248" t="s">
        <v>10136</v>
      </c>
      <c r="R1248" t="s">
        <v>10137</v>
      </c>
      <c r="S1248" s="2">
        <v>45520</v>
      </c>
      <c r="T1248" t="s">
        <v>5691</v>
      </c>
      <c r="U1248" t="s">
        <v>10138</v>
      </c>
      <c r="V1248">
        <v>1</v>
      </c>
      <c r="W1248">
        <v>4</v>
      </c>
      <c r="X1248">
        <v>147167</v>
      </c>
      <c r="Y1248" t="s">
        <v>1467</v>
      </c>
      <c r="Z1248" t="s">
        <v>10136</v>
      </c>
      <c r="AA1248" t="s">
        <v>3468</v>
      </c>
      <c r="AB1248" t="s">
        <v>45</v>
      </c>
      <c r="AC1248" t="s">
        <v>10002</v>
      </c>
    </row>
    <row r="1249" spans="1:29">
      <c r="A1249" t="s">
        <v>758</v>
      </c>
      <c r="B1249" s="1">
        <v>170076</v>
      </c>
      <c r="C1249" t="s">
        <v>306</v>
      </c>
      <c r="D1249" t="s">
        <v>9993</v>
      </c>
      <c r="E1249" s="1">
        <v>-6526</v>
      </c>
      <c r="F1249" t="s">
        <v>2620</v>
      </c>
      <c r="G1249" t="s">
        <v>799</v>
      </c>
      <c r="H1249" t="s">
        <v>7108</v>
      </c>
      <c r="I1249">
        <v>4</v>
      </c>
      <c r="J1249" t="s">
        <v>1622</v>
      </c>
      <c r="K1249">
        <v>70</v>
      </c>
      <c r="L1249" t="s">
        <v>10139</v>
      </c>
      <c r="M1249" t="s">
        <v>10140</v>
      </c>
      <c r="N1249" t="s">
        <v>7112</v>
      </c>
      <c r="O1249" t="s">
        <v>9998</v>
      </c>
      <c r="P1249" t="s">
        <v>10141</v>
      </c>
      <c r="Q1249" t="s">
        <v>10142</v>
      </c>
      <c r="R1249" t="s">
        <v>10143</v>
      </c>
      <c r="S1249" s="2">
        <v>44848</v>
      </c>
      <c r="T1249" t="s">
        <v>10144</v>
      </c>
      <c r="U1249" t="s">
        <v>7115</v>
      </c>
      <c r="V1249">
        <v>1</v>
      </c>
      <c r="W1249">
        <v>6</v>
      </c>
      <c r="X1249">
        <v>194417</v>
      </c>
      <c r="Y1249" t="s">
        <v>1739</v>
      </c>
      <c r="Z1249" t="s">
        <v>10142</v>
      </c>
      <c r="AA1249" t="s">
        <v>3468</v>
      </c>
      <c r="AB1249" t="s">
        <v>45</v>
      </c>
      <c r="AC1249" t="s">
        <v>10002</v>
      </c>
    </row>
    <row r="1250" spans="1:29">
      <c r="A1250" t="s">
        <v>3163</v>
      </c>
      <c r="B1250" s="1">
        <v>108953</v>
      </c>
      <c r="C1250" t="s">
        <v>799</v>
      </c>
      <c r="D1250" t="s">
        <v>9993</v>
      </c>
      <c r="E1250" s="1">
        <v>-10232</v>
      </c>
      <c r="F1250" t="s">
        <v>438</v>
      </c>
      <c r="G1250" t="s">
        <v>1643</v>
      </c>
      <c r="H1250" t="s">
        <v>10046</v>
      </c>
      <c r="I1250">
        <v>4</v>
      </c>
      <c r="J1250" t="s">
        <v>570</v>
      </c>
      <c r="K1250">
        <v>69</v>
      </c>
      <c r="L1250" t="s">
        <v>10145</v>
      </c>
      <c r="M1250" t="s">
        <v>10146</v>
      </c>
      <c r="N1250" t="s">
        <v>10049</v>
      </c>
      <c r="O1250" t="s">
        <v>9998</v>
      </c>
      <c r="P1250" t="s">
        <v>10147</v>
      </c>
      <c r="Q1250" t="s">
        <v>10148</v>
      </c>
      <c r="R1250" t="s">
        <v>10149</v>
      </c>
      <c r="S1250" s="2">
        <v>45548</v>
      </c>
      <c r="T1250" t="s">
        <v>3412</v>
      </c>
      <c r="U1250" t="s">
        <v>10053</v>
      </c>
      <c r="V1250">
        <v>1</v>
      </c>
      <c r="W1250">
        <v>0</v>
      </c>
      <c r="X1250">
        <v>196211</v>
      </c>
      <c r="Y1250" t="s">
        <v>4079</v>
      </c>
      <c r="Z1250" t="s">
        <v>10148</v>
      </c>
      <c r="AA1250" t="s">
        <v>3468</v>
      </c>
      <c r="AB1250" t="s">
        <v>45</v>
      </c>
      <c r="AC1250" t="s">
        <v>10002</v>
      </c>
    </row>
    <row r="1251" spans="1:29">
      <c r="A1251" t="s">
        <v>1443</v>
      </c>
      <c r="B1251" s="1">
        <v>99995</v>
      </c>
      <c r="C1251" t="s">
        <v>2125</v>
      </c>
      <c r="D1251" t="s">
        <v>9993</v>
      </c>
      <c r="E1251" s="1">
        <v>-4381</v>
      </c>
      <c r="F1251" t="s">
        <v>2920</v>
      </c>
      <c r="G1251" t="s">
        <v>1537</v>
      </c>
      <c r="H1251" t="s">
        <v>6586</v>
      </c>
      <c r="I1251">
        <v>4</v>
      </c>
      <c r="J1251" t="s">
        <v>10150</v>
      </c>
      <c r="K1251">
        <v>69</v>
      </c>
      <c r="L1251" t="s">
        <v>10151</v>
      </c>
      <c r="M1251" t="s">
        <v>10152</v>
      </c>
      <c r="N1251" t="s">
        <v>10153</v>
      </c>
      <c r="O1251" t="s">
        <v>9998</v>
      </c>
      <c r="P1251" t="s">
        <v>10154</v>
      </c>
      <c r="Q1251" t="s">
        <v>10155</v>
      </c>
      <c r="R1251" t="s">
        <v>10156</v>
      </c>
      <c r="S1251" s="2">
        <v>43154</v>
      </c>
      <c r="T1251">
        <v>0</v>
      </c>
      <c r="U1251" t="s">
        <v>10157</v>
      </c>
      <c r="V1251">
        <v>1</v>
      </c>
      <c r="W1251">
        <v>8</v>
      </c>
      <c r="X1251">
        <v>214720</v>
      </c>
      <c r="Y1251" t="s">
        <v>1919</v>
      </c>
      <c r="Z1251" t="s">
        <v>10155</v>
      </c>
      <c r="AA1251" t="s">
        <v>3468</v>
      </c>
      <c r="AB1251" t="s">
        <v>45</v>
      </c>
      <c r="AC1251" t="s">
        <v>10002</v>
      </c>
    </row>
    <row r="1252" spans="1:29">
      <c r="A1252" t="s">
        <v>799</v>
      </c>
      <c r="B1252" s="1">
        <v>94938</v>
      </c>
      <c r="C1252" t="s">
        <v>6377</v>
      </c>
      <c r="D1252" t="s">
        <v>9993</v>
      </c>
      <c r="E1252" s="1">
        <v>-10432</v>
      </c>
      <c r="F1252" t="s">
        <v>655</v>
      </c>
      <c r="G1252" t="s">
        <v>3106</v>
      </c>
      <c r="H1252" t="s">
        <v>148</v>
      </c>
      <c r="I1252">
        <v>4</v>
      </c>
      <c r="J1252" t="s">
        <v>149</v>
      </c>
      <c r="K1252">
        <v>93</v>
      </c>
      <c r="L1252" t="s">
        <v>6378</v>
      </c>
      <c r="M1252" t="s">
        <v>6379</v>
      </c>
      <c r="N1252" t="s">
        <v>152</v>
      </c>
      <c r="O1252" t="s">
        <v>9998</v>
      </c>
      <c r="P1252" t="s">
        <v>6380</v>
      </c>
      <c r="Q1252" t="s">
        <v>6381</v>
      </c>
      <c r="R1252" t="s">
        <v>152</v>
      </c>
      <c r="S1252" s="2">
        <v>45499</v>
      </c>
      <c r="T1252" t="s">
        <v>6382</v>
      </c>
      <c r="U1252" t="s">
        <v>6383</v>
      </c>
      <c r="V1252">
        <v>1</v>
      </c>
      <c r="W1252">
        <v>11</v>
      </c>
      <c r="X1252">
        <v>211979</v>
      </c>
      <c r="Y1252" t="s">
        <v>3311</v>
      </c>
      <c r="Z1252" t="s">
        <v>6381</v>
      </c>
      <c r="AA1252" t="s">
        <v>3468</v>
      </c>
      <c r="AB1252" t="s">
        <v>45</v>
      </c>
      <c r="AC1252" t="s">
        <v>10002</v>
      </c>
    </row>
    <row r="1253" spans="1:29">
      <c r="A1253" t="s">
        <v>1062</v>
      </c>
      <c r="B1253" s="1">
        <v>95015</v>
      </c>
      <c r="C1253" t="s">
        <v>1479</v>
      </c>
      <c r="D1253" t="s">
        <v>9993</v>
      </c>
      <c r="E1253" s="1">
        <v>-12493</v>
      </c>
      <c r="F1253" t="s">
        <v>49</v>
      </c>
      <c r="G1253" t="s">
        <v>879</v>
      </c>
      <c r="H1253" t="s">
        <v>10158</v>
      </c>
      <c r="I1253">
        <v>4</v>
      </c>
      <c r="J1253" t="s">
        <v>8812</v>
      </c>
      <c r="K1253">
        <v>73</v>
      </c>
      <c r="L1253" t="s">
        <v>10159</v>
      </c>
      <c r="M1253" t="s">
        <v>10160</v>
      </c>
      <c r="N1253" t="s">
        <v>10161</v>
      </c>
      <c r="O1253" t="s">
        <v>9998</v>
      </c>
      <c r="P1253" t="s">
        <v>10162</v>
      </c>
      <c r="Q1253" t="s">
        <v>10163</v>
      </c>
      <c r="R1253" t="s">
        <v>10164</v>
      </c>
      <c r="S1253" s="2">
        <v>43392</v>
      </c>
      <c r="T1253" t="s">
        <v>9646</v>
      </c>
      <c r="U1253" t="s">
        <v>10165</v>
      </c>
      <c r="V1253">
        <v>1</v>
      </c>
      <c r="W1253">
        <v>4</v>
      </c>
      <c r="X1253">
        <v>178293</v>
      </c>
      <c r="Y1253" t="s">
        <v>2895</v>
      </c>
      <c r="Z1253" t="s">
        <v>10163</v>
      </c>
      <c r="AA1253" t="s">
        <v>3468</v>
      </c>
      <c r="AB1253" t="s">
        <v>45</v>
      </c>
      <c r="AC1253" t="s">
        <v>10002</v>
      </c>
    </row>
    <row r="1254" spans="1:29">
      <c r="A1254" t="s">
        <v>252</v>
      </c>
      <c r="B1254" s="1">
        <v>128094</v>
      </c>
      <c r="C1254" t="s">
        <v>580</v>
      </c>
      <c r="D1254" t="s">
        <v>9993</v>
      </c>
      <c r="E1254" s="1">
        <v>-16173</v>
      </c>
      <c r="F1254" t="s">
        <v>10166</v>
      </c>
      <c r="G1254" t="s">
        <v>786</v>
      </c>
      <c r="H1254" t="s">
        <v>10167</v>
      </c>
      <c r="I1254">
        <v>4</v>
      </c>
      <c r="J1254" t="s">
        <v>1702</v>
      </c>
      <c r="K1254">
        <v>69</v>
      </c>
      <c r="L1254" t="s">
        <v>10168</v>
      </c>
      <c r="M1254" t="s">
        <v>10169</v>
      </c>
      <c r="N1254" t="s">
        <v>10170</v>
      </c>
      <c r="O1254" t="s">
        <v>10171</v>
      </c>
      <c r="P1254" t="s">
        <v>10172</v>
      </c>
      <c r="Q1254" t="s">
        <v>10173</v>
      </c>
      <c r="R1254" t="s">
        <v>10174</v>
      </c>
      <c r="S1254" s="2">
        <v>26390</v>
      </c>
      <c r="T1254" t="s">
        <v>10175</v>
      </c>
      <c r="U1254" t="s">
        <v>10176</v>
      </c>
      <c r="V1254">
        <v>0</v>
      </c>
      <c r="W1254">
        <v>6</v>
      </c>
      <c r="X1254">
        <v>171853</v>
      </c>
      <c r="Y1254" t="s">
        <v>3074</v>
      </c>
      <c r="Z1254" t="s">
        <v>10173</v>
      </c>
      <c r="AA1254" t="s">
        <v>10177</v>
      </c>
      <c r="AB1254" t="s">
        <v>45</v>
      </c>
      <c r="AC1254" t="s">
        <v>10178</v>
      </c>
    </row>
    <row r="1255" spans="1:29">
      <c r="A1255" t="s">
        <v>2854</v>
      </c>
      <c r="B1255" s="1">
        <v>127823</v>
      </c>
      <c r="C1255" t="s">
        <v>4160</v>
      </c>
      <c r="D1255" t="s">
        <v>9993</v>
      </c>
      <c r="E1255" s="1">
        <v>-12124</v>
      </c>
      <c r="F1255" t="s">
        <v>2164</v>
      </c>
      <c r="G1255" t="s">
        <v>3163</v>
      </c>
      <c r="H1255" t="s">
        <v>10179</v>
      </c>
      <c r="I1255">
        <v>4</v>
      </c>
      <c r="J1255" t="s">
        <v>334</v>
      </c>
      <c r="K1255">
        <v>70</v>
      </c>
      <c r="L1255" t="s">
        <v>10180</v>
      </c>
      <c r="M1255" t="s">
        <v>10181</v>
      </c>
      <c r="N1255" t="s">
        <v>10182</v>
      </c>
      <c r="O1255" t="s">
        <v>10171</v>
      </c>
      <c r="P1255" t="s">
        <v>10183</v>
      </c>
      <c r="Q1255" t="s">
        <v>10184</v>
      </c>
      <c r="R1255" t="s">
        <v>10185</v>
      </c>
      <c r="S1255" s="2">
        <v>42157</v>
      </c>
      <c r="T1255" t="s">
        <v>9907</v>
      </c>
      <c r="U1255" t="s">
        <v>10186</v>
      </c>
      <c r="V1255">
        <v>0</v>
      </c>
      <c r="W1255">
        <v>6</v>
      </c>
      <c r="X1255">
        <v>236027</v>
      </c>
      <c r="Y1255" t="s">
        <v>92</v>
      </c>
      <c r="Z1255" t="s">
        <v>10184</v>
      </c>
      <c r="AA1255" t="s">
        <v>10177</v>
      </c>
      <c r="AB1255" t="s">
        <v>45</v>
      </c>
      <c r="AC1255" t="s">
        <v>10178</v>
      </c>
    </row>
    <row r="1256" spans="1:29">
      <c r="A1256" t="s">
        <v>772</v>
      </c>
      <c r="B1256" s="1">
        <v>171402</v>
      </c>
      <c r="C1256" t="s">
        <v>1668</v>
      </c>
      <c r="D1256" t="s">
        <v>9993</v>
      </c>
      <c r="E1256" s="1">
        <v>-13547</v>
      </c>
      <c r="F1256" t="s">
        <v>1528</v>
      </c>
      <c r="G1256" t="s">
        <v>1726</v>
      </c>
      <c r="H1256" t="s">
        <v>10187</v>
      </c>
      <c r="I1256">
        <v>4</v>
      </c>
      <c r="J1256" t="s">
        <v>10188</v>
      </c>
      <c r="K1256">
        <v>71</v>
      </c>
      <c r="L1256" t="s">
        <v>10189</v>
      </c>
      <c r="M1256" t="s">
        <v>10190</v>
      </c>
      <c r="N1256" t="s">
        <v>10191</v>
      </c>
      <c r="O1256" t="s">
        <v>10171</v>
      </c>
      <c r="P1256" t="s">
        <v>10192</v>
      </c>
      <c r="Q1256" t="s">
        <v>10193</v>
      </c>
      <c r="R1256" t="s">
        <v>10194</v>
      </c>
      <c r="S1256" s="2">
        <v>26330</v>
      </c>
      <c r="T1256" t="s">
        <v>7361</v>
      </c>
      <c r="U1256" t="s">
        <v>10195</v>
      </c>
      <c r="V1256">
        <v>0</v>
      </c>
      <c r="W1256">
        <v>4</v>
      </c>
      <c r="X1256">
        <v>187110</v>
      </c>
      <c r="Y1256" t="s">
        <v>2392</v>
      </c>
      <c r="Z1256" t="s">
        <v>10193</v>
      </c>
      <c r="AA1256" t="s">
        <v>10177</v>
      </c>
      <c r="AB1256" t="s">
        <v>45</v>
      </c>
      <c r="AC1256" t="s">
        <v>10178</v>
      </c>
    </row>
    <row r="1257" spans="1:29">
      <c r="A1257" t="s">
        <v>1880</v>
      </c>
      <c r="B1257" s="1">
        <v>130398</v>
      </c>
      <c r="C1257" t="s">
        <v>3095</v>
      </c>
      <c r="D1257" t="s">
        <v>9993</v>
      </c>
      <c r="E1257" s="1">
        <v>-8853</v>
      </c>
      <c r="F1257" t="s">
        <v>2550</v>
      </c>
      <c r="G1257" t="s">
        <v>891</v>
      </c>
      <c r="H1257" t="s">
        <v>10167</v>
      </c>
      <c r="I1257">
        <v>4</v>
      </c>
      <c r="J1257" t="s">
        <v>1453</v>
      </c>
      <c r="K1257">
        <v>71</v>
      </c>
      <c r="L1257" t="s">
        <v>10196</v>
      </c>
      <c r="M1257" t="s">
        <v>10197</v>
      </c>
      <c r="N1257" t="s">
        <v>10170</v>
      </c>
      <c r="O1257" t="s">
        <v>10171</v>
      </c>
      <c r="P1257" t="s">
        <v>10198</v>
      </c>
      <c r="Q1257" t="s">
        <v>10199</v>
      </c>
      <c r="R1257" t="s">
        <v>10200</v>
      </c>
      <c r="S1257" s="2">
        <v>26390</v>
      </c>
      <c r="T1257" t="s">
        <v>4259</v>
      </c>
      <c r="U1257" t="s">
        <v>10176</v>
      </c>
      <c r="V1257">
        <v>1</v>
      </c>
      <c r="W1257">
        <v>7</v>
      </c>
      <c r="X1257">
        <v>229707</v>
      </c>
      <c r="Y1257" t="s">
        <v>1737</v>
      </c>
      <c r="Z1257" t="s">
        <v>10199</v>
      </c>
      <c r="AA1257" t="s">
        <v>10177</v>
      </c>
      <c r="AB1257" t="s">
        <v>45</v>
      </c>
      <c r="AC1257" t="s">
        <v>10178</v>
      </c>
    </row>
    <row r="1258" spans="1:29">
      <c r="A1258" t="s">
        <v>47</v>
      </c>
      <c r="B1258" s="1">
        <v>123188</v>
      </c>
      <c r="C1258" t="s">
        <v>1226</v>
      </c>
      <c r="D1258" t="s">
        <v>9993</v>
      </c>
      <c r="E1258" t="s">
        <v>10201</v>
      </c>
      <c r="F1258" t="s">
        <v>1937</v>
      </c>
      <c r="G1258" t="s">
        <v>2030</v>
      </c>
      <c r="H1258" t="s">
        <v>10202</v>
      </c>
      <c r="I1258">
        <v>4</v>
      </c>
      <c r="J1258" t="s">
        <v>8998</v>
      </c>
      <c r="K1258">
        <v>76</v>
      </c>
      <c r="L1258" t="s">
        <v>10203</v>
      </c>
      <c r="M1258" t="s">
        <v>10204</v>
      </c>
      <c r="N1258" t="s">
        <v>10205</v>
      </c>
      <c r="O1258" t="s">
        <v>10171</v>
      </c>
      <c r="P1258" t="s">
        <v>10206</v>
      </c>
      <c r="Q1258" t="s">
        <v>10207</v>
      </c>
      <c r="R1258" t="s">
        <v>10208</v>
      </c>
      <c r="S1258">
        <v>1972</v>
      </c>
      <c r="T1258" t="s">
        <v>10209</v>
      </c>
      <c r="U1258" t="s">
        <v>10210</v>
      </c>
      <c r="V1258">
        <v>0</v>
      </c>
      <c r="W1258">
        <v>11</v>
      </c>
      <c r="X1258">
        <v>252240</v>
      </c>
      <c r="Y1258" t="s">
        <v>3095</v>
      </c>
      <c r="Z1258" t="s">
        <v>10207</v>
      </c>
      <c r="AA1258" t="s">
        <v>10177</v>
      </c>
      <c r="AB1258" t="s">
        <v>45</v>
      </c>
      <c r="AC1258" t="s">
        <v>10178</v>
      </c>
    </row>
    <row r="1259" spans="1:29">
      <c r="A1259" t="s">
        <v>1062</v>
      </c>
      <c r="B1259" s="1">
        <v>95015</v>
      </c>
      <c r="C1259" t="s">
        <v>1479</v>
      </c>
      <c r="D1259" t="s">
        <v>9993</v>
      </c>
      <c r="E1259" s="1">
        <v>-12493</v>
      </c>
      <c r="F1259" t="s">
        <v>49</v>
      </c>
      <c r="G1259" t="s">
        <v>879</v>
      </c>
      <c r="H1259" t="s">
        <v>10158</v>
      </c>
      <c r="I1259">
        <v>4</v>
      </c>
      <c r="J1259" t="s">
        <v>8812</v>
      </c>
      <c r="K1259">
        <v>73</v>
      </c>
      <c r="L1259" t="s">
        <v>10159</v>
      </c>
      <c r="M1259" t="s">
        <v>10160</v>
      </c>
      <c r="N1259" t="s">
        <v>10161</v>
      </c>
      <c r="O1259" t="s">
        <v>10171</v>
      </c>
      <c r="P1259" t="s">
        <v>10162</v>
      </c>
      <c r="Q1259" t="s">
        <v>10163</v>
      </c>
      <c r="R1259" t="s">
        <v>10164</v>
      </c>
      <c r="S1259" s="2">
        <v>43392</v>
      </c>
      <c r="T1259" t="s">
        <v>9646</v>
      </c>
      <c r="U1259" t="s">
        <v>10165</v>
      </c>
      <c r="V1259">
        <v>1</v>
      </c>
      <c r="W1259">
        <v>4</v>
      </c>
      <c r="X1259">
        <v>178293</v>
      </c>
      <c r="Y1259" t="s">
        <v>2895</v>
      </c>
      <c r="Z1259" t="s">
        <v>10163</v>
      </c>
      <c r="AA1259" t="s">
        <v>10177</v>
      </c>
      <c r="AB1259" t="s">
        <v>45</v>
      </c>
      <c r="AC1259" t="s">
        <v>10178</v>
      </c>
    </row>
    <row r="1260" spans="1:29">
      <c r="A1260" t="s">
        <v>4712</v>
      </c>
      <c r="B1260" s="1">
        <v>82789</v>
      </c>
      <c r="C1260" t="s">
        <v>1431</v>
      </c>
      <c r="D1260" t="s">
        <v>9993</v>
      </c>
      <c r="E1260" s="1">
        <v>-14509</v>
      </c>
      <c r="F1260" t="s">
        <v>437</v>
      </c>
      <c r="G1260" t="s">
        <v>4485</v>
      </c>
      <c r="H1260" t="s">
        <v>10179</v>
      </c>
      <c r="I1260">
        <v>4</v>
      </c>
      <c r="J1260" t="s">
        <v>3837</v>
      </c>
      <c r="K1260">
        <v>74</v>
      </c>
      <c r="L1260" t="s">
        <v>10211</v>
      </c>
      <c r="M1260" t="s">
        <v>10212</v>
      </c>
      <c r="N1260" t="s">
        <v>10182</v>
      </c>
      <c r="O1260" t="s">
        <v>10171</v>
      </c>
      <c r="P1260" t="s">
        <v>10213</v>
      </c>
      <c r="Q1260" t="s">
        <v>10214</v>
      </c>
      <c r="R1260" t="s">
        <v>10215</v>
      </c>
      <c r="S1260" s="2">
        <v>42157</v>
      </c>
      <c r="T1260" t="s">
        <v>1882</v>
      </c>
      <c r="U1260" t="s">
        <v>10186</v>
      </c>
      <c r="V1260">
        <v>0</v>
      </c>
      <c r="W1260">
        <v>2</v>
      </c>
      <c r="X1260">
        <v>192480</v>
      </c>
      <c r="Y1260" t="s">
        <v>727</v>
      </c>
      <c r="Z1260" t="s">
        <v>10214</v>
      </c>
      <c r="AA1260" t="s">
        <v>10177</v>
      </c>
      <c r="AB1260" t="s">
        <v>45</v>
      </c>
      <c r="AC1260" t="s">
        <v>10178</v>
      </c>
    </row>
    <row r="1261" spans="1:29">
      <c r="A1261" t="s">
        <v>1501</v>
      </c>
      <c r="B1261" s="1">
        <v>119965</v>
      </c>
      <c r="C1261" t="s">
        <v>8709</v>
      </c>
      <c r="D1261" t="s">
        <v>3410</v>
      </c>
      <c r="E1261" s="1">
        <v>-3492</v>
      </c>
      <c r="F1261" t="s">
        <v>2802</v>
      </c>
      <c r="G1261" t="s">
        <v>4473</v>
      </c>
      <c r="H1261" t="s">
        <v>10216</v>
      </c>
      <c r="I1261">
        <v>4</v>
      </c>
      <c r="J1261" t="s">
        <v>4124</v>
      </c>
      <c r="K1261">
        <v>73</v>
      </c>
      <c r="L1261" t="s">
        <v>10217</v>
      </c>
      <c r="M1261" t="s">
        <v>10218</v>
      </c>
      <c r="N1261" t="s">
        <v>10219</v>
      </c>
      <c r="O1261" t="s">
        <v>10220</v>
      </c>
      <c r="P1261" t="s">
        <v>10221</v>
      </c>
      <c r="Q1261" t="s">
        <v>10222</v>
      </c>
      <c r="R1261" t="s">
        <v>10219</v>
      </c>
      <c r="S1261" s="2">
        <v>44904</v>
      </c>
      <c r="T1261" t="s">
        <v>10223</v>
      </c>
      <c r="U1261" t="s">
        <v>10224</v>
      </c>
      <c r="V1261">
        <v>0</v>
      </c>
      <c r="W1261">
        <v>1</v>
      </c>
      <c r="X1261">
        <v>176000</v>
      </c>
      <c r="Y1261" t="s">
        <v>2283</v>
      </c>
      <c r="Z1261" t="s">
        <v>10222</v>
      </c>
      <c r="AA1261" t="s">
        <v>10225</v>
      </c>
      <c r="AB1261" t="s">
        <v>45</v>
      </c>
      <c r="AC1261" t="s">
        <v>10226</v>
      </c>
    </row>
    <row r="1262" spans="1:29">
      <c r="A1262" t="s">
        <v>1479</v>
      </c>
      <c r="B1262" s="1">
        <v>100024</v>
      </c>
      <c r="C1262" t="s">
        <v>4859</v>
      </c>
      <c r="D1262" t="s">
        <v>3410</v>
      </c>
      <c r="E1262" t="s">
        <v>10227</v>
      </c>
      <c r="F1262" t="s">
        <v>1483</v>
      </c>
      <c r="G1262" t="s">
        <v>2196</v>
      </c>
      <c r="H1262" t="s">
        <v>10228</v>
      </c>
      <c r="I1262">
        <v>4</v>
      </c>
      <c r="J1262" t="s">
        <v>8762</v>
      </c>
      <c r="K1262">
        <v>68</v>
      </c>
      <c r="L1262" t="s">
        <v>10229</v>
      </c>
      <c r="M1262" t="s">
        <v>10230</v>
      </c>
      <c r="N1262" t="s">
        <v>10231</v>
      </c>
      <c r="O1262" t="s">
        <v>10220</v>
      </c>
      <c r="P1262" t="s">
        <v>10232</v>
      </c>
      <c r="Q1262" t="s">
        <v>10233</v>
      </c>
      <c r="R1262" t="s">
        <v>10231</v>
      </c>
      <c r="S1262" s="2">
        <v>44092</v>
      </c>
      <c r="T1262">
        <v>0</v>
      </c>
      <c r="U1262" t="s">
        <v>10234</v>
      </c>
      <c r="V1262">
        <v>0</v>
      </c>
      <c r="W1262">
        <v>8</v>
      </c>
      <c r="X1262">
        <v>254400</v>
      </c>
      <c r="Y1262" t="s">
        <v>3153</v>
      </c>
      <c r="Z1262" t="s">
        <v>10233</v>
      </c>
      <c r="AA1262" t="s">
        <v>10225</v>
      </c>
      <c r="AB1262" t="s">
        <v>45</v>
      </c>
      <c r="AC1262" t="s">
        <v>10226</v>
      </c>
    </row>
    <row r="1263" spans="1:29">
      <c r="A1263" t="s">
        <v>785</v>
      </c>
      <c r="B1263" s="1">
        <v>109986</v>
      </c>
      <c r="C1263" t="s">
        <v>4956</v>
      </c>
      <c r="D1263" t="s">
        <v>10235</v>
      </c>
      <c r="E1263" s="1">
        <v>-18717</v>
      </c>
      <c r="F1263" t="s">
        <v>10236</v>
      </c>
      <c r="G1263" t="s">
        <v>2101</v>
      </c>
      <c r="H1263" t="s">
        <v>10237</v>
      </c>
      <c r="I1263">
        <v>4</v>
      </c>
      <c r="J1263" t="s">
        <v>4125</v>
      </c>
      <c r="K1263">
        <v>70</v>
      </c>
      <c r="L1263" t="s">
        <v>10238</v>
      </c>
      <c r="M1263" t="s">
        <v>10239</v>
      </c>
      <c r="N1263" t="s">
        <v>10240</v>
      </c>
      <c r="O1263" t="s">
        <v>10241</v>
      </c>
      <c r="P1263" t="s">
        <v>10242</v>
      </c>
      <c r="Q1263" t="s">
        <v>10243</v>
      </c>
      <c r="R1263" t="s">
        <v>10240</v>
      </c>
      <c r="S1263" s="2">
        <v>43343</v>
      </c>
      <c r="T1263" t="s">
        <v>10244</v>
      </c>
      <c r="U1263" t="s">
        <v>10245</v>
      </c>
      <c r="V1263">
        <v>1</v>
      </c>
      <c r="W1263">
        <v>4</v>
      </c>
      <c r="X1263">
        <v>187932</v>
      </c>
      <c r="Y1263" t="s">
        <v>333</v>
      </c>
      <c r="Z1263" t="s">
        <v>10243</v>
      </c>
      <c r="AA1263" t="s">
        <v>1851</v>
      </c>
      <c r="AB1263" t="s">
        <v>45</v>
      </c>
      <c r="AC1263" t="s">
        <v>10246</v>
      </c>
    </row>
    <row r="1264" spans="1:29">
      <c r="A1264" t="s">
        <v>2949</v>
      </c>
      <c r="B1264" s="1">
        <v>118917</v>
      </c>
      <c r="C1264" t="s">
        <v>3798</v>
      </c>
      <c r="D1264" t="s">
        <v>10235</v>
      </c>
      <c r="E1264" s="1">
        <v>-16541</v>
      </c>
      <c r="F1264" t="s">
        <v>1347</v>
      </c>
      <c r="G1264" t="s">
        <v>2755</v>
      </c>
      <c r="H1264" t="s">
        <v>10247</v>
      </c>
      <c r="I1264">
        <v>4</v>
      </c>
      <c r="J1264" t="s">
        <v>1142</v>
      </c>
      <c r="K1264">
        <v>73</v>
      </c>
      <c r="L1264" t="s">
        <v>10248</v>
      </c>
      <c r="M1264" t="s">
        <v>10249</v>
      </c>
      <c r="N1264" t="s">
        <v>10250</v>
      </c>
      <c r="O1264" t="s">
        <v>10241</v>
      </c>
      <c r="P1264" t="s">
        <v>10251</v>
      </c>
      <c r="Q1264" t="s">
        <v>10252</v>
      </c>
      <c r="R1264" t="s">
        <v>10250</v>
      </c>
      <c r="S1264" s="2">
        <v>43381</v>
      </c>
      <c r="T1264">
        <v>0</v>
      </c>
      <c r="U1264" t="s">
        <v>10253</v>
      </c>
      <c r="V1264">
        <v>0</v>
      </c>
      <c r="W1264">
        <v>1</v>
      </c>
      <c r="X1264">
        <v>179080</v>
      </c>
      <c r="Y1264" t="s">
        <v>1121</v>
      </c>
      <c r="Z1264" t="s">
        <v>10252</v>
      </c>
      <c r="AA1264" t="s">
        <v>1851</v>
      </c>
      <c r="AB1264" t="s">
        <v>45</v>
      </c>
      <c r="AC1264" t="s">
        <v>10246</v>
      </c>
    </row>
    <row r="1265" spans="1:29">
      <c r="A1265" t="s">
        <v>10254</v>
      </c>
      <c r="B1265" s="1">
        <v>69677</v>
      </c>
      <c r="C1265" t="s">
        <v>2949</v>
      </c>
      <c r="D1265" t="s">
        <v>1813</v>
      </c>
      <c r="E1265" s="1">
        <v>-37822</v>
      </c>
      <c r="F1265" t="s">
        <v>8058</v>
      </c>
      <c r="G1265" t="s">
        <v>6646</v>
      </c>
      <c r="H1265" t="s">
        <v>10255</v>
      </c>
      <c r="I1265">
        <v>4</v>
      </c>
      <c r="J1265" t="s">
        <v>8691</v>
      </c>
      <c r="K1265">
        <v>70</v>
      </c>
      <c r="L1265" t="s">
        <v>10256</v>
      </c>
      <c r="M1265" t="s">
        <v>10257</v>
      </c>
      <c r="N1265" t="s">
        <v>10258</v>
      </c>
      <c r="O1265" t="s">
        <v>10259</v>
      </c>
      <c r="P1265" t="s">
        <v>10260</v>
      </c>
      <c r="Q1265" t="s">
        <v>10261</v>
      </c>
      <c r="R1265" t="s">
        <v>10262</v>
      </c>
      <c r="S1265" s="2">
        <v>43809</v>
      </c>
      <c r="T1265" t="s">
        <v>2579</v>
      </c>
      <c r="U1265" t="s">
        <v>10263</v>
      </c>
      <c r="V1265">
        <v>0</v>
      </c>
      <c r="W1265">
        <v>3</v>
      </c>
      <c r="X1265">
        <v>105941</v>
      </c>
      <c r="Y1265" t="s">
        <v>1838</v>
      </c>
      <c r="Z1265" t="s">
        <v>10261</v>
      </c>
      <c r="AA1265" t="s">
        <v>1853</v>
      </c>
      <c r="AB1265" t="s">
        <v>45</v>
      </c>
      <c r="AC1265" t="s">
        <v>10264</v>
      </c>
    </row>
    <row r="1266" spans="1:29">
      <c r="A1266" t="s">
        <v>176</v>
      </c>
      <c r="B1266" s="1">
        <v>126031</v>
      </c>
      <c r="C1266" t="s">
        <v>1938</v>
      </c>
      <c r="D1266" t="s">
        <v>4201</v>
      </c>
      <c r="E1266" s="1">
        <v>-10833</v>
      </c>
      <c r="F1266" t="s">
        <v>4915</v>
      </c>
      <c r="G1266" t="s">
        <v>1961</v>
      </c>
      <c r="H1266" t="s">
        <v>4916</v>
      </c>
      <c r="I1266">
        <v>4</v>
      </c>
      <c r="J1266" t="s">
        <v>4917</v>
      </c>
      <c r="K1266">
        <v>83</v>
      </c>
      <c r="L1266" t="s">
        <v>4918</v>
      </c>
      <c r="M1266" t="s">
        <v>4919</v>
      </c>
      <c r="N1266" t="s">
        <v>4920</v>
      </c>
      <c r="O1266" t="s">
        <v>10265</v>
      </c>
      <c r="P1266" t="s">
        <v>4921</v>
      </c>
      <c r="Q1266" t="s">
        <v>4922</v>
      </c>
      <c r="R1266" t="s">
        <v>4920</v>
      </c>
      <c r="S1266" s="2">
        <v>45492</v>
      </c>
      <c r="T1266" t="s">
        <v>684</v>
      </c>
      <c r="U1266" t="s">
        <v>4923</v>
      </c>
      <c r="V1266">
        <v>1</v>
      </c>
      <c r="W1266">
        <v>6</v>
      </c>
      <c r="X1266">
        <v>145599</v>
      </c>
      <c r="Y1266" t="s">
        <v>3544</v>
      </c>
      <c r="Z1266" t="s">
        <v>4922</v>
      </c>
      <c r="AA1266" t="s">
        <v>10266</v>
      </c>
      <c r="AB1266" t="s">
        <v>45</v>
      </c>
      <c r="AC1266" t="s">
        <v>10267</v>
      </c>
    </row>
    <row r="1267" spans="1:29">
      <c r="A1267" t="s">
        <v>998</v>
      </c>
      <c r="B1267" s="1">
        <v>126089</v>
      </c>
      <c r="C1267" t="s">
        <v>1572</v>
      </c>
      <c r="D1267" t="s">
        <v>4201</v>
      </c>
      <c r="E1267" s="1">
        <v>-8388</v>
      </c>
      <c r="F1267" t="s">
        <v>2342</v>
      </c>
      <c r="G1267" t="s">
        <v>2908</v>
      </c>
      <c r="H1267" t="s">
        <v>10268</v>
      </c>
      <c r="I1267">
        <v>4</v>
      </c>
      <c r="J1267" t="s">
        <v>1982</v>
      </c>
      <c r="K1267">
        <v>84</v>
      </c>
      <c r="L1267" t="s">
        <v>10269</v>
      </c>
      <c r="M1267" t="s">
        <v>10270</v>
      </c>
      <c r="N1267" t="s">
        <v>10271</v>
      </c>
      <c r="O1267" t="s">
        <v>10265</v>
      </c>
      <c r="P1267" t="s">
        <v>10272</v>
      </c>
      <c r="Q1267" t="s">
        <v>10273</v>
      </c>
      <c r="R1267" t="s">
        <v>10271</v>
      </c>
      <c r="S1267" s="2">
        <v>45240</v>
      </c>
      <c r="T1267" t="s">
        <v>10274</v>
      </c>
      <c r="U1267" t="s">
        <v>10275</v>
      </c>
      <c r="V1267">
        <v>1</v>
      </c>
      <c r="W1267">
        <v>2</v>
      </c>
      <c r="X1267">
        <v>213364</v>
      </c>
      <c r="Y1267" t="s">
        <v>9484</v>
      </c>
      <c r="Z1267" t="s">
        <v>10273</v>
      </c>
      <c r="AA1267" t="s">
        <v>10266</v>
      </c>
      <c r="AB1267" t="s">
        <v>45</v>
      </c>
      <c r="AC1267" t="s">
        <v>10267</v>
      </c>
    </row>
    <row r="1268" spans="1:29">
      <c r="A1268" t="s">
        <v>3471</v>
      </c>
      <c r="B1268" s="1">
        <v>122085</v>
      </c>
      <c r="C1268" t="s">
        <v>4404</v>
      </c>
      <c r="D1268" t="s">
        <v>4201</v>
      </c>
      <c r="E1268" s="1">
        <v>-5935</v>
      </c>
      <c r="F1268" t="s">
        <v>3367</v>
      </c>
      <c r="G1268" t="s">
        <v>3481</v>
      </c>
      <c r="H1268" t="s">
        <v>10276</v>
      </c>
      <c r="I1268">
        <v>4</v>
      </c>
      <c r="J1268" t="s">
        <v>10277</v>
      </c>
      <c r="K1268">
        <v>70</v>
      </c>
      <c r="L1268" t="s">
        <v>10278</v>
      </c>
      <c r="M1268" t="s">
        <v>10279</v>
      </c>
      <c r="N1268" t="s">
        <v>10280</v>
      </c>
      <c r="O1268" t="s">
        <v>10265</v>
      </c>
      <c r="P1268" t="s">
        <v>10281</v>
      </c>
      <c r="Q1268" t="s">
        <v>10282</v>
      </c>
      <c r="R1268" t="s">
        <v>10280</v>
      </c>
      <c r="S1268" s="2">
        <v>45401</v>
      </c>
      <c r="T1268">
        <v>0</v>
      </c>
      <c r="U1268" t="s">
        <v>10283</v>
      </c>
      <c r="V1268">
        <v>1</v>
      </c>
      <c r="W1268">
        <v>1</v>
      </c>
      <c r="X1268">
        <v>175803</v>
      </c>
      <c r="Y1268" t="s">
        <v>9039</v>
      </c>
      <c r="Z1268" t="s">
        <v>10282</v>
      </c>
      <c r="AA1268" t="s">
        <v>10266</v>
      </c>
      <c r="AB1268" t="s">
        <v>45</v>
      </c>
      <c r="AC1268" t="s">
        <v>10267</v>
      </c>
    </row>
    <row r="1269" spans="1:29">
      <c r="A1269" t="s">
        <v>4424</v>
      </c>
      <c r="B1269" s="1">
        <v>121985</v>
      </c>
      <c r="C1269" t="s">
        <v>1153</v>
      </c>
      <c r="D1269" t="s">
        <v>4201</v>
      </c>
      <c r="E1269" s="1">
        <v>-4759</v>
      </c>
      <c r="F1269" t="s">
        <v>2947</v>
      </c>
      <c r="G1269" t="s">
        <v>643</v>
      </c>
      <c r="H1269" t="s">
        <v>4425</v>
      </c>
      <c r="I1269">
        <v>4</v>
      </c>
      <c r="J1269" t="s">
        <v>1470</v>
      </c>
      <c r="K1269">
        <v>76</v>
      </c>
      <c r="L1269" t="s">
        <v>4426</v>
      </c>
      <c r="M1269" t="s">
        <v>4427</v>
      </c>
      <c r="N1269" t="s">
        <v>4428</v>
      </c>
      <c r="O1269" t="s">
        <v>10265</v>
      </c>
      <c r="P1269" t="s">
        <v>4429</v>
      </c>
      <c r="Q1269" t="s">
        <v>4430</v>
      </c>
      <c r="R1269" t="s">
        <v>4431</v>
      </c>
      <c r="S1269" s="2">
        <v>42678</v>
      </c>
      <c r="T1269" t="s">
        <v>4432</v>
      </c>
      <c r="U1269" t="s">
        <v>4433</v>
      </c>
      <c r="V1269">
        <v>0</v>
      </c>
      <c r="W1269">
        <v>0</v>
      </c>
      <c r="X1269">
        <v>195547</v>
      </c>
      <c r="Y1269" t="s">
        <v>2326</v>
      </c>
      <c r="Z1269" t="s">
        <v>4430</v>
      </c>
      <c r="AA1269" t="s">
        <v>10266</v>
      </c>
      <c r="AB1269" t="s">
        <v>45</v>
      </c>
      <c r="AC1269" t="s">
        <v>10267</v>
      </c>
    </row>
    <row r="1270" spans="1:29">
      <c r="A1270" t="s">
        <v>1050</v>
      </c>
      <c r="B1270" t="s">
        <v>9110</v>
      </c>
      <c r="C1270" t="s">
        <v>3073</v>
      </c>
      <c r="D1270" t="s">
        <v>4201</v>
      </c>
      <c r="E1270" s="1">
        <v>-6432</v>
      </c>
      <c r="F1270" t="s">
        <v>1211</v>
      </c>
      <c r="G1270" t="s">
        <v>4177</v>
      </c>
      <c r="H1270" t="s">
        <v>10284</v>
      </c>
      <c r="I1270">
        <v>4</v>
      </c>
      <c r="J1270" t="s">
        <v>4177</v>
      </c>
      <c r="K1270">
        <v>72</v>
      </c>
      <c r="L1270" t="s">
        <v>10285</v>
      </c>
      <c r="M1270" t="s">
        <v>10286</v>
      </c>
      <c r="N1270" t="s">
        <v>10287</v>
      </c>
      <c r="O1270" t="s">
        <v>10265</v>
      </c>
      <c r="P1270" t="s">
        <v>10288</v>
      </c>
      <c r="Q1270" t="s">
        <v>10289</v>
      </c>
      <c r="R1270" t="s">
        <v>10287</v>
      </c>
      <c r="S1270" s="2">
        <v>45016</v>
      </c>
      <c r="T1270" t="s">
        <v>2210</v>
      </c>
      <c r="U1270" t="s">
        <v>10290</v>
      </c>
      <c r="V1270">
        <v>0</v>
      </c>
      <c r="W1270">
        <v>9</v>
      </c>
      <c r="X1270">
        <v>140000</v>
      </c>
      <c r="Y1270" t="s">
        <v>188</v>
      </c>
      <c r="Z1270" t="s">
        <v>10289</v>
      </c>
      <c r="AA1270" t="s">
        <v>10266</v>
      </c>
      <c r="AB1270" t="s">
        <v>45</v>
      </c>
      <c r="AC1270" t="s">
        <v>10267</v>
      </c>
    </row>
    <row r="1271" spans="1:29">
      <c r="A1271" t="s">
        <v>92</v>
      </c>
      <c r="B1271" s="1">
        <v>108005</v>
      </c>
      <c r="C1271" t="s">
        <v>1679</v>
      </c>
      <c r="D1271" t="s">
        <v>4201</v>
      </c>
      <c r="E1271" t="s">
        <v>5265</v>
      </c>
      <c r="F1271" t="s">
        <v>1359</v>
      </c>
      <c r="G1271" t="s">
        <v>1009</v>
      </c>
      <c r="H1271" t="s">
        <v>5266</v>
      </c>
      <c r="I1271">
        <v>4</v>
      </c>
      <c r="J1271" t="s">
        <v>5267</v>
      </c>
      <c r="K1271">
        <v>76</v>
      </c>
      <c r="L1271" t="s">
        <v>5268</v>
      </c>
      <c r="M1271" t="s">
        <v>5269</v>
      </c>
      <c r="N1271" t="s">
        <v>5270</v>
      </c>
      <c r="O1271" t="s">
        <v>10265</v>
      </c>
      <c r="P1271" t="s">
        <v>5271</v>
      </c>
      <c r="Q1271" t="s">
        <v>5272</v>
      </c>
      <c r="R1271" t="s">
        <v>5270</v>
      </c>
      <c r="S1271" s="2">
        <v>45310</v>
      </c>
      <c r="T1271">
        <v>0</v>
      </c>
      <c r="U1271" t="s">
        <v>5273</v>
      </c>
      <c r="V1271">
        <v>1</v>
      </c>
      <c r="W1271">
        <v>3</v>
      </c>
      <c r="X1271">
        <v>178273</v>
      </c>
      <c r="Y1271" t="s">
        <v>189</v>
      </c>
      <c r="Z1271" t="s">
        <v>5272</v>
      </c>
      <c r="AA1271" t="s">
        <v>10266</v>
      </c>
      <c r="AB1271" t="s">
        <v>45</v>
      </c>
      <c r="AC1271" t="s">
        <v>10267</v>
      </c>
    </row>
    <row r="1272" spans="1:29">
      <c r="A1272" t="s">
        <v>448</v>
      </c>
      <c r="B1272" s="1">
        <v>113998</v>
      </c>
      <c r="C1272" t="s">
        <v>2467</v>
      </c>
      <c r="D1272" t="s">
        <v>4201</v>
      </c>
      <c r="E1272" s="1">
        <v>-4312</v>
      </c>
      <c r="F1272" t="s">
        <v>301</v>
      </c>
      <c r="G1272" t="s">
        <v>5248</v>
      </c>
      <c r="H1272" t="s">
        <v>10291</v>
      </c>
      <c r="I1272">
        <v>4</v>
      </c>
      <c r="J1272" t="s">
        <v>4907</v>
      </c>
      <c r="K1272">
        <v>71</v>
      </c>
      <c r="L1272" t="s">
        <v>10292</v>
      </c>
      <c r="M1272" t="s">
        <v>10293</v>
      </c>
      <c r="N1272" t="s">
        <v>6593</v>
      </c>
      <c r="O1272" t="s">
        <v>10265</v>
      </c>
      <c r="P1272" t="s">
        <v>10294</v>
      </c>
      <c r="Q1272" t="s">
        <v>10295</v>
      </c>
      <c r="R1272" t="s">
        <v>6593</v>
      </c>
      <c r="S1272" s="2">
        <v>44672</v>
      </c>
      <c r="T1272" t="s">
        <v>10296</v>
      </c>
      <c r="U1272" t="s">
        <v>10297</v>
      </c>
      <c r="V1272">
        <v>1</v>
      </c>
      <c r="W1272">
        <v>8</v>
      </c>
      <c r="X1272">
        <v>154731</v>
      </c>
      <c r="Y1272" t="s">
        <v>1553</v>
      </c>
      <c r="Z1272" t="s">
        <v>10295</v>
      </c>
      <c r="AA1272" t="s">
        <v>10266</v>
      </c>
      <c r="AB1272" t="s">
        <v>45</v>
      </c>
      <c r="AC1272" t="s">
        <v>10267</v>
      </c>
    </row>
    <row r="1273" spans="1:29">
      <c r="A1273" t="s">
        <v>998</v>
      </c>
      <c r="B1273" s="1">
        <v>126089</v>
      </c>
      <c r="C1273" t="s">
        <v>1572</v>
      </c>
      <c r="D1273" t="s">
        <v>4201</v>
      </c>
      <c r="E1273" s="1">
        <v>-8388</v>
      </c>
      <c r="F1273" t="s">
        <v>2342</v>
      </c>
      <c r="G1273" t="s">
        <v>2908</v>
      </c>
      <c r="H1273" t="s">
        <v>10268</v>
      </c>
      <c r="I1273">
        <v>4</v>
      </c>
      <c r="J1273" t="s">
        <v>1982</v>
      </c>
      <c r="K1273">
        <v>84</v>
      </c>
      <c r="L1273" t="s">
        <v>10269</v>
      </c>
      <c r="M1273" t="s">
        <v>10270</v>
      </c>
      <c r="N1273" t="s">
        <v>10271</v>
      </c>
      <c r="O1273" t="s">
        <v>10298</v>
      </c>
      <c r="P1273" t="s">
        <v>10272</v>
      </c>
      <c r="Q1273" t="s">
        <v>10273</v>
      </c>
      <c r="R1273" t="s">
        <v>10271</v>
      </c>
      <c r="S1273" s="2">
        <v>45240</v>
      </c>
      <c r="T1273" t="s">
        <v>10274</v>
      </c>
      <c r="U1273" t="s">
        <v>10275</v>
      </c>
      <c r="V1273">
        <v>1</v>
      </c>
      <c r="W1273">
        <v>2</v>
      </c>
      <c r="X1273">
        <v>213364</v>
      </c>
      <c r="Y1273" t="s">
        <v>9484</v>
      </c>
      <c r="Z1273" t="s">
        <v>10273</v>
      </c>
      <c r="AA1273" t="s">
        <v>10299</v>
      </c>
      <c r="AB1273" t="s">
        <v>45</v>
      </c>
      <c r="AC1273" t="s">
        <v>10300</v>
      </c>
    </row>
    <row r="1274" spans="1:29">
      <c r="A1274" t="s">
        <v>250</v>
      </c>
      <c r="B1274" s="1">
        <v>119996</v>
      </c>
      <c r="C1274" t="s">
        <v>3930</v>
      </c>
      <c r="D1274" t="s">
        <v>4201</v>
      </c>
      <c r="E1274" s="1">
        <v>-6751</v>
      </c>
      <c r="F1274" t="s">
        <v>64</v>
      </c>
      <c r="G1274" t="s">
        <v>1336</v>
      </c>
      <c r="H1274" t="s">
        <v>4906</v>
      </c>
      <c r="I1274">
        <v>4</v>
      </c>
      <c r="J1274" t="s">
        <v>4907</v>
      </c>
      <c r="K1274">
        <v>83</v>
      </c>
      <c r="L1274" t="s">
        <v>4908</v>
      </c>
      <c r="M1274" t="s">
        <v>4909</v>
      </c>
      <c r="N1274" t="s">
        <v>4910</v>
      </c>
      <c r="O1274" t="s">
        <v>10298</v>
      </c>
      <c r="P1274" t="s">
        <v>4911</v>
      </c>
      <c r="Q1274" t="s">
        <v>4912</v>
      </c>
      <c r="R1274" t="s">
        <v>4910</v>
      </c>
      <c r="S1274" s="2">
        <v>45492</v>
      </c>
      <c r="T1274" t="s">
        <v>4374</v>
      </c>
      <c r="U1274" t="s">
        <v>4913</v>
      </c>
      <c r="V1274">
        <v>0</v>
      </c>
      <c r="W1274">
        <v>11</v>
      </c>
      <c r="X1274">
        <v>214000</v>
      </c>
      <c r="Y1274" t="s">
        <v>4914</v>
      </c>
      <c r="Z1274" t="s">
        <v>4912</v>
      </c>
      <c r="AA1274" t="s">
        <v>10299</v>
      </c>
      <c r="AB1274" t="s">
        <v>45</v>
      </c>
      <c r="AC1274" t="s">
        <v>10300</v>
      </c>
    </row>
    <row r="1275" spans="1:29">
      <c r="A1275" t="s">
        <v>176</v>
      </c>
      <c r="B1275" s="1">
        <v>126031</v>
      </c>
      <c r="C1275" t="s">
        <v>1938</v>
      </c>
      <c r="D1275" t="s">
        <v>4201</v>
      </c>
      <c r="E1275" s="1">
        <v>-10833</v>
      </c>
      <c r="F1275" t="s">
        <v>4915</v>
      </c>
      <c r="G1275" t="s">
        <v>1961</v>
      </c>
      <c r="H1275" t="s">
        <v>4916</v>
      </c>
      <c r="I1275">
        <v>4</v>
      </c>
      <c r="J1275" t="s">
        <v>4917</v>
      </c>
      <c r="K1275">
        <v>83</v>
      </c>
      <c r="L1275" t="s">
        <v>4918</v>
      </c>
      <c r="M1275" t="s">
        <v>4919</v>
      </c>
      <c r="N1275" t="s">
        <v>4920</v>
      </c>
      <c r="O1275" t="s">
        <v>10298</v>
      </c>
      <c r="P1275" t="s">
        <v>4921</v>
      </c>
      <c r="Q1275" t="s">
        <v>4922</v>
      </c>
      <c r="R1275" t="s">
        <v>4920</v>
      </c>
      <c r="S1275" s="2">
        <v>45492</v>
      </c>
      <c r="T1275" t="s">
        <v>684</v>
      </c>
      <c r="U1275" t="s">
        <v>4923</v>
      </c>
      <c r="V1275">
        <v>1</v>
      </c>
      <c r="W1275">
        <v>6</v>
      </c>
      <c r="X1275">
        <v>145599</v>
      </c>
      <c r="Y1275" t="s">
        <v>3544</v>
      </c>
      <c r="Z1275" t="s">
        <v>4922</v>
      </c>
      <c r="AA1275" t="s">
        <v>10299</v>
      </c>
      <c r="AB1275" t="s">
        <v>45</v>
      </c>
      <c r="AC1275" t="s">
        <v>10300</v>
      </c>
    </row>
    <row r="1276" spans="1:29">
      <c r="A1276" t="s">
        <v>2569</v>
      </c>
      <c r="B1276" s="1">
        <v>127949</v>
      </c>
      <c r="C1276" t="s">
        <v>4291</v>
      </c>
      <c r="D1276" t="s">
        <v>4201</v>
      </c>
      <c r="E1276" s="1">
        <v>-3556</v>
      </c>
      <c r="F1276" t="s">
        <v>595</v>
      </c>
      <c r="G1276" t="s">
        <v>699</v>
      </c>
      <c r="H1276" t="s">
        <v>4292</v>
      </c>
      <c r="I1276">
        <v>4</v>
      </c>
      <c r="J1276" t="s">
        <v>2958</v>
      </c>
      <c r="K1276">
        <v>81</v>
      </c>
      <c r="L1276" t="s">
        <v>4293</v>
      </c>
      <c r="M1276" t="s">
        <v>4294</v>
      </c>
      <c r="N1276" t="s">
        <v>4236</v>
      </c>
      <c r="O1276" t="s">
        <v>10298</v>
      </c>
      <c r="P1276" t="s">
        <v>4295</v>
      </c>
      <c r="Q1276" t="s">
        <v>4296</v>
      </c>
      <c r="R1276" t="s">
        <v>4297</v>
      </c>
      <c r="S1276" s="2">
        <v>41943</v>
      </c>
      <c r="T1276" t="s">
        <v>4298</v>
      </c>
      <c r="U1276" t="s">
        <v>4240</v>
      </c>
      <c r="V1276">
        <v>0</v>
      </c>
      <c r="W1276">
        <v>4</v>
      </c>
      <c r="X1276">
        <v>222533</v>
      </c>
      <c r="Y1276" t="s">
        <v>4299</v>
      </c>
      <c r="Z1276" t="s">
        <v>4296</v>
      </c>
      <c r="AA1276" t="s">
        <v>10299</v>
      </c>
      <c r="AB1276" t="s">
        <v>45</v>
      </c>
      <c r="AC1276" t="s">
        <v>10300</v>
      </c>
    </row>
    <row r="1277" spans="1:29">
      <c r="A1277" t="s">
        <v>1289</v>
      </c>
      <c r="B1277" s="1">
        <v>126027</v>
      </c>
      <c r="C1277" t="s">
        <v>2963</v>
      </c>
      <c r="D1277" t="s">
        <v>4201</v>
      </c>
      <c r="E1277" s="1">
        <v>-5996</v>
      </c>
      <c r="F1277" t="s">
        <v>264</v>
      </c>
      <c r="G1277" t="s">
        <v>2151</v>
      </c>
      <c r="H1277" t="s">
        <v>10301</v>
      </c>
      <c r="I1277">
        <v>4</v>
      </c>
      <c r="J1277" t="s">
        <v>4008</v>
      </c>
      <c r="K1277">
        <v>80</v>
      </c>
      <c r="L1277" t="s">
        <v>10302</v>
      </c>
      <c r="M1277" t="s">
        <v>10303</v>
      </c>
      <c r="N1277" t="s">
        <v>10304</v>
      </c>
      <c r="O1277" t="s">
        <v>10298</v>
      </c>
      <c r="P1277" t="s">
        <v>10305</v>
      </c>
      <c r="Q1277" t="s">
        <v>10306</v>
      </c>
      <c r="R1277" t="s">
        <v>10307</v>
      </c>
      <c r="S1277" s="2">
        <v>44491</v>
      </c>
      <c r="T1277" t="s">
        <v>10308</v>
      </c>
      <c r="U1277" t="s">
        <v>10309</v>
      </c>
      <c r="V1277">
        <v>0</v>
      </c>
      <c r="W1277">
        <v>1</v>
      </c>
      <c r="X1277">
        <v>102861</v>
      </c>
      <c r="Y1277" t="s">
        <v>10310</v>
      </c>
      <c r="Z1277" t="s">
        <v>10306</v>
      </c>
      <c r="AA1277" t="s">
        <v>10299</v>
      </c>
      <c r="AB1277" t="s">
        <v>45</v>
      </c>
      <c r="AC1277" t="s">
        <v>10300</v>
      </c>
    </row>
    <row r="1278" spans="1:29">
      <c r="A1278" t="s">
        <v>2467</v>
      </c>
      <c r="B1278" s="1">
        <v>127028</v>
      </c>
      <c r="C1278" t="s">
        <v>2529</v>
      </c>
      <c r="D1278" t="s">
        <v>4201</v>
      </c>
      <c r="E1278" s="1">
        <v>-6378</v>
      </c>
      <c r="F1278" t="s">
        <v>321</v>
      </c>
      <c r="G1278" t="s">
        <v>446</v>
      </c>
      <c r="H1278" t="s">
        <v>10311</v>
      </c>
      <c r="I1278">
        <v>4</v>
      </c>
      <c r="J1278" t="s">
        <v>4308</v>
      </c>
      <c r="K1278">
        <v>79</v>
      </c>
      <c r="L1278" t="s">
        <v>10312</v>
      </c>
      <c r="M1278" t="s">
        <v>10313</v>
      </c>
      <c r="N1278" t="s">
        <v>10314</v>
      </c>
      <c r="O1278" t="s">
        <v>10298</v>
      </c>
      <c r="P1278" t="s">
        <v>10315</v>
      </c>
      <c r="Q1278" t="s">
        <v>10316</v>
      </c>
      <c r="R1278" t="s">
        <v>10314</v>
      </c>
      <c r="S1278" s="2">
        <v>45526</v>
      </c>
      <c r="T1278" t="s">
        <v>3576</v>
      </c>
      <c r="U1278" t="s">
        <v>10317</v>
      </c>
      <c r="V1278">
        <v>0</v>
      </c>
      <c r="W1278">
        <v>11</v>
      </c>
      <c r="X1278">
        <v>198425</v>
      </c>
      <c r="Y1278" t="s">
        <v>3052</v>
      </c>
      <c r="Z1278" t="s">
        <v>10316</v>
      </c>
      <c r="AA1278" t="s">
        <v>10299</v>
      </c>
      <c r="AB1278" t="s">
        <v>45</v>
      </c>
      <c r="AC1278" t="s">
        <v>10300</v>
      </c>
    </row>
    <row r="1279" spans="1:29">
      <c r="A1279" t="s">
        <v>3257</v>
      </c>
      <c r="B1279" s="1">
        <v>128004</v>
      </c>
      <c r="C1279" t="s">
        <v>904</v>
      </c>
      <c r="D1279" t="s">
        <v>4201</v>
      </c>
      <c r="E1279" s="1">
        <v>-4811</v>
      </c>
      <c r="F1279" t="s">
        <v>2345</v>
      </c>
      <c r="G1279" t="s">
        <v>176</v>
      </c>
      <c r="H1279" t="s">
        <v>10318</v>
      </c>
      <c r="I1279">
        <v>4</v>
      </c>
      <c r="J1279" t="s">
        <v>1383</v>
      </c>
      <c r="K1279">
        <v>77</v>
      </c>
      <c r="L1279" t="s">
        <v>10319</v>
      </c>
      <c r="M1279" t="s">
        <v>10320</v>
      </c>
      <c r="N1279" t="s">
        <v>10321</v>
      </c>
      <c r="O1279" t="s">
        <v>10298</v>
      </c>
      <c r="P1279" t="s">
        <v>10322</v>
      </c>
      <c r="Q1279" t="s">
        <v>10323</v>
      </c>
      <c r="R1279" t="s">
        <v>10321</v>
      </c>
      <c r="S1279" s="2">
        <v>45345</v>
      </c>
      <c r="T1279" t="s">
        <v>10324</v>
      </c>
      <c r="U1279" t="s">
        <v>10325</v>
      </c>
      <c r="V1279">
        <v>0</v>
      </c>
      <c r="W1279">
        <v>5</v>
      </c>
      <c r="X1279">
        <v>152305</v>
      </c>
      <c r="Y1279" t="s">
        <v>3654</v>
      </c>
      <c r="Z1279" t="s">
        <v>10323</v>
      </c>
      <c r="AA1279" t="s">
        <v>10299</v>
      </c>
      <c r="AB1279" t="s">
        <v>45</v>
      </c>
      <c r="AC1279" t="s">
        <v>10300</v>
      </c>
    </row>
    <row r="1280" spans="1:29">
      <c r="A1280" t="s">
        <v>5955</v>
      </c>
      <c r="B1280" t="s">
        <v>10326</v>
      </c>
      <c r="C1280" t="s">
        <v>2661</v>
      </c>
      <c r="D1280" t="s">
        <v>4201</v>
      </c>
      <c r="E1280" s="1">
        <v>-2744</v>
      </c>
      <c r="F1280" t="s">
        <v>1096</v>
      </c>
      <c r="G1280" t="s">
        <v>93</v>
      </c>
      <c r="H1280" t="s">
        <v>10327</v>
      </c>
      <c r="I1280">
        <v>4</v>
      </c>
      <c r="J1280" t="s">
        <v>1008</v>
      </c>
      <c r="K1280">
        <v>77</v>
      </c>
      <c r="L1280" t="s">
        <v>10328</v>
      </c>
      <c r="M1280" t="s">
        <v>10329</v>
      </c>
      <c r="N1280" t="s">
        <v>10330</v>
      </c>
      <c r="O1280" t="s">
        <v>10298</v>
      </c>
      <c r="P1280" t="s">
        <v>10331</v>
      </c>
      <c r="Q1280" t="s">
        <v>10332</v>
      </c>
      <c r="R1280" t="s">
        <v>10330</v>
      </c>
      <c r="S1280" s="2">
        <v>45541</v>
      </c>
      <c r="T1280">
        <v>0</v>
      </c>
      <c r="U1280" t="s">
        <v>10333</v>
      </c>
      <c r="V1280">
        <v>1</v>
      </c>
      <c r="W1280">
        <v>5</v>
      </c>
      <c r="X1280">
        <v>164285</v>
      </c>
      <c r="Y1280" t="s">
        <v>5846</v>
      </c>
      <c r="Z1280" t="s">
        <v>10332</v>
      </c>
      <c r="AA1280" t="s">
        <v>10299</v>
      </c>
      <c r="AB1280" t="s">
        <v>45</v>
      </c>
      <c r="AC1280" t="s">
        <v>10300</v>
      </c>
    </row>
    <row r="1281" spans="1:29">
      <c r="A1281" t="s">
        <v>2631</v>
      </c>
      <c r="B1281" s="1">
        <v>121985</v>
      </c>
      <c r="C1281" t="s">
        <v>4193</v>
      </c>
      <c r="D1281" t="s">
        <v>4201</v>
      </c>
      <c r="E1281" s="1">
        <v>-4984</v>
      </c>
      <c r="F1281" t="s">
        <v>2389</v>
      </c>
      <c r="G1281" t="s">
        <v>948</v>
      </c>
      <c r="H1281" t="s">
        <v>10334</v>
      </c>
      <c r="I1281">
        <v>4</v>
      </c>
      <c r="J1281" t="s">
        <v>348</v>
      </c>
      <c r="K1281">
        <v>77</v>
      </c>
      <c r="L1281" t="s">
        <v>10335</v>
      </c>
      <c r="M1281" t="s">
        <v>10336</v>
      </c>
      <c r="N1281" t="s">
        <v>10337</v>
      </c>
      <c r="O1281" t="s">
        <v>10298</v>
      </c>
      <c r="P1281" t="s">
        <v>10338</v>
      </c>
      <c r="Q1281" t="s">
        <v>10339</v>
      </c>
      <c r="R1281" t="s">
        <v>10337</v>
      </c>
      <c r="S1281" s="2">
        <v>44610</v>
      </c>
      <c r="T1281" t="s">
        <v>10340</v>
      </c>
      <c r="U1281" t="s">
        <v>10341</v>
      </c>
      <c r="V1281">
        <v>1</v>
      </c>
      <c r="W1281">
        <v>1</v>
      </c>
      <c r="X1281">
        <v>151475</v>
      </c>
      <c r="Y1281" t="s">
        <v>5045</v>
      </c>
      <c r="Z1281" t="s">
        <v>10339</v>
      </c>
      <c r="AA1281" t="s">
        <v>10299</v>
      </c>
      <c r="AB1281" t="s">
        <v>45</v>
      </c>
      <c r="AC1281" t="s">
        <v>10300</v>
      </c>
    </row>
    <row r="1282" spans="1:29">
      <c r="A1282" t="s">
        <v>92</v>
      </c>
      <c r="B1282" s="1">
        <v>108005</v>
      </c>
      <c r="C1282" t="s">
        <v>1679</v>
      </c>
      <c r="D1282" t="s">
        <v>4201</v>
      </c>
      <c r="E1282" t="s">
        <v>5265</v>
      </c>
      <c r="F1282" t="s">
        <v>1359</v>
      </c>
      <c r="G1282" t="s">
        <v>1009</v>
      </c>
      <c r="H1282" t="s">
        <v>5266</v>
      </c>
      <c r="I1282">
        <v>4</v>
      </c>
      <c r="J1282" t="s">
        <v>5267</v>
      </c>
      <c r="K1282">
        <v>76</v>
      </c>
      <c r="L1282" t="s">
        <v>5268</v>
      </c>
      <c r="M1282" t="s">
        <v>5269</v>
      </c>
      <c r="N1282" t="s">
        <v>5270</v>
      </c>
      <c r="O1282" t="s">
        <v>10298</v>
      </c>
      <c r="P1282" t="s">
        <v>5271</v>
      </c>
      <c r="Q1282" t="s">
        <v>5272</v>
      </c>
      <c r="R1282" t="s">
        <v>5270</v>
      </c>
      <c r="S1282" s="2">
        <v>45310</v>
      </c>
      <c r="T1282">
        <v>0</v>
      </c>
      <c r="U1282" t="s">
        <v>5273</v>
      </c>
      <c r="V1282">
        <v>1</v>
      </c>
      <c r="W1282">
        <v>3</v>
      </c>
      <c r="X1282">
        <v>178273</v>
      </c>
      <c r="Y1282" t="s">
        <v>189</v>
      </c>
      <c r="Z1282" t="s">
        <v>5272</v>
      </c>
      <c r="AA1282" t="s">
        <v>10299</v>
      </c>
      <c r="AB1282" t="s">
        <v>45</v>
      </c>
      <c r="AC1282" t="s">
        <v>10300</v>
      </c>
    </row>
    <row r="1283" spans="1:29">
      <c r="A1283" t="s">
        <v>5292</v>
      </c>
      <c r="B1283" s="1">
        <v>125952</v>
      </c>
      <c r="C1283" t="s">
        <v>3095</v>
      </c>
      <c r="D1283" t="s">
        <v>4201</v>
      </c>
      <c r="E1283" s="1">
        <v>-4221</v>
      </c>
      <c r="F1283" t="s">
        <v>1323</v>
      </c>
      <c r="G1283" t="s">
        <v>2211</v>
      </c>
      <c r="H1283" t="s">
        <v>5293</v>
      </c>
      <c r="I1283">
        <v>4</v>
      </c>
      <c r="J1283" t="s">
        <v>5294</v>
      </c>
      <c r="K1283">
        <v>76</v>
      </c>
      <c r="L1283" t="s">
        <v>5295</v>
      </c>
      <c r="M1283" t="s">
        <v>5296</v>
      </c>
      <c r="N1283" t="s">
        <v>5297</v>
      </c>
      <c r="O1283" t="s">
        <v>10298</v>
      </c>
      <c r="P1283" t="s">
        <v>5298</v>
      </c>
      <c r="Q1283" t="s">
        <v>5299</v>
      </c>
      <c r="R1283" t="s">
        <v>5297</v>
      </c>
      <c r="S1283" s="2">
        <v>44729</v>
      </c>
      <c r="T1283">
        <v>0</v>
      </c>
      <c r="U1283" t="s">
        <v>5300</v>
      </c>
      <c r="V1283">
        <v>1</v>
      </c>
      <c r="W1283">
        <v>0</v>
      </c>
      <c r="X1283">
        <v>165753</v>
      </c>
      <c r="Y1283" t="s">
        <v>5301</v>
      </c>
      <c r="Z1283" t="s">
        <v>5299</v>
      </c>
      <c r="AA1283" t="s">
        <v>10299</v>
      </c>
      <c r="AB1283" t="s">
        <v>45</v>
      </c>
      <c r="AC1283" t="s">
        <v>10300</v>
      </c>
    </row>
    <row r="1284" spans="1:29">
      <c r="A1284" t="s">
        <v>322</v>
      </c>
      <c r="B1284" s="1">
        <v>125004</v>
      </c>
      <c r="C1284" t="s">
        <v>2509</v>
      </c>
      <c r="D1284" t="s">
        <v>4201</v>
      </c>
      <c r="E1284" s="1">
        <v>-7877</v>
      </c>
      <c r="F1284" t="s">
        <v>9281</v>
      </c>
      <c r="G1284" t="s">
        <v>622</v>
      </c>
      <c r="H1284" t="s">
        <v>10342</v>
      </c>
      <c r="I1284">
        <v>4</v>
      </c>
      <c r="J1284" t="s">
        <v>783</v>
      </c>
      <c r="K1284">
        <v>76</v>
      </c>
      <c r="L1284" t="s">
        <v>10343</v>
      </c>
      <c r="M1284" t="s">
        <v>10344</v>
      </c>
      <c r="N1284" t="s">
        <v>10345</v>
      </c>
      <c r="O1284" t="s">
        <v>10298</v>
      </c>
      <c r="P1284" t="s">
        <v>10346</v>
      </c>
      <c r="Q1284" t="s">
        <v>10347</v>
      </c>
      <c r="R1284" t="s">
        <v>10345</v>
      </c>
      <c r="S1284" s="2">
        <v>44652</v>
      </c>
      <c r="T1284" s="3">
        <v>6.0000000000000002E-5</v>
      </c>
      <c r="U1284" t="s">
        <v>10348</v>
      </c>
      <c r="V1284">
        <v>0</v>
      </c>
      <c r="W1284">
        <v>1</v>
      </c>
      <c r="X1284">
        <v>186662</v>
      </c>
      <c r="Y1284" t="s">
        <v>9421</v>
      </c>
      <c r="Z1284" t="s">
        <v>10347</v>
      </c>
      <c r="AA1284" t="s">
        <v>10299</v>
      </c>
      <c r="AB1284" t="s">
        <v>45</v>
      </c>
      <c r="AC1284" t="s">
        <v>10300</v>
      </c>
    </row>
    <row r="1285" spans="1:29">
      <c r="A1285" t="s">
        <v>3388</v>
      </c>
      <c r="B1285" s="1">
        <v>101216</v>
      </c>
      <c r="C1285" t="s">
        <v>77</v>
      </c>
      <c r="D1285" t="s">
        <v>4201</v>
      </c>
      <c r="E1285" s="1">
        <v>-4673</v>
      </c>
      <c r="F1285" t="s">
        <v>2345</v>
      </c>
      <c r="G1285" t="s">
        <v>2844</v>
      </c>
      <c r="H1285" t="s">
        <v>10349</v>
      </c>
      <c r="I1285">
        <v>3</v>
      </c>
      <c r="J1285" t="s">
        <v>4224</v>
      </c>
      <c r="K1285">
        <v>75</v>
      </c>
      <c r="L1285" t="s">
        <v>10350</v>
      </c>
      <c r="M1285" t="s">
        <v>10351</v>
      </c>
      <c r="N1285" t="s">
        <v>7209</v>
      </c>
      <c r="O1285" t="s">
        <v>10298</v>
      </c>
      <c r="P1285" t="s">
        <v>10352</v>
      </c>
      <c r="Q1285" t="s">
        <v>10353</v>
      </c>
      <c r="R1285" t="s">
        <v>7209</v>
      </c>
      <c r="S1285" s="2">
        <v>44323</v>
      </c>
      <c r="T1285" t="s">
        <v>10354</v>
      </c>
      <c r="U1285" t="s">
        <v>10355</v>
      </c>
      <c r="V1285">
        <v>1</v>
      </c>
      <c r="W1285">
        <v>1</v>
      </c>
      <c r="X1285">
        <v>160000</v>
      </c>
      <c r="Y1285" t="s">
        <v>7064</v>
      </c>
      <c r="Z1285" t="s">
        <v>10353</v>
      </c>
      <c r="AA1285" t="s">
        <v>10299</v>
      </c>
      <c r="AB1285" t="s">
        <v>45</v>
      </c>
      <c r="AC1285" t="s">
        <v>10300</v>
      </c>
    </row>
    <row r="1286" spans="1:29">
      <c r="A1286" t="s">
        <v>4112</v>
      </c>
      <c r="B1286" s="1">
        <v>129998</v>
      </c>
      <c r="C1286" t="s">
        <v>1394</v>
      </c>
      <c r="D1286" t="s">
        <v>4201</v>
      </c>
      <c r="E1286" s="1">
        <v>-5681</v>
      </c>
      <c r="F1286" t="s">
        <v>5036</v>
      </c>
      <c r="G1286" t="s">
        <v>1422</v>
      </c>
      <c r="H1286" t="s">
        <v>10356</v>
      </c>
      <c r="I1286">
        <v>4</v>
      </c>
      <c r="J1286" t="s">
        <v>7793</v>
      </c>
      <c r="K1286">
        <v>75</v>
      </c>
      <c r="L1286" t="s">
        <v>10357</v>
      </c>
      <c r="M1286" t="s">
        <v>10358</v>
      </c>
      <c r="N1286" t="s">
        <v>10359</v>
      </c>
      <c r="O1286" t="s">
        <v>10298</v>
      </c>
      <c r="P1286" t="s">
        <v>10360</v>
      </c>
      <c r="Q1286" t="s">
        <v>10361</v>
      </c>
      <c r="R1286" t="s">
        <v>10362</v>
      </c>
      <c r="S1286" s="2">
        <v>45092</v>
      </c>
      <c r="T1286" t="s">
        <v>1142</v>
      </c>
      <c r="U1286" t="s">
        <v>10363</v>
      </c>
      <c r="V1286">
        <v>0</v>
      </c>
      <c r="W1286">
        <v>7</v>
      </c>
      <c r="X1286">
        <v>231545</v>
      </c>
      <c r="Y1286" t="s">
        <v>408</v>
      </c>
      <c r="Z1286" t="s">
        <v>10361</v>
      </c>
      <c r="AA1286" t="s">
        <v>10299</v>
      </c>
      <c r="AB1286" t="s">
        <v>45</v>
      </c>
      <c r="AC1286" t="s">
        <v>10300</v>
      </c>
    </row>
    <row r="1287" spans="1:29">
      <c r="A1287" t="s">
        <v>158</v>
      </c>
      <c r="B1287" s="1">
        <v>121964</v>
      </c>
      <c r="C1287" t="s">
        <v>202</v>
      </c>
      <c r="D1287" t="s">
        <v>4201</v>
      </c>
      <c r="E1287" s="1">
        <v>-6983</v>
      </c>
      <c r="F1287" t="s">
        <v>1641</v>
      </c>
      <c r="G1287" t="s">
        <v>643</v>
      </c>
      <c r="H1287" t="s">
        <v>10364</v>
      </c>
      <c r="I1287">
        <v>4</v>
      </c>
      <c r="J1287" t="s">
        <v>10365</v>
      </c>
      <c r="K1287">
        <v>75</v>
      </c>
      <c r="L1287" t="s">
        <v>10366</v>
      </c>
      <c r="M1287" t="s">
        <v>10367</v>
      </c>
      <c r="N1287" t="s">
        <v>10368</v>
      </c>
      <c r="O1287" t="s">
        <v>10298</v>
      </c>
      <c r="P1287" t="s">
        <v>10369</v>
      </c>
      <c r="Q1287" t="s">
        <v>10370</v>
      </c>
      <c r="R1287" t="s">
        <v>10371</v>
      </c>
      <c r="S1287" s="2">
        <v>44113</v>
      </c>
      <c r="T1287" t="s">
        <v>527</v>
      </c>
      <c r="U1287" t="s">
        <v>10372</v>
      </c>
      <c r="V1287">
        <v>0</v>
      </c>
      <c r="W1287">
        <v>2</v>
      </c>
      <c r="X1287">
        <v>180843</v>
      </c>
      <c r="Y1287" t="s">
        <v>10373</v>
      </c>
      <c r="Z1287" t="s">
        <v>10370</v>
      </c>
      <c r="AA1287" t="s">
        <v>10299</v>
      </c>
      <c r="AB1287" t="s">
        <v>45</v>
      </c>
      <c r="AC1287" t="s">
        <v>10300</v>
      </c>
    </row>
    <row r="1288" spans="1:29">
      <c r="A1288" t="s">
        <v>2211</v>
      </c>
      <c r="B1288" s="1">
        <v>120032</v>
      </c>
      <c r="C1288" t="s">
        <v>293</v>
      </c>
      <c r="D1288" t="s">
        <v>4201</v>
      </c>
      <c r="E1288" s="1">
        <v>-5227</v>
      </c>
      <c r="F1288" t="s">
        <v>2012</v>
      </c>
      <c r="G1288" t="s">
        <v>4626</v>
      </c>
      <c r="H1288" t="s">
        <v>10374</v>
      </c>
      <c r="I1288">
        <v>4</v>
      </c>
      <c r="J1288" t="s">
        <v>117</v>
      </c>
      <c r="K1288">
        <v>74</v>
      </c>
      <c r="L1288" t="s">
        <v>10375</v>
      </c>
      <c r="M1288" t="s">
        <v>10376</v>
      </c>
      <c r="N1288" t="s">
        <v>10377</v>
      </c>
      <c r="O1288" t="s">
        <v>10298</v>
      </c>
      <c r="P1288" t="s">
        <v>10378</v>
      </c>
      <c r="Q1288" t="s">
        <v>10379</v>
      </c>
      <c r="R1288" t="s">
        <v>10377</v>
      </c>
      <c r="S1288" s="2">
        <v>45604</v>
      </c>
      <c r="T1288">
        <v>0</v>
      </c>
      <c r="U1288" t="s">
        <v>10380</v>
      </c>
      <c r="V1288">
        <v>0</v>
      </c>
      <c r="W1288">
        <v>10</v>
      </c>
      <c r="X1288">
        <v>199505</v>
      </c>
      <c r="Y1288" t="s">
        <v>5159</v>
      </c>
      <c r="Z1288" t="s">
        <v>10379</v>
      </c>
      <c r="AA1288" t="s">
        <v>10299</v>
      </c>
      <c r="AB1288" t="s">
        <v>45</v>
      </c>
      <c r="AC1288" t="s">
        <v>10300</v>
      </c>
    </row>
    <row r="1289" spans="1:29">
      <c r="A1289" t="s">
        <v>293</v>
      </c>
      <c r="B1289" t="s">
        <v>10381</v>
      </c>
      <c r="C1289" t="s">
        <v>5062</v>
      </c>
      <c r="D1289" t="s">
        <v>4201</v>
      </c>
      <c r="E1289" s="1">
        <v>-5476</v>
      </c>
      <c r="F1289" t="s">
        <v>9612</v>
      </c>
      <c r="G1289" t="s">
        <v>903</v>
      </c>
      <c r="H1289" t="s">
        <v>10382</v>
      </c>
      <c r="I1289">
        <v>4</v>
      </c>
      <c r="J1289" t="s">
        <v>7571</v>
      </c>
      <c r="K1289">
        <v>77</v>
      </c>
      <c r="L1289" t="s">
        <v>10383</v>
      </c>
      <c r="M1289" t="s">
        <v>10384</v>
      </c>
      <c r="N1289" t="s">
        <v>10385</v>
      </c>
      <c r="O1289" t="s">
        <v>10298</v>
      </c>
      <c r="P1289" t="s">
        <v>10386</v>
      </c>
      <c r="Q1289" t="s">
        <v>10387</v>
      </c>
      <c r="R1289" t="s">
        <v>10385</v>
      </c>
      <c r="S1289" s="2">
        <v>45583</v>
      </c>
      <c r="T1289">
        <v>0</v>
      </c>
      <c r="U1289" t="s">
        <v>10388</v>
      </c>
      <c r="V1289">
        <v>1</v>
      </c>
      <c r="W1289">
        <v>0</v>
      </c>
      <c r="X1289">
        <v>156923</v>
      </c>
      <c r="Y1289" t="s">
        <v>3154</v>
      </c>
      <c r="Z1289" t="s">
        <v>10387</v>
      </c>
      <c r="AA1289" t="s">
        <v>10299</v>
      </c>
      <c r="AB1289" t="s">
        <v>45</v>
      </c>
      <c r="AC1289" t="s">
        <v>10300</v>
      </c>
    </row>
    <row r="1290" spans="1:29">
      <c r="A1290" t="s">
        <v>2125</v>
      </c>
      <c r="B1290" s="1">
        <v>120033</v>
      </c>
      <c r="C1290" t="s">
        <v>2509</v>
      </c>
      <c r="D1290" t="s">
        <v>4201</v>
      </c>
      <c r="E1290" s="1">
        <v>-8751</v>
      </c>
      <c r="F1290" t="s">
        <v>211</v>
      </c>
      <c r="G1290" t="s">
        <v>7327</v>
      </c>
      <c r="H1290" t="s">
        <v>10389</v>
      </c>
      <c r="I1290">
        <v>4</v>
      </c>
      <c r="J1290" t="s">
        <v>10390</v>
      </c>
      <c r="K1290">
        <v>74</v>
      </c>
      <c r="L1290" t="s">
        <v>10391</v>
      </c>
      <c r="M1290" t="s">
        <v>10392</v>
      </c>
      <c r="N1290" t="s">
        <v>10393</v>
      </c>
      <c r="O1290" t="s">
        <v>10298</v>
      </c>
      <c r="P1290" t="s">
        <v>10394</v>
      </c>
      <c r="Q1290" t="s">
        <v>10395</v>
      </c>
      <c r="R1290" t="s">
        <v>10396</v>
      </c>
      <c r="S1290" s="2">
        <v>45226</v>
      </c>
      <c r="T1290" t="s">
        <v>4814</v>
      </c>
      <c r="U1290" t="s">
        <v>10397</v>
      </c>
      <c r="V1290">
        <v>0</v>
      </c>
      <c r="W1290">
        <v>7</v>
      </c>
      <c r="X1290">
        <v>208135</v>
      </c>
      <c r="Y1290" t="s">
        <v>4814</v>
      </c>
      <c r="Z1290" t="s">
        <v>10395</v>
      </c>
      <c r="AA1290" t="s">
        <v>10299</v>
      </c>
      <c r="AB1290" t="s">
        <v>45</v>
      </c>
      <c r="AC1290" t="s">
        <v>10300</v>
      </c>
    </row>
    <row r="1291" spans="1:29">
      <c r="A1291" t="s">
        <v>1153</v>
      </c>
      <c r="B1291" s="1">
        <v>87024</v>
      </c>
      <c r="C1291" t="s">
        <v>3767</v>
      </c>
      <c r="D1291" t="s">
        <v>4201</v>
      </c>
      <c r="E1291" s="1">
        <v>-3615</v>
      </c>
      <c r="F1291" t="s">
        <v>7769</v>
      </c>
      <c r="G1291" t="s">
        <v>1214</v>
      </c>
      <c r="H1291" t="s">
        <v>10398</v>
      </c>
      <c r="I1291">
        <v>4</v>
      </c>
      <c r="J1291" t="s">
        <v>7595</v>
      </c>
      <c r="K1291">
        <v>74</v>
      </c>
      <c r="L1291" t="s">
        <v>10399</v>
      </c>
      <c r="M1291" t="s">
        <v>10400</v>
      </c>
      <c r="N1291" t="s">
        <v>10401</v>
      </c>
      <c r="O1291" t="s">
        <v>10298</v>
      </c>
      <c r="P1291" t="s">
        <v>10402</v>
      </c>
      <c r="Q1291" t="s">
        <v>10403</v>
      </c>
      <c r="R1291" t="s">
        <v>10401</v>
      </c>
      <c r="S1291" s="2">
        <v>45303</v>
      </c>
      <c r="T1291" t="s">
        <v>10404</v>
      </c>
      <c r="U1291" t="s">
        <v>10405</v>
      </c>
      <c r="V1291">
        <v>0</v>
      </c>
      <c r="W1291">
        <v>0</v>
      </c>
      <c r="X1291">
        <v>184852</v>
      </c>
      <c r="Y1291" t="s">
        <v>201</v>
      </c>
      <c r="Z1291" t="s">
        <v>10403</v>
      </c>
      <c r="AA1291" t="s">
        <v>10299</v>
      </c>
      <c r="AB1291" t="s">
        <v>45</v>
      </c>
      <c r="AC1291" t="s">
        <v>10300</v>
      </c>
    </row>
    <row r="1292" spans="1:29">
      <c r="A1292" t="s">
        <v>1239</v>
      </c>
      <c r="B1292" s="1">
        <v>117737</v>
      </c>
      <c r="C1292" t="s">
        <v>3032</v>
      </c>
      <c r="D1292" t="s">
        <v>4201</v>
      </c>
      <c r="E1292" s="1">
        <v>-7335</v>
      </c>
      <c r="F1292" t="s">
        <v>79</v>
      </c>
      <c r="G1292" t="s">
        <v>1406</v>
      </c>
      <c r="H1292" t="s">
        <v>10406</v>
      </c>
      <c r="I1292">
        <v>4</v>
      </c>
      <c r="J1292" t="s">
        <v>9730</v>
      </c>
      <c r="K1292">
        <v>73</v>
      </c>
      <c r="L1292" t="s">
        <v>10407</v>
      </c>
      <c r="M1292" t="s">
        <v>10408</v>
      </c>
      <c r="N1292" t="s">
        <v>10409</v>
      </c>
      <c r="O1292" t="s">
        <v>10298</v>
      </c>
      <c r="P1292" t="s">
        <v>10410</v>
      </c>
      <c r="Q1292" t="s">
        <v>10411</v>
      </c>
      <c r="R1292" t="s">
        <v>10412</v>
      </c>
      <c r="S1292" s="2">
        <v>44400</v>
      </c>
      <c r="T1292" t="s">
        <v>117</v>
      </c>
      <c r="U1292" t="s">
        <v>10413</v>
      </c>
      <c r="V1292">
        <v>0</v>
      </c>
      <c r="W1292">
        <v>11</v>
      </c>
      <c r="X1292">
        <v>139384</v>
      </c>
      <c r="Y1292" t="s">
        <v>5294</v>
      </c>
      <c r="Z1292" t="s">
        <v>10411</v>
      </c>
      <c r="AA1292" t="s">
        <v>10299</v>
      </c>
      <c r="AB1292" t="s">
        <v>45</v>
      </c>
      <c r="AC1292" t="s">
        <v>10300</v>
      </c>
    </row>
    <row r="1293" spans="1:29">
      <c r="A1293" t="s">
        <v>108</v>
      </c>
      <c r="B1293" t="s">
        <v>10414</v>
      </c>
      <c r="C1293" t="s">
        <v>3613</v>
      </c>
      <c r="D1293" t="s">
        <v>4201</v>
      </c>
      <c r="E1293" s="1">
        <v>-4499</v>
      </c>
      <c r="F1293" t="s">
        <v>10415</v>
      </c>
      <c r="G1293" t="s">
        <v>3043</v>
      </c>
      <c r="H1293" t="s">
        <v>10416</v>
      </c>
      <c r="I1293">
        <v>4</v>
      </c>
      <c r="J1293" t="s">
        <v>437</v>
      </c>
      <c r="K1293">
        <v>73</v>
      </c>
      <c r="L1293" t="s">
        <v>10417</v>
      </c>
      <c r="M1293" t="s">
        <v>10418</v>
      </c>
      <c r="N1293" t="s">
        <v>10419</v>
      </c>
      <c r="O1293" t="s">
        <v>10298</v>
      </c>
      <c r="P1293" t="s">
        <v>10420</v>
      </c>
      <c r="Q1293" t="s">
        <v>10421</v>
      </c>
      <c r="R1293" t="s">
        <v>10419</v>
      </c>
      <c r="S1293" s="2">
        <v>44680</v>
      </c>
      <c r="T1293" t="s">
        <v>10422</v>
      </c>
      <c r="U1293" t="s">
        <v>10423</v>
      </c>
      <c r="V1293">
        <v>1</v>
      </c>
      <c r="W1293">
        <v>6</v>
      </c>
      <c r="X1293">
        <v>155253</v>
      </c>
      <c r="Y1293" t="s">
        <v>9667</v>
      </c>
      <c r="Z1293" t="s">
        <v>10421</v>
      </c>
      <c r="AA1293" t="s">
        <v>10299</v>
      </c>
      <c r="AB1293" t="s">
        <v>45</v>
      </c>
      <c r="AC1293" t="s">
        <v>10300</v>
      </c>
    </row>
    <row r="1294" spans="1:29">
      <c r="A1294" t="s">
        <v>121</v>
      </c>
      <c r="B1294" s="1">
        <v>129973</v>
      </c>
      <c r="C1294" t="s">
        <v>4326</v>
      </c>
      <c r="D1294" t="s">
        <v>4201</v>
      </c>
      <c r="E1294" s="1">
        <v>-5942</v>
      </c>
      <c r="F1294" t="s">
        <v>4291</v>
      </c>
      <c r="G1294" t="s">
        <v>8982</v>
      </c>
      <c r="H1294" t="s">
        <v>10424</v>
      </c>
      <c r="I1294">
        <v>4</v>
      </c>
      <c r="J1294" t="s">
        <v>10425</v>
      </c>
      <c r="K1294">
        <v>72</v>
      </c>
      <c r="L1294" t="s">
        <v>10426</v>
      </c>
      <c r="M1294" t="s">
        <v>10427</v>
      </c>
      <c r="N1294" t="s">
        <v>10428</v>
      </c>
      <c r="O1294" t="s">
        <v>10298</v>
      </c>
      <c r="P1294" t="s">
        <v>10429</v>
      </c>
      <c r="Q1294" t="s">
        <v>10430</v>
      </c>
      <c r="R1294" t="s">
        <v>10428</v>
      </c>
      <c r="S1294" s="2">
        <v>45513</v>
      </c>
      <c r="T1294" t="s">
        <v>1434</v>
      </c>
      <c r="U1294" t="s">
        <v>10431</v>
      </c>
      <c r="V1294">
        <v>0</v>
      </c>
      <c r="W1294">
        <v>5</v>
      </c>
      <c r="X1294">
        <v>137223</v>
      </c>
      <c r="Y1294" t="s">
        <v>4697</v>
      </c>
      <c r="Z1294" t="s">
        <v>10430</v>
      </c>
      <c r="AA1294" t="s">
        <v>10299</v>
      </c>
      <c r="AB1294" t="s">
        <v>45</v>
      </c>
      <c r="AC1294" t="s">
        <v>10300</v>
      </c>
    </row>
    <row r="1295" spans="1:29">
      <c r="A1295" t="s">
        <v>5783</v>
      </c>
      <c r="B1295" s="1">
        <v>125051</v>
      </c>
      <c r="C1295" t="s">
        <v>621</v>
      </c>
      <c r="D1295" t="s">
        <v>4201</v>
      </c>
      <c r="E1295" s="1">
        <v>-5408</v>
      </c>
      <c r="F1295" t="s">
        <v>10432</v>
      </c>
      <c r="G1295" t="s">
        <v>3878</v>
      </c>
      <c r="H1295" t="s">
        <v>10433</v>
      </c>
      <c r="I1295">
        <v>4</v>
      </c>
      <c r="J1295" t="s">
        <v>4348</v>
      </c>
      <c r="K1295">
        <v>72</v>
      </c>
      <c r="L1295" t="s">
        <v>10434</v>
      </c>
      <c r="M1295" t="s">
        <v>10435</v>
      </c>
      <c r="N1295" t="s">
        <v>10436</v>
      </c>
      <c r="O1295" t="s">
        <v>10298</v>
      </c>
      <c r="P1295" t="s">
        <v>10437</v>
      </c>
      <c r="Q1295" t="s">
        <v>10438</v>
      </c>
      <c r="R1295" t="s">
        <v>10436</v>
      </c>
      <c r="S1295" s="2">
        <v>44498</v>
      </c>
      <c r="T1295" t="s">
        <v>10439</v>
      </c>
      <c r="U1295" t="s">
        <v>10440</v>
      </c>
      <c r="V1295">
        <v>0</v>
      </c>
      <c r="W1295">
        <v>2</v>
      </c>
      <c r="X1295">
        <v>157445</v>
      </c>
      <c r="Y1295" t="s">
        <v>10441</v>
      </c>
      <c r="Z1295" t="s">
        <v>10438</v>
      </c>
      <c r="AA1295" t="s">
        <v>10299</v>
      </c>
      <c r="AB1295" t="s">
        <v>45</v>
      </c>
      <c r="AC1295" t="s">
        <v>10300</v>
      </c>
    </row>
    <row r="1296" spans="1:29">
      <c r="A1296" t="s">
        <v>376</v>
      </c>
      <c r="B1296" s="1">
        <v>75031</v>
      </c>
      <c r="C1296" t="s">
        <v>8493</v>
      </c>
      <c r="D1296" t="s">
        <v>4201</v>
      </c>
      <c r="E1296" s="1">
        <v>-4414</v>
      </c>
      <c r="F1296" t="s">
        <v>10442</v>
      </c>
      <c r="G1296" t="s">
        <v>5370</v>
      </c>
      <c r="H1296" t="s">
        <v>10443</v>
      </c>
      <c r="I1296">
        <v>4</v>
      </c>
      <c r="J1296" t="s">
        <v>1209</v>
      </c>
      <c r="K1296">
        <v>72</v>
      </c>
      <c r="L1296" t="s">
        <v>10444</v>
      </c>
      <c r="M1296" t="s">
        <v>10445</v>
      </c>
      <c r="N1296" t="s">
        <v>10446</v>
      </c>
      <c r="O1296" t="s">
        <v>10298</v>
      </c>
      <c r="P1296" t="s">
        <v>10447</v>
      </c>
      <c r="Q1296" t="s">
        <v>10448</v>
      </c>
      <c r="R1296" t="s">
        <v>10446</v>
      </c>
      <c r="S1296" s="2">
        <v>45506</v>
      </c>
      <c r="T1296" t="s">
        <v>10449</v>
      </c>
      <c r="U1296" t="s">
        <v>10450</v>
      </c>
      <c r="V1296">
        <v>0</v>
      </c>
      <c r="W1296">
        <v>10</v>
      </c>
      <c r="X1296">
        <v>140987</v>
      </c>
      <c r="Y1296" t="s">
        <v>4485</v>
      </c>
      <c r="Z1296" t="s">
        <v>10448</v>
      </c>
      <c r="AA1296" t="s">
        <v>10299</v>
      </c>
      <c r="AB1296" t="s">
        <v>45</v>
      </c>
      <c r="AC1296" t="s">
        <v>10300</v>
      </c>
    </row>
    <row r="1297" spans="1:29">
      <c r="A1297" t="s">
        <v>290</v>
      </c>
      <c r="B1297" s="1">
        <v>127034</v>
      </c>
      <c r="C1297" t="s">
        <v>1338</v>
      </c>
      <c r="D1297" t="s">
        <v>4201</v>
      </c>
      <c r="E1297" s="1">
        <v>-4541</v>
      </c>
      <c r="F1297" t="s">
        <v>2725</v>
      </c>
      <c r="G1297" t="s">
        <v>579</v>
      </c>
      <c r="H1297" t="s">
        <v>10451</v>
      </c>
      <c r="I1297">
        <v>4</v>
      </c>
      <c r="J1297" t="s">
        <v>2958</v>
      </c>
      <c r="K1297">
        <v>71</v>
      </c>
      <c r="L1297" t="s">
        <v>10452</v>
      </c>
      <c r="M1297" t="s">
        <v>10453</v>
      </c>
      <c r="N1297" t="s">
        <v>10454</v>
      </c>
      <c r="O1297" t="s">
        <v>10298</v>
      </c>
      <c r="P1297" t="s">
        <v>10455</v>
      </c>
      <c r="Q1297" t="s">
        <v>10456</v>
      </c>
      <c r="R1297" t="s">
        <v>10457</v>
      </c>
      <c r="S1297" s="2">
        <v>44596</v>
      </c>
      <c r="T1297" t="s">
        <v>10458</v>
      </c>
      <c r="U1297" t="s">
        <v>10459</v>
      </c>
      <c r="V1297">
        <v>0</v>
      </c>
      <c r="W1297">
        <v>7</v>
      </c>
      <c r="X1297">
        <v>177689</v>
      </c>
      <c r="Y1297" t="s">
        <v>1797</v>
      </c>
      <c r="Z1297" t="s">
        <v>10456</v>
      </c>
      <c r="AA1297" t="s">
        <v>10299</v>
      </c>
      <c r="AB1297" t="s">
        <v>45</v>
      </c>
      <c r="AC1297" t="s">
        <v>10300</v>
      </c>
    </row>
    <row r="1298" spans="1:29">
      <c r="A1298" t="s">
        <v>5783</v>
      </c>
      <c r="B1298" s="1">
        <v>140039</v>
      </c>
      <c r="C1298" t="s">
        <v>92</v>
      </c>
      <c r="D1298" t="s">
        <v>4201</v>
      </c>
      <c r="E1298" s="1">
        <v>-4963</v>
      </c>
      <c r="F1298" t="s">
        <v>4680</v>
      </c>
      <c r="G1298" t="s">
        <v>5629</v>
      </c>
      <c r="H1298" t="s">
        <v>10460</v>
      </c>
      <c r="I1298">
        <v>4</v>
      </c>
      <c r="J1298" t="s">
        <v>10461</v>
      </c>
      <c r="K1298">
        <v>71</v>
      </c>
      <c r="L1298" t="s">
        <v>10462</v>
      </c>
      <c r="M1298" t="s">
        <v>10463</v>
      </c>
      <c r="N1298" t="s">
        <v>10464</v>
      </c>
      <c r="O1298" t="s">
        <v>10298</v>
      </c>
      <c r="P1298" t="s">
        <v>10465</v>
      </c>
      <c r="Q1298" t="s">
        <v>10466</v>
      </c>
      <c r="R1298" t="s">
        <v>10464</v>
      </c>
      <c r="S1298" s="2">
        <v>45058</v>
      </c>
      <c r="T1298" t="s">
        <v>10467</v>
      </c>
      <c r="U1298" t="s">
        <v>10468</v>
      </c>
      <c r="V1298">
        <v>1</v>
      </c>
      <c r="W1298">
        <v>1</v>
      </c>
      <c r="X1298">
        <v>169535</v>
      </c>
      <c r="Y1298" t="s">
        <v>476</v>
      </c>
      <c r="Z1298" t="s">
        <v>10466</v>
      </c>
      <c r="AA1298" t="s">
        <v>10299</v>
      </c>
      <c r="AB1298" t="s">
        <v>45</v>
      </c>
      <c r="AC1298" t="s">
        <v>10300</v>
      </c>
    </row>
    <row r="1299" spans="1:29">
      <c r="A1299" t="s">
        <v>2343</v>
      </c>
      <c r="B1299" s="1">
        <v>129995</v>
      </c>
      <c r="C1299" t="s">
        <v>1938</v>
      </c>
      <c r="D1299" t="s">
        <v>4201</v>
      </c>
      <c r="E1299" s="1">
        <v>-6823</v>
      </c>
      <c r="F1299" t="s">
        <v>542</v>
      </c>
      <c r="G1299" t="s">
        <v>5174</v>
      </c>
      <c r="H1299" t="s">
        <v>10469</v>
      </c>
      <c r="I1299">
        <v>4</v>
      </c>
      <c r="J1299" t="s">
        <v>7595</v>
      </c>
      <c r="K1299">
        <v>71</v>
      </c>
      <c r="L1299" t="s">
        <v>10470</v>
      </c>
      <c r="M1299" t="s">
        <v>10471</v>
      </c>
      <c r="N1299" t="s">
        <v>10472</v>
      </c>
      <c r="O1299" t="s">
        <v>10298</v>
      </c>
      <c r="P1299" t="s">
        <v>10473</v>
      </c>
      <c r="Q1299" t="s">
        <v>10474</v>
      </c>
      <c r="R1299" t="s">
        <v>10472</v>
      </c>
      <c r="S1299" s="2">
        <v>45506</v>
      </c>
      <c r="T1299" t="s">
        <v>2001</v>
      </c>
      <c r="U1299" t="s">
        <v>10475</v>
      </c>
      <c r="V1299">
        <v>0</v>
      </c>
      <c r="W1299">
        <v>6</v>
      </c>
      <c r="X1299">
        <v>188360</v>
      </c>
      <c r="Y1299" t="s">
        <v>5739</v>
      </c>
      <c r="Z1299" t="s">
        <v>10474</v>
      </c>
      <c r="AA1299" t="s">
        <v>10299</v>
      </c>
      <c r="AB1299" t="s">
        <v>45</v>
      </c>
      <c r="AC1299" t="s">
        <v>10300</v>
      </c>
    </row>
    <row r="1300" spans="1:29">
      <c r="A1300" t="s">
        <v>2116</v>
      </c>
      <c r="B1300" s="1">
        <v>124015</v>
      </c>
      <c r="C1300" t="s">
        <v>48</v>
      </c>
      <c r="D1300" t="s">
        <v>4201</v>
      </c>
      <c r="E1300" s="1">
        <v>-7311</v>
      </c>
      <c r="F1300" t="s">
        <v>2917</v>
      </c>
      <c r="G1300" t="s">
        <v>1893</v>
      </c>
      <c r="H1300" t="s">
        <v>10476</v>
      </c>
      <c r="I1300">
        <v>4</v>
      </c>
      <c r="J1300" t="s">
        <v>7116</v>
      </c>
      <c r="K1300">
        <v>70</v>
      </c>
      <c r="L1300" t="s">
        <v>10477</v>
      </c>
      <c r="M1300" t="s">
        <v>10478</v>
      </c>
      <c r="N1300" t="s">
        <v>10479</v>
      </c>
      <c r="O1300" t="s">
        <v>10298</v>
      </c>
      <c r="P1300" t="s">
        <v>10480</v>
      </c>
      <c r="Q1300" t="s">
        <v>10481</v>
      </c>
      <c r="R1300" t="s">
        <v>10479</v>
      </c>
      <c r="S1300" s="2">
        <v>45149</v>
      </c>
      <c r="T1300" t="s">
        <v>10482</v>
      </c>
      <c r="U1300" t="s">
        <v>10483</v>
      </c>
      <c r="V1300">
        <v>1</v>
      </c>
      <c r="W1300">
        <v>0</v>
      </c>
      <c r="X1300">
        <v>220653</v>
      </c>
      <c r="Y1300" t="s">
        <v>104</v>
      </c>
      <c r="Z1300" t="s">
        <v>10481</v>
      </c>
      <c r="AA1300" t="s">
        <v>10299</v>
      </c>
      <c r="AB1300" t="s">
        <v>45</v>
      </c>
      <c r="AC1300" t="s">
        <v>10300</v>
      </c>
    </row>
    <row r="1301" spans="1:29">
      <c r="A1301" t="s">
        <v>1786</v>
      </c>
      <c r="B1301" s="1">
        <v>123006</v>
      </c>
      <c r="C1301" t="s">
        <v>2598</v>
      </c>
      <c r="D1301" t="s">
        <v>4201</v>
      </c>
      <c r="E1301" s="1">
        <v>-6543</v>
      </c>
      <c r="F1301" t="s">
        <v>4647</v>
      </c>
      <c r="G1301" t="s">
        <v>2620</v>
      </c>
      <c r="H1301" t="s">
        <v>10484</v>
      </c>
      <c r="I1301">
        <v>4</v>
      </c>
      <c r="J1301" t="s">
        <v>7203</v>
      </c>
      <c r="K1301">
        <v>68</v>
      </c>
      <c r="L1301" t="s">
        <v>10485</v>
      </c>
      <c r="M1301" t="s">
        <v>10486</v>
      </c>
      <c r="N1301" t="s">
        <v>10487</v>
      </c>
      <c r="O1301" t="s">
        <v>10298</v>
      </c>
      <c r="P1301" t="s">
        <v>10488</v>
      </c>
      <c r="Q1301" t="s">
        <v>10489</v>
      </c>
      <c r="R1301" t="s">
        <v>10487</v>
      </c>
      <c r="S1301" s="2">
        <v>45611</v>
      </c>
      <c r="T1301">
        <v>0</v>
      </c>
      <c r="U1301" t="s">
        <v>10490</v>
      </c>
      <c r="V1301">
        <v>0</v>
      </c>
      <c r="W1301">
        <v>10</v>
      </c>
      <c r="X1301">
        <v>171785</v>
      </c>
      <c r="Y1301" t="s">
        <v>10491</v>
      </c>
      <c r="Z1301" t="s">
        <v>10489</v>
      </c>
      <c r="AA1301" t="s">
        <v>10299</v>
      </c>
      <c r="AB1301" t="s">
        <v>45</v>
      </c>
      <c r="AC1301" t="s">
        <v>10300</v>
      </c>
    </row>
    <row r="1302" spans="1:29">
      <c r="A1302" t="s">
        <v>8728</v>
      </c>
      <c r="B1302" s="1">
        <v>123993</v>
      </c>
      <c r="C1302" t="s">
        <v>421</v>
      </c>
      <c r="D1302" t="s">
        <v>4201</v>
      </c>
      <c r="E1302" s="1">
        <v>-4078</v>
      </c>
      <c r="F1302" t="s">
        <v>1483</v>
      </c>
      <c r="G1302" t="s">
        <v>1598</v>
      </c>
      <c r="H1302" t="s">
        <v>10492</v>
      </c>
      <c r="I1302">
        <v>4</v>
      </c>
      <c r="J1302" t="s">
        <v>10150</v>
      </c>
      <c r="K1302">
        <v>69</v>
      </c>
      <c r="L1302" t="s">
        <v>10493</v>
      </c>
      <c r="M1302" t="s">
        <v>10494</v>
      </c>
      <c r="N1302" t="s">
        <v>10495</v>
      </c>
      <c r="O1302" t="s">
        <v>10298</v>
      </c>
      <c r="P1302" t="s">
        <v>10496</v>
      </c>
      <c r="Q1302" t="s">
        <v>10497</v>
      </c>
      <c r="R1302" t="s">
        <v>10498</v>
      </c>
      <c r="S1302" s="2">
        <v>44939</v>
      </c>
      <c r="T1302" t="s">
        <v>1787</v>
      </c>
      <c r="U1302" t="s">
        <v>10499</v>
      </c>
      <c r="V1302">
        <v>1</v>
      </c>
      <c r="W1302">
        <v>7</v>
      </c>
      <c r="X1302">
        <v>125179</v>
      </c>
      <c r="Y1302" t="s">
        <v>2875</v>
      </c>
      <c r="Z1302" t="s">
        <v>10497</v>
      </c>
      <c r="AA1302" t="s">
        <v>10299</v>
      </c>
      <c r="AB1302" t="s">
        <v>45</v>
      </c>
      <c r="AC1302" t="s">
        <v>10300</v>
      </c>
    </row>
    <row r="1303" spans="1:29">
      <c r="A1303" t="s">
        <v>6682</v>
      </c>
      <c r="B1303" s="1">
        <v>123031</v>
      </c>
      <c r="C1303" t="s">
        <v>1394</v>
      </c>
      <c r="D1303" t="s">
        <v>4201</v>
      </c>
      <c r="E1303" s="1">
        <v>-4285</v>
      </c>
      <c r="F1303" t="s">
        <v>4124</v>
      </c>
      <c r="G1303" t="s">
        <v>945</v>
      </c>
      <c r="H1303" t="s">
        <v>10500</v>
      </c>
      <c r="I1303">
        <v>4</v>
      </c>
      <c r="J1303" t="s">
        <v>396</v>
      </c>
      <c r="K1303">
        <v>69</v>
      </c>
      <c r="L1303" t="s">
        <v>10501</v>
      </c>
      <c r="M1303" t="s">
        <v>10502</v>
      </c>
      <c r="N1303" t="s">
        <v>10503</v>
      </c>
      <c r="O1303" t="s">
        <v>10298</v>
      </c>
      <c r="P1303" t="s">
        <v>10504</v>
      </c>
      <c r="Q1303" t="s">
        <v>10505</v>
      </c>
      <c r="R1303" t="s">
        <v>10503</v>
      </c>
      <c r="S1303" s="2">
        <v>45604</v>
      </c>
      <c r="T1303" t="s">
        <v>4875</v>
      </c>
      <c r="U1303" t="s">
        <v>10506</v>
      </c>
      <c r="V1303">
        <v>0</v>
      </c>
      <c r="W1303">
        <v>10</v>
      </c>
      <c r="X1303">
        <v>146341</v>
      </c>
      <c r="Y1303" t="s">
        <v>10507</v>
      </c>
      <c r="Z1303" t="s">
        <v>10505</v>
      </c>
      <c r="AA1303" t="s">
        <v>10299</v>
      </c>
      <c r="AB1303" t="s">
        <v>45</v>
      </c>
      <c r="AC1303" t="s">
        <v>10300</v>
      </c>
    </row>
    <row r="1304" spans="1:29">
      <c r="A1304" t="s">
        <v>4326</v>
      </c>
      <c r="B1304" s="1">
        <v>127993</v>
      </c>
      <c r="C1304" t="s">
        <v>2814</v>
      </c>
      <c r="D1304" t="s">
        <v>4201</v>
      </c>
      <c r="E1304" s="1">
        <v>-7529</v>
      </c>
      <c r="F1304" t="s">
        <v>1868</v>
      </c>
      <c r="G1304" t="s">
        <v>4044</v>
      </c>
      <c r="H1304" t="s">
        <v>10508</v>
      </c>
      <c r="I1304">
        <v>4</v>
      </c>
      <c r="J1304" t="s">
        <v>189</v>
      </c>
      <c r="K1304">
        <v>69</v>
      </c>
      <c r="L1304" t="s">
        <v>10509</v>
      </c>
      <c r="M1304" t="s">
        <v>10510</v>
      </c>
      <c r="N1304" t="s">
        <v>10511</v>
      </c>
      <c r="O1304" t="s">
        <v>10298</v>
      </c>
      <c r="P1304" t="s">
        <v>10512</v>
      </c>
      <c r="Q1304" t="s">
        <v>10513</v>
      </c>
      <c r="R1304" t="s">
        <v>10511</v>
      </c>
      <c r="S1304" s="2">
        <v>45576</v>
      </c>
      <c r="T1304" t="s">
        <v>8842</v>
      </c>
      <c r="U1304" t="s">
        <v>10514</v>
      </c>
      <c r="V1304">
        <v>1</v>
      </c>
      <c r="W1304">
        <v>7</v>
      </c>
      <c r="X1304">
        <v>146523</v>
      </c>
      <c r="Y1304" t="s">
        <v>10515</v>
      </c>
      <c r="Z1304" t="s">
        <v>10513</v>
      </c>
      <c r="AA1304" t="s">
        <v>10299</v>
      </c>
      <c r="AB1304" t="s">
        <v>45</v>
      </c>
      <c r="AC1304" t="s">
        <v>10300</v>
      </c>
    </row>
    <row r="1305" spans="1:29">
      <c r="A1305" t="s">
        <v>1513</v>
      </c>
      <c r="B1305" s="1">
        <v>124025</v>
      </c>
      <c r="C1305" t="s">
        <v>552</v>
      </c>
      <c r="D1305" t="s">
        <v>4201</v>
      </c>
      <c r="E1305" s="1">
        <v>-4487</v>
      </c>
      <c r="F1305" t="s">
        <v>1167</v>
      </c>
      <c r="G1305" t="s">
        <v>104</v>
      </c>
      <c r="H1305" t="s">
        <v>10516</v>
      </c>
      <c r="I1305">
        <v>4</v>
      </c>
      <c r="J1305" t="s">
        <v>4406</v>
      </c>
      <c r="K1305">
        <v>69</v>
      </c>
      <c r="L1305" t="s">
        <v>10517</v>
      </c>
      <c r="M1305" t="s">
        <v>10518</v>
      </c>
      <c r="N1305" t="s">
        <v>10519</v>
      </c>
      <c r="O1305" t="s">
        <v>10298</v>
      </c>
      <c r="P1305" t="s">
        <v>10520</v>
      </c>
      <c r="Q1305" t="s">
        <v>10521</v>
      </c>
      <c r="R1305" t="s">
        <v>10519</v>
      </c>
      <c r="S1305" s="2">
        <v>44967</v>
      </c>
      <c r="T1305" t="s">
        <v>10522</v>
      </c>
      <c r="U1305" t="s">
        <v>10523</v>
      </c>
      <c r="V1305">
        <v>0</v>
      </c>
      <c r="W1305">
        <v>10</v>
      </c>
      <c r="X1305">
        <v>181957</v>
      </c>
      <c r="Y1305" t="s">
        <v>2929</v>
      </c>
      <c r="Z1305" t="s">
        <v>10521</v>
      </c>
      <c r="AA1305" t="s">
        <v>10299</v>
      </c>
      <c r="AB1305" t="s">
        <v>45</v>
      </c>
      <c r="AC1305" t="s">
        <v>10300</v>
      </c>
    </row>
    <row r="1306" spans="1:29">
      <c r="A1306" t="s">
        <v>915</v>
      </c>
      <c r="B1306" t="s">
        <v>10524</v>
      </c>
      <c r="C1306" t="s">
        <v>1335</v>
      </c>
      <c r="D1306" t="s">
        <v>4201</v>
      </c>
      <c r="E1306" s="1">
        <v>-4853</v>
      </c>
      <c r="F1306" t="s">
        <v>2905</v>
      </c>
      <c r="G1306" t="s">
        <v>1023</v>
      </c>
      <c r="H1306" t="s">
        <v>10525</v>
      </c>
      <c r="I1306">
        <v>4</v>
      </c>
      <c r="J1306" t="s">
        <v>1383</v>
      </c>
      <c r="K1306">
        <v>69</v>
      </c>
      <c r="L1306" t="s">
        <v>10526</v>
      </c>
      <c r="M1306" t="s">
        <v>10527</v>
      </c>
      <c r="N1306" t="s">
        <v>10528</v>
      </c>
      <c r="O1306" t="s">
        <v>10298</v>
      </c>
      <c r="P1306" t="s">
        <v>10529</v>
      </c>
      <c r="Q1306" t="s">
        <v>10530</v>
      </c>
      <c r="R1306" t="s">
        <v>10528</v>
      </c>
      <c r="S1306" s="2">
        <v>45569</v>
      </c>
      <c r="T1306">
        <v>0</v>
      </c>
      <c r="U1306" t="s">
        <v>10531</v>
      </c>
      <c r="V1306">
        <v>0</v>
      </c>
      <c r="W1306">
        <v>7</v>
      </c>
      <c r="X1306">
        <v>155077</v>
      </c>
      <c r="Y1306" t="s">
        <v>5484</v>
      </c>
      <c r="Z1306" t="s">
        <v>10530</v>
      </c>
      <c r="AA1306" t="s">
        <v>10299</v>
      </c>
      <c r="AB1306" t="s">
        <v>45</v>
      </c>
      <c r="AC1306" t="s">
        <v>10300</v>
      </c>
    </row>
    <row r="1307" spans="1:29">
      <c r="A1307" t="s">
        <v>10532</v>
      </c>
      <c r="B1307" s="1">
        <v>127938</v>
      </c>
      <c r="C1307" t="s">
        <v>200</v>
      </c>
      <c r="D1307" t="s">
        <v>4201</v>
      </c>
      <c r="E1307" s="1">
        <v>-8597</v>
      </c>
      <c r="F1307" t="s">
        <v>2650</v>
      </c>
      <c r="G1307" t="s">
        <v>75</v>
      </c>
      <c r="H1307" t="s">
        <v>10533</v>
      </c>
      <c r="I1307">
        <v>4</v>
      </c>
      <c r="J1307" t="s">
        <v>3747</v>
      </c>
      <c r="K1307">
        <v>68</v>
      </c>
      <c r="L1307" t="s">
        <v>10534</v>
      </c>
      <c r="M1307" t="s">
        <v>10535</v>
      </c>
      <c r="N1307" t="s">
        <v>10536</v>
      </c>
      <c r="O1307" t="s">
        <v>10298</v>
      </c>
      <c r="P1307" t="s">
        <v>10537</v>
      </c>
      <c r="Q1307" t="s">
        <v>10538</v>
      </c>
      <c r="R1307" t="s">
        <v>10536</v>
      </c>
      <c r="S1307" s="2">
        <v>45604</v>
      </c>
      <c r="T1307" t="s">
        <v>10539</v>
      </c>
      <c r="U1307" t="s">
        <v>10540</v>
      </c>
      <c r="V1307">
        <v>0</v>
      </c>
      <c r="W1307">
        <v>5</v>
      </c>
      <c r="X1307">
        <v>171094</v>
      </c>
      <c r="Y1307" t="s">
        <v>1313</v>
      </c>
      <c r="Z1307" t="s">
        <v>10538</v>
      </c>
      <c r="AA1307" t="s">
        <v>10299</v>
      </c>
      <c r="AB1307" t="s">
        <v>45</v>
      </c>
      <c r="AC1307" t="s">
        <v>10300</v>
      </c>
    </row>
    <row r="1308" spans="1:29">
      <c r="A1308" t="s">
        <v>5611</v>
      </c>
      <c r="B1308" s="1">
        <v>74973</v>
      </c>
      <c r="C1308" t="s">
        <v>2241</v>
      </c>
      <c r="D1308" t="s">
        <v>4201</v>
      </c>
      <c r="E1308" s="1">
        <v>-3375</v>
      </c>
      <c r="F1308" t="s">
        <v>1840</v>
      </c>
      <c r="G1308" t="s">
        <v>1958</v>
      </c>
      <c r="H1308" t="s">
        <v>10541</v>
      </c>
      <c r="I1308">
        <v>4</v>
      </c>
      <c r="J1308" t="s">
        <v>7663</v>
      </c>
      <c r="K1308">
        <v>68</v>
      </c>
      <c r="L1308" t="s">
        <v>10542</v>
      </c>
      <c r="M1308" t="s">
        <v>10543</v>
      </c>
      <c r="N1308" t="s">
        <v>10544</v>
      </c>
      <c r="O1308" t="s">
        <v>10298</v>
      </c>
      <c r="P1308" t="s">
        <v>10545</v>
      </c>
      <c r="Q1308" t="s">
        <v>10546</v>
      </c>
      <c r="R1308" t="s">
        <v>10544</v>
      </c>
      <c r="S1308" s="2">
        <v>45569</v>
      </c>
      <c r="T1308" t="s">
        <v>10547</v>
      </c>
      <c r="U1308" t="s">
        <v>10548</v>
      </c>
      <c r="V1308">
        <v>0</v>
      </c>
      <c r="W1308">
        <v>9</v>
      </c>
      <c r="X1308">
        <v>152000</v>
      </c>
      <c r="Y1308" t="s">
        <v>82</v>
      </c>
      <c r="Z1308" t="s">
        <v>10546</v>
      </c>
      <c r="AA1308" t="s">
        <v>10299</v>
      </c>
      <c r="AB1308" t="s">
        <v>45</v>
      </c>
      <c r="AC1308" t="s">
        <v>10300</v>
      </c>
    </row>
    <row r="1309" spans="1:29">
      <c r="A1309" t="s">
        <v>2529</v>
      </c>
      <c r="B1309" s="1">
        <v>130085</v>
      </c>
      <c r="C1309" t="s">
        <v>4079</v>
      </c>
      <c r="D1309" t="s">
        <v>4201</v>
      </c>
      <c r="E1309" t="s">
        <v>10549</v>
      </c>
      <c r="F1309" t="s">
        <v>10550</v>
      </c>
      <c r="G1309" t="s">
        <v>2832</v>
      </c>
      <c r="H1309" t="s">
        <v>10551</v>
      </c>
      <c r="I1309">
        <v>4</v>
      </c>
      <c r="J1309" t="s">
        <v>6051</v>
      </c>
      <c r="K1309">
        <v>68</v>
      </c>
      <c r="L1309" t="s">
        <v>10552</v>
      </c>
      <c r="M1309" t="s">
        <v>10553</v>
      </c>
      <c r="N1309" t="s">
        <v>10554</v>
      </c>
      <c r="O1309" t="s">
        <v>10298</v>
      </c>
      <c r="P1309" t="s">
        <v>10555</v>
      </c>
      <c r="Q1309" t="s">
        <v>10556</v>
      </c>
      <c r="R1309" t="s">
        <v>10554</v>
      </c>
      <c r="S1309" s="2">
        <v>45303</v>
      </c>
      <c r="T1309" t="s">
        <v>10557</v>
      </c>
      <c r="U1309" t="s">
        <v>10558</v>
      </c>
      <c r="V1309">
        <v>1</v>
      </c>
      <c r="W1309">
        <v>7</v>
      </c>
      <c r="X1309">
        <v>144649</v>
      </c>
      <c r="Y1309" t="s">
        <v>7188</v>
      </c>
      <c r="Z1309" t="s">
        <v>10556</v>
      </c>
      <c r="AA1309" t="s">
        <v>10299</v>
      </c>
      <c r="AB1309" t="s">
        <v>45</v>
      </c>
      <c r="AC1309" t="s">
        <v>10300</v>
      </c>
    </row>
    <row r="1310" spans="1:29">
      <c r="A1310" t="s">
        <v>2030</v>
      </c>
      <c r="B1310" s="1">
        <v>126056</v>
      </c>
      <c r="C1310" t="s">
        <v>108</v>
      </c>
      <c r="D1310" t="s">
        <v>4201</v>
      </c>
      <c r="E1310" s="1">
        <v>-3681</v>
      </c>
      <c r="F1310" t="s">
        <v>1606</v>
      </c>
      <c r="G1310" t="s">
        <v>892</v>
      </c>
      <c r="H1310" t="s">
        <v>10559</v>
      </c>
      <c r="I1310">
        <v>4</v>
      </c>
      <c r="J1310" t="s">
        <v>10560</v>
      </c>
      <c r="K1310">
        <v>68</v>
      </c>
      <c r="L1310" t="s">
        <v>10561</v>
      </c>
      <c r="M1310" t="s">
        <v>10562</v>
      </c>
      <c r="N1310" t="s">
        <v>10563</v>
      </c>
      <c r="O1310" t="s">
        <v>10298</v>
      </c>
      <c r="P1310" t="s">
        <v>10564</v>
      </c>
      <c r="Q1310" t="s">
        <v>10565</v>
      </c>
      <c r="R1310" t="s">
        <v>10563</v>
      </c>
      <c r="S1310" s="2">
        <v>45324</v>
      </c>
      <c r="T1310" t="s">
        <v>6971</v>
      </c>
      <c r="U1310" t="s">
        <v>10566</v>
      </c>
      <c r="V1310">
        <v>1</v>
      </c>
      <c r="W1310">
        <v>0</v>
      </c>
      <c r="X1310">
        <v>170359</v>
      </c>
      <c r="Y1310" t="s">
        <v>5680</v>
      </c>
      <c r="Z1310" t="s">
        <v>10565</v>
      </c>
      <c r="AA1310" t="s">
        <v>10299</v>
      </c>
      <c r="AB1310" t="s">
        <v>45</v>
      </c>
      <c r="AC1310" t="s">
        <v>10300</v>
      </c>
    </row>
    <row r="1311" spans="1:29">
      <c r="A1311" t="s">
        <v>4735</v>
      </c>
      <c r="B1311" s="1">
        <v>119984</v>
      </c>
      <c r="C1311" t="s">
        <v>3114</v>
      </c>
      <c r="D1311" t="s">
        <v>4201</v>
      </c>
      <c r="E1311" s="1">
        <v>-5468</v>
      </c>
      <c r="F1311" t="s">
        <v>5036</v>
      </c>
      <c r="G1311" t="s">
        <v>4958</v>
      </c>
      <c r="H1311" t="s">
        <v>10567</v>
      </c>
      <c r="I1311">
        <v>4</v>
      </c>
      <c r="J1311" t="s">
        <v>6757</v>
      </c>
      <c r="K1311">
        <v>68</v>
      </c>
      <c r="L1311" t="s">
        <v>10568</v>
      </c>
      <c r="M1311" t="s">
        <v>10569</v>
      </c>
      <c r="N1311" t="s">
        <v>10570</v>
      </c>
      <c r="O1311" t="s">
        <v>10298</v>
      </c>
      <c r="P1311" t="s">
        <v>10571</v>
      </c>
      <c r="Q1311" t="s">
        <v>10572</v>
      </c>
      <c r="R1311" t="s">
        <v>10570</v>
      </c>
      <c r="S1311" s="2">
        <v>45415</v>
      </c>
      <c r="T1311" t="s">
        <v>10573</v>
      </c>
      <c r="U1311" t="s">
        <v>10574</v>
      </c>
      <c r="V1311">
        <v>0</v>
      </c>
      <c r="W1311">
        <v>5</v>
      </c>
      <c r="X1311">
        <v>227283</v>
      </c>
      <c r="Y1311" t="s">
        <v>5354</v>
      </c>
      <c r="Z1311" t="s">
        <v>10572</v>
      </c>
      <c r="AA1311" t="s">
        <v>10299</v>
      </c>
      <c r="AB1311" t="s">
        <v>45</v>
      </c>
      <c r="AC1311" t="s">
        <v>10300</v>
      </c>
    </row>
    <row r="1312" spans="1:29">
      <c r="A1312" t="s">
        <v>2571</v>
      </c>
      <c r="B1312" s="1">
        <v>75066</v>
      </c>
      <c r="C1312" t="s">
        <v>4781</v>
      </c>
      <c r="D1312" t="s">
        <v>4201</v>
      </c>
      <c r="E1312" s="1">
        <v>-6869</v>
      </c>
      <c r="F1312" t="s">
        <v>956</v>
      </c>
      <c r="G1312" t="s">
        <v>96</v>
      </c>
      <c r="H1312" t="s">
        <v>4782</v>
      </c>
      <c r="I1312">
        <v>4</v>
      </c>
      <c r="J1312" t="s">
        <v>4783</v>
      </c>
      <c r="K1312">
        <v>70</v>
      </c>
      <c r="L1312" t="s">
        <v>4784</v>
      </c>
      <c r="M1312" t="s">
        <v>4785</v>
      </c>
      <c r="N1312" t="s">
        <v>4786</v>
      </c>
      <c r="O1312" t="s">
        <v>10575</v>
      </c>
      <c r="P1312" t="s">
        <v>4787</v>
      </c>
      <c r="Q1312" t="s">
        <v>4788</v>
      </c>
      <c r="R1312" t="s">
        <v>4789</v>
      </c>
      <c r="S1312" s="2">
        <v>41428</v>
      </c>
      <c r="T1312" t="s">
        <v>4790</v>
      </c>
      <c r="U1312" t="s">
        <v>4791</v>
      </c>
      <c r="V1312">
        <v>0</v>
      </c>
      <c r="W1312">
        <v>10</v>
      </c>
      <c r="X1312">
        <v>282813</v>
      </c>
      <c r="Y1312" t="s">
        <v>4004</v>
      </c>
      <c r="Z1312" t="s">
        <v>4788</v>
      </c>
      <c r="AA1312" t="s">
        <v>10576</v>
      </c>
      <c r="AB1312" t="s">
        <v>45</v>
      </c>
      <c r="AC1312" t="s">
        <v>10577</v>
      </c>
    </row>
    <row r="1313" spans="1:29">
      <c r="A1313" t="s">
        <v>1865</v>
      </c>
      <c r="B1313" s="1">
        <v>100001</v>
      </c>
      <c r="C1313" t="s">
        <v>2683</v>
      </c>
      <c r="D1313" t="s">
        <v>4201</v>
      </c>
      <c r="E1313" s="1">
        <v>-7055</v>
      </c>
      <c r="F1313" t="s">
        <v>4712</v>
      </c>
      <c r="G1313" t="s">
        <v>349</v>
      </c>
      <c r="H1313" t="s">
        <v>4713</v>
      </c>
      <c r="I1313">
        <v>4</v>
      </c>
      <c r="J1313" t="s">
        <v>4714</v>
      </c>
      <c r="K1313">
        <v>71</v>
      </c>
      <c r="L1313" t="s">
        <v>4715</v>
      </c>
      <c r="M1313" t="s">
        <v>4716</v>
      </c>
      <c r="N1313" t="s">
        <v>4717</v>
      </c>
      <c r="O1313" t="s">
        <v>10575</v>
      </c>
      <c r="P1313" t="s">
        <v>4718</v>
      </c>
      <c r="Q1313" t="s">
        <v>4719</v>
      </c>
      <c r="R1313" t="s">
        <v>4717</v>
      </c>
      <c r="S1313" s="2">
        <v>42171</v>
      </c>
      <c r="T1313" t="s">
        <v>4720</v>
      </c>
      <c r="U1313" t="s">
        <v>4721</v>
      </c>
      <c r="V1313">
        <v>1</v>
      </c>
      <c r="W1313">
        <v>4</v>
      </c>
      <c r="X1313">
        <v>226739</v>
      </c>
      <c r="Y1313" t="s">
        <v>4722</v>
      </c>
      <c r="Z1313" t="s">
        <v>4719</v>
      </c>
      <c r="AA1313" t="s">
        <v>10576</v>
      </c>
      <c r="AB1313" t="s">
        <v>45</v>
      </c>
      <c r="AC1313" t="s">
        <v>10577</v>
      </c>
    </row>
    <row r="1314" spans="1:29">
      <c r="A1314" t="s">
        <v>1652</v>
      </c>
      <c r="B1314" t="s">
        <v>10578</v>
      </c>
      <c r="C1314" t="s">
        <v>2240</v>
      </c>
      <c r="D1314" t="s">
        <v>4201</v>
      </c>
      <c r="E1314" s="1">
        <v>-3739</v>
      </c>
      <c r="F1314" t="s">
        <v>1596</v>
      </c>
      <c r="G1314" t="s">
        <v>948</v>
      </c>
      <c r="H1314" t="s">
        <v>10579</v>
      </c>
      <c r="I1314">
        <v>4</v>
      </c>
      <c r="J1314" t="s">
        <v>1564</v>
      </c>
      <c r="K1314">
        <v>68</v>
      </c>
      <c r="L1314" t="s">
        <v>10580</v>
      </c>
      <c r="M1314" t="s">
        <v>10581</v>
      </c>
      <c r="N1314" t="s">
        <v>10582</v>
      </c>
      <c r="O1314" t="s">
        <v>10575</v>
      </c>
      <c r="P1314" t="s">
        <v>10583</v>
      </c>
      <c r="Q1314" t="s">
        <v>10584</v>
      </c>
      <c r="R1314" t="s">
        <v>10582</v>
      </c>
      <c r="S1314" s="2">
        <v>42503</v>
      </c>
      <c r="T1314" t="s">
        <v>10585</v>
      </c>
      <c r="U1314" t="s">
        <v>10586</v>
      </c>
      <c r="V1314">
        <v>1</v>
      </c>
      <c r="W1314">
        <v>2</v>
      </c>
      <c r="X1314">
        <v>273803</v>
      </c>
      <c r="Y1314" t="s">
        <v>2425</v>
      </c>
      <c r="Z1314" t="s">
        <v>10584</v>
      </c>
      <c r="AA1314" t="s">
        <v>10576</v>
      </c>
      <c r="AB1314" t="s">
        <v>45</v>
      </c>
      <c r="AC1314" t="s">
        <v>10577</v>
      </c>
    </row>
    <row r="1315" spans="1:29">
      <c r="A1315" t="s">
        <v>1050</v>
      </c>
      <c r="B1315" t="s">
        <v>9110</v>
      </c>
      <c r="C1315" t="s">
        <v>3073</v>
      </c>
      <c r="D1315" t="s">
        <v>4201</v>
      </c>
      <c r="E1315" s="1">
        <v>-6432</v>
      </c>
      <c r="F1315" t="s">
        <v>1211</v>
      </c>
      <c r="G1315" t="s">
        <v>4177</v>
      </c>
      <c r="H1315" t="s">
        <v>10284</v>
      </c>
      <c r="I1315">
        <v>4</v>
      </c>
      <c r="J1315" t="s">
        <v>4177</v>
      </c>
      <c r="K1315">
        <v>72</v>
      </c>
      <c r="L1315" t="s">
        <v>10285</v>
      </c>
      <c r="M1315" t="s">
        <v>10286</v>
      </c>
      <c r="N1315" t="s">
        <v>10287</v>
      </c>
      <c r="O1315" t="s">
        <v>10587</v>
      </c>
      <c r="P1315" t="s">
        <v>10288</v>
      </c>
      <c r="Q1315" t="s">
        <v>10289</v>
      </c>
      <c r="R1315" t="s">
        <v>10287</v>
      </c>
      <c r="S1315" s="2">
        <v>45016</v>
      </c>
      <c r="T1315" t="s">
        <v>2210</v>
      </c>
      <c r="U1315" t="s">
        <v>10290</v>
      </c>
      <c r="V1315">
        <v>0</v>
      </c>
      <c r="W1315">
        <v>9</v>
      </c>
      <c r="X1315">
        <v>140000</v>
      </c>
      <c r="Y1315" t="s">
        <v>188</v>
      </c>
      <c r="Z1315" t="s">
        <v>10289</v>
      </c>
      <c r="AA1315" t="s">
        <v>10588</v>
      </c>
      <c r="AB1315" t="s">
        <v>45</v>
      </c>
      <c r="AC1315" t="s">
        <v>10589</v>
      </c>
    </row>
    <row r="1316" spans="1:29">
      <c r="A1316" t="s">
        <v>1607</v>
      </c>
      <c r="B1316" s="1">
        <v>81109</v>
      </c>
      <c r="C1316" t="s">
        <v>3888</v>
      </c>
      <c r="D1316" t="s">
        <v>3029</v>
      </c>
      <c r="E1316" s="1">
        <v>-8195</v>
      </c>
      <c r="F1316" t="s">
        <v>2261</v>
      </c>
      <c r="G1316" t="s">
        <v>5448</v>
      </c>
      <c r="H1316" t="s">
        <v>10590</v>
      </c>
      <c r="I1316">
        <v>4</v>
      </c>
      <c r="J1316" t="s">
        <v>1000</v>
      </c>
      <c r="K1316">
        <v>71</v>
      </c>
      <c r="L1316" t="s">
        <v>10591</v>
      </c>
      <c r="M1316" t="s">
        <v>10592</v>
      </c>
      <c r="N1316" t="s">
        <v>10593</v>
      </c>
      <c r="O1316" t="s">
        <v>10594</v>
      </c>
      <c r="P1316" t="s">
        <v>10595</v>
      </c>
      <c r="Q1316" t="s">
        <v>10596</v>
      </c>
      <c r="R1316" t="s">
        <v>10597</v>
      </c>
      <c r="S1316" s="2">
        <v>36161</v>
      </c>
      <c r="T1316">
        <v>0</v>
      </c>
      <c r="U1316" t="s">
        <v>10598</v>
      </c>
      <c r="V1316">
        <v>0</v>
      </c>
      <c r="W1316">
        <v>11</v>
      </c>
      <c r="X1316">
        <v>216107</v>
      </c>
      <c r="Y1316" t="s">
        <v>252</v>
      </c>
      <c r="Z1316" t="s">
        <v>10596</v>
      </c>
      <c r="AA1316" t="s">
        <v>10599</v>
      </c>
      <c r="AB1316" t="s">
        <v>45</v>
      </c>
      <c r="AC1316" t="s">
        <v>10600</v>
      </c>
    </row>
    <row r="1317" spans="1:29">
      <c r="A1317" t="s">
        <v>2570</v>
      </c>
      <c r="B1317" s="1">
        <v>90941</v>
      </c>
      <c r="C1317" t="s">
        <v>5317</v>
      </c>
      <c r="D1317" t="s">
        <v>3029</v>
      </c>
      <c r="E1317" s="1">
        <v>-9097</v>
      </c>
      <c r="F1317" t="s">
        <v>1606</v>
      </c>
      <c r="G1317" t="s">
        <v>1098</v>
      </c>
      <c r="H1317" t="s">
        <v>10590</v>
      </c>
      <c r="I1317">
        <v>4</v>
      </c>
      <c r="J1317" t="s">
        <v>9281</v>
      </c>
      <c r="K1317">
        <v>68</v>
      </c>
      <c r="L1317" t="s">
        <v>10601</v>
      </c>
      <c r="M1317" t="s">
        <v>10602</v>
      </c>
      <c r="N1317" t="s">
        <v>10593</v>
      </c>
      <c r="O1317" t="s">
        <v>10594</v>
      </c>
      <c r="P1317" t="s">
        <v>10603</v>
      </c>
      <c r="Q1317" t="s">
        <v>10604</v>
      </c>
      <c r="R1317" t="s">
        <v>10605</v>
      </c>
      <c r="S1317" s="2">
        <v>36161</v>
      </c>
      <c r="T1317">
        <v>0</v>
      </c>
      <c r="U1317" t="s">
        <v>10598</v>
      </c>
      <c r="V1317">
        <v>1</v>
      </c>
      <c r="W1317">
        <v>0</v>
      </c>
      <c r="X1317">
        <v>181307</v>
      </c>
      <c r="Y1317" t="s">
        <v>133</v>
      </c>
      <c r="Z1317" t="s">
        <v>10604</v>
      </c>
      <c r="AA1317" t="s">
        <v>10599</v>
      </c>
      <c r="AB1317" t="s">
        <v>45</v>
      </c>
      <c r="AC1317" t="s">
        <v>10600</v>
      </c>
    </row>
    <row r="1318" spans="1:29">
      <c r="A1318" t="s">
        <v>4122</v>
      </c>
      <c r="B1318" s="1">
        <v>80096</v>
      </c>
      <c r="C1318" t="s">
        <v>1121</v>
      </c>
      <c r="D1318" t="s">
        <v>3029</v>
      </c>
      <c r="E1318" s="1">
        <v>-8874</v>
      </c>
      <c r="F1318" t="s">
        <v>7099</v>
      </c>
      <c r="G1318" t="s">
        <v>1023</v>
      </c>
      <c r="H1318" t="s">
        <v>10606</v>
      </c>
      <c r="I1318">
        <v>4</v>
      </c>
      <c r="J1318" t="s">
        <v>8417</v>
      </c>
      <c r="K1318">
        <v>73</v>
      </c>
      <c r="L1318" t="s">
        <v>10607</v>
      </c>
      <c r="M1318" t="s">
        <v>10608</v>
      </c>
      <c r="N1318" t="s">
        <v>10609</v>
      </c>
      <c r="O1318" t="s">
        <v>10594</v>
      </c>
      <c r="P1318" t="s">
        <v>10610</v>
      </c>
      <c r="Q1318" t="s">
        <v>10611</v>
      </c>
      <c r="R1318" t="s">
        <v>10612</v>
      </c>
      <c r="S1318" s="2">
        <v>35065</v>
      </c>
      <c r="T1318">
        <v>0</v>
      </c>
      <c r="U1318" t="s">
        <v>10613</v>
      </c>
      <c r="V1318">
        <v>1</v>
      </c>
      <c r="W1318">
        <v>10</v>
      </c>
      <c r="X1318">
        <v>177040</v>
      </c>
      <c r="Y1318" t="s">
        <v>2751</v>
      </c>
      <c r="Z1318" t="s">
        <v>10611</v>
      </c>
      <c r="AA1318" t="s">
        <v>10599</v>
      </c>
      <c r="AB1318" t="s">
        <v>45</v>
      </c>
      <c r="AC1318" t="s">
        <v>10600</v>
      </c>
    </row>
    <row r="1319" spans="1:29">
      <c r="A1319" t="s">
        <v>489</v>
      </c>
      <c r="B1319" t="s">
        <v>620</v>
      </c>
      <c r="C1319" t="s">
        <v>621</v>
      </c>
      <c r="D1319" t="s">
        <v>3029</v>
      </c>
      <c r="E1319" s="1">
        <v>-3574</v>
      </c>
      <c r="F1319" t="s">
        <v>582</v>
      </c>
      <c r="G1319" t="s">
        <v>622</v>
      </c>
      <c r="H1319" t="s">
        <v>623</v>
      </c>
      <c r="I1319">
        <v>4</v>
      </c>
      <c r="J1319" t="s">
        <v>624</v>
      </c>
      <c r="K1319">
        <v>84</v>
      </c>
      <c r="L1319" t="s">
        <v>625</v>
      </c>
      <c r="M1319" t="s">
        <v>626</v>
      </c>
      <c r="N1319">
        <v>57</v>
      </c>
      <c r="O1319" t="s">
        <v>10614</v>
      </c>
      <c r="P1319" t="s">
        <v>627</v>
      </c>
      <c r="Q1319" t="s">
        <v>628</v>
      </c>
      <c r="R1319">
        <v>57</v>
      </c>
      <c r="S1319" s="2">
        <v>45604</v>
      </c>
      <c r="T1319">
        <v>0</v>
      </c>
      <c r="U1319" t="s">
        <v>629</v>
      </c>
      <c r="V1319">
        <v>0</v>
      </c>
      <c r="W1319">
        <v>1</v>
      </c>
      <c r="X1319">
        <v>298131</v>
      </c>
      <c r="Y1319" t="s">
        <v>363</v>
      </c>
      <c r="Z1319" t="s">
        <v>628</v>
      </c>
      <c r="AA1319" t="s">
        <v>10615</v>
      </c>
      <c r="AB1319" t="s">
        <v>45</v>
      </c>
      <c r="AC1319" t="s">
        <v>10616</v>
      </c>
    </row>
    <row r="1320" spans="1:29">
      <c r="A1320" t="s">
        <v>580</v>
      </c>
      <c r="B1320" s="1">
        <v>99998</v>
      </c>
      <c r="C1320" t="s">
        <v>332</v>
      </c>
      <c r="D1320" t="s">
        <v>3029</v>
      </c>
      <c r="E1320" s="1">
        <v>-5277</v>
      </c>
      <c r="F1320" t="s">
        <v>331</v>
      </c>
      <c r="G1320" t="s">
        <v>3073</v>
      </c>
      <c r="H1320" t="s">
        <v>10617</v>
      </c>
      <c r="I1320">
        <v>4</v>
      </c>
      <c r="J1320" t="s">
        <v>1842</v>
      </c>
      <c r="K1320">
        <v>73</v>
      </c>
      <c r="L1320" t="s">
        <v>10618</v>
      </c>
      <c r="M1320" t="s">
        <v>10619</v>
      </c>
      <c r="N1320" t="s">
        <v>10620</v>
      </c>
      <c r="O1320" t="s">
        <v>10614</v>
      </c>
      <c r="P1320" t="s">
        <v>10621</v>
      </c>
      <c r="Q1320" t="s">
        <v>10622</v>
      </c>
      <c r="R1320" t="s">
        <v>10620</v>
      </c>
      <c r="S1320" s="2">
        <v>45450</v>
      </c>
      <c r="T1320">
        <v>0</v>
      </c>
      <c r="U1320" t="s">
        <v>10623</v>
      </c>
      <c r="V1320">
        <v>0</v>
      </c>
      <c r="W1320">
        <v>8</v>
      </c>
      <c r="X1320">
        <v>230526</v>
      </c>
      <c r="Y1320" t="s">
        <v>1525</v>
      </c>
      <c r="Z1320" t="s">
        <v>10622</v>
      </c>
      <c r="AA1320" t="s">
        <v>10615</v>
      </c>
      <c r="AB1320" t="s">
        <v>45</v>
      </c>
      <c r="AC1320" t="s">
        <v>10616</v>
      </c>
    </row>
    <row r="1321" spans="1:29">
      <c r="A1321" t="s">
        <v>1177</v>
      </c>
      <c r="B1321" s="1">
        <v>100025</v>
      </c>
      <c r="C1321" t="s">
        <v>1338</v>
      </c>
      <c r="D1321" t="s">
        <v>3029</v>
      </c>
      <c r="E1321" s="1">
        <v>-7426</v>
      </c>
      <c r="F1321" t="s">
        <v>6334</v>
      </c>
      <c r="G1321" t="s">
        <v>2374</v>
      </c>
      <c r="H1321" t="s">
        <v>3124</v>
      </c>
      <c r="I1321">
        <v>4</v>
      </c>
      <c r="J1321" t="s">
        <v>10624</v>
      </c>
      <c r="K1321">
        <v>83</v>
      </c>
      <c r="L1321" t="s">
        <v>10625</v>
      </c>
      <c r="M1321" t="s">
        <v>10626</v>
      </c>
      <c r="N1321" t="s">
        <v>10627</v>
      </c>
      <c r="O1321" t="s">
        <v>10614</v>
      </c>
      <c r="P1321" t="s">
        <v>10628</v>
      </c>
      <c r="Q1321" t="s">
        <v>10629</v>
      </c>
      <c r="R1321" t="s">
        <v>3127</v>
      </c>
      <c r="S1321" s="2">
        <v>45513</v>
      </c>
      <c r="T1321" t="s">
        <v>10630</v>
      </c>
      <c r="U1321" t="s">
        <v>10631</v>
      </c>
      <c r="V1321">
        <v>0</v>
      </c>
      <c r="W1321">
        <v>6</v>
      </c>
      <c r="X1321">
        <v>134930</v>
      </c>
      <c r="Y1321" t="s">
        <v>4007</v>
      </c>
      <c r="Z1321" t="s">
        <v>10629</v>
      </c>
      <c r="AA1321" t="s">
        <v>10615</v>
      </c>
      <c r="AB1321" t="s">
        <v>45</v>
      </c>
      <c r="AC1321" t="s">
        <v>10616</v>
      </c>
    </row>
    <row r="1322" spans="1:29">
      <c r="A1322" t="s">
        <v>2711</v>
      </c>
      <c r="B1322" s="1">
        <v>104008</v>
      </c>
      <c r="C1322" t="s">
        <v>3206</v>
      </c>
      <c r="D1322" t="s">
        <v>3029</v>
      </c>
      <c r="E1322" s="1">
        <v>-4516</v>
      </c>
      <c r="F1322" t="s">
        <v>2929</v>
      </c>
      <c r="G1322" t="s">
        <v>969</v>
      </c>
      <c r="H1322" t="s">
        <v>3207</v>
      </c>
      <c r="I1322">
        <v>4</v>
      </c>
      <c r="J1322" t="s">
        <v>3208</v>
      </c>
      <c r="K1322">
        <v>72</v>
      </c>
      <c r="L1322" t="s">
        <v>3209</v>
      </c>
      <c r="M1322" t="s">
        <v>3210</v>
      </c>
      <c r="N1322" t="s">
        <v>3211</v>
      </c>
      <c r="O1322" t="s">
        <v>10614</v>
      </c>
      <c r="P1322" t="s">
        <v>3212</v>
      </c>
      <c r="Q1322" t="s">
        <v>3213</v>
      </c>
      <c r="R1322" t="s">
        <v>3214</v>
      </c>
      <c r="S1322" s="2">
        <v>45526</v>
      </c>
      <c r="T1322" t="s">
        <v>3215</v>
      </c>
      <c r="U1322" t="s">
        <v>3216</v>
      </c>
      <c r="V1322">
        <v>1</v>
      </c>
      <c r="W1322">
        <v>0</v>
      </c>
      <c r="X1322">
        <v>190107</v>
      </c>
      <c r="Y1322" t="s">
        <v>3077</v>
      </c>
      <c r="Z1322" t="s">
        <v>3213</v>
      </c>
      <c r="AA1322" t="s">
        <v>10615</v>
      </c>
      <c r="AB1322" t="s">
        <v>45</v>
      </c>
      <c r="AC1322" t="s">
        <v>10616</v>
      </c>
    </row>
    <row r="1323" spans="1:29">
      <c r="A1323" t="s">
        <v>4859</v>
      </c>
      <c r="B1323" s="1">
        <v>117994</v>
      </c>
      <c r="C1323" t="s">
        <v>80</v>
      </c>
      <c r="D1323" t="s">
        <v>3029</v>
      </c>
      <c r="E1323" t="s">
        <v>10632</v>
      </c>
      <c r="F1323" t="s">
        <v>582</v>
      </c>
      <c r="G1323" t="s">
        <v>4956</v>
      </c>
      <c r="H1323" t="s">
        <v>10633</v>
      </c>
      <c r="I1323">
        <v>4</v>
      </c>
      <c r="J1323" t="s">
        <v>10277</v>
      </c>
      <c r="K1323">
        <v>77</v>
      </c>
      <c r="L1323" t="s">
        <v>10634</v>
      </c>
      <c r="M1323" t="s">
        <v>10635</v>
      </c>
      <c r="N1323" t="s">
        <v>10636</v>
      </c>
      <c r="O1323" t="s">
        <v>10614</v>
      </c>
      <c r="P1323" t="s">
        <v>10637</v>
      </c>
      <c r="Q1323" t="s">
        <v>10638</v>
      </c>
      <c r="R1323" t="s">
        <v>10636</v>
      </c>
      <c r="S1323" s="2">
        <v>45407</v>
      </c>
      <c r="T1323" t="s">
        <v>10639</v>
      </c>
      <c r="U1323" t="s">
        <v>10640</v>
      </c>
      <c r="V1323">
        <v>0</v>
      </c>
      <c r="W1323">
        <v>10</v>
      </c>
      <c r="X1323">
        <v>278644</v>
      </c>
      <c r="Y1323" t="s">
        <v>1320</v>
      </c>
      <c r="Z1323" t="s">
        <v>10638</v>
      </c>
      <c r="AA1323" t="s">
        <v>10615</v>
      </c>
      <c r="AB1323" t="s">
        <v>45</v>
      </c>
      <c r="AC1323" t="s">
        <v>10616</v>
      </c>
    </row>
    <row r="1324" spans="1:29">
      <c r="A1324" t="s">
        <v>2098</v>
      </c>
      <c r="B1324" s="1">
        <v>167985</v>
      </c>
      <c r="C1324" t="s">
        <v>3114</v>
      </c>
      <c r="D1324" t="s">
        <v>3029</v>
      </c>
      <c r="E1324" s="1">
        <v>-7117</v>
      </c>
      <c r="F1324" t="s">
        <v>10641</v>
      </c>
      <c r="G1324" t="s">
        <v>225</v>
      </c>
      <c r="H1324" t="s">
        <v>10642</v>
      </c>
      <c r="I1324">
        <v>4</v>
      </c>
      <c r="J1324" t="s">
        <v>10643</v>
      </c>
      <c r="K1324">
        <v>71</v>
      </c>
      <c r="L1324" t="s">
        <v>10644</v>
      </c>
      <c r="M1324" t="s">
        <v>10645</v>
      </c>
      <c r="N1324" t="s">
        <v>10646</v>
      </c>
      <c r="O1324" t="s">
        <v>10614</v>
      </c>
      <c r="P1324" t="s">
        <v>10647</v>
      </c>
      <c r="Q1324" t="s">
        <v>10648</v>
      </c>
      <c r="R1324" t="s">
        <v>10649</v>
      </c>
      <c r="S1324" s="2">
        <v>45166</v>
      </c>
      <c r="T1324" t="s">
        <v>10650</v>
      </c>
      <c r="U1324" t="s">
        <v>10651</v>
      </c>
      <c r="V1324">
        <v>1</v>
      </c>
      <c r="W1324">
        <v>10</v>
      </c>
      <c r="X1324">
        <v>211879</v>
      </c>
      <c r="Y1324" t="s">
        <v>2219</v>
      </c>
      <c r="Z1324" t="s">
        <v>10648</v>
      </c>
      <c r="AA1324" t="s">
        <v>10615</v>
      </c>
      <c r="AB1324" t="s">
        <v>45</v>
      </c>
      <c r="AC1324" t="s">
        <v>10616</v>
      </c>
    </row>
    <row r="1325" spans="1:29">
      <c r="A1325" t="s">
        <v>4626</v>
      </c>
      <c r="B1325" s="1">
        <v>96057</v>
      </c>
      <c r="C1325" t="s">
        <v>1825</v>
      </c>
      <c r="D1325" t="s">
        <v>3029</v>
      </c>
      <c r="E1325" s="1">
        <v>-2248</v>
      </c>
      <c r="F1325" t="s">
        <v>2776</v>
      </c>
      <c r="G1325" t="s">
        <v>878</v>
      </c>
      <c r="H1325" t="s">
        <v>6635</v>
      </c>
      <c r="I1325">
        <v>4</v>
      </c>
      <c r="J1325" t="s">
        <v>1667</v>
      </c>
      <c r="K1325">
        <v>84</v>
      </c>
      <c r="L1325" t="s">
        <v>6636</v>
      </c>
      <c r="M1325" t="s">
        <v>6637</v>
      </c>
      <c r="N1325" t="s">
        <v>6638</v>
      </c>
      <c r="O1325" t="s">
        <v>10614</v>
      </c>
      <c r="P1325" t="s">
        <v>6639</v>
      </c>
      <c r="Q1325" t="s">
        <v>6640</v>
      </c>
      <c r="R1325" t="s">
        <v>6641</v>
      </c>
      <c r="S1325" s="2">
        <v>45212</v>
      </c>
      <c r="T1325" t="s">
        <v>6642</v>
      </c>
      <c r="U1325" t="s">
        <v>6643</v>
      </c>
      <c r="V1325">
        <v>1</v>
      </c>
      <c r="W1325">
        <v>5</v>
      </c>
      <c r="X1325">
        <v>162768</v>
      </c>
      <c r="Y1325" t="s">
        <v>4185</v>
      </c>
      <c r="Z1325" t="s">
        <v>6640</v>
      </c>
      <c r="AA1325" t="s">
        <v>10615</v>
      </c>
      <c r="AB1325" t="s">
        <v>45</v>
      </c>
      <c r="AC1325" t="s">
        <v>10616</v>
      </c>
    </row>
    <row r="1326" spans="1:29">
      <c r="A1326" t="s">
        <v>461</v>
      </c>
      <c r="B1326" s="1">
        <v>119935</v>
      </c>
      <c r="C1326" t="s">
        <v>1712</v>
      </c>
      <c r="D1326" t="s">
        <v>3029</v>
      </c>
      <c r="E1326" s="1">
        <v>-5605</v>
      </c>
      <c r="F1326" t="s">
        <v>710</v>
      </c>
      <c r="G1326" t="s">
        <v>360</v>
      </c>
      <c r="H1326" t="s">
        <v>10652</v>
      </c>
      <c r="I1326">
        <v>4</v>
      </c>
      <c r="J1326" t="s">
        <v>6741</v>
      </c>
      <c r="K1326">
        <v>70</v>
      </c>
      <c r="L1326" t="s">
        <v>10653</v>
      </c>
      <c r="M1326" t="s">
        <v>10654</v>
      </c>
      <c r="N1326" t="s">
        <v>6638</v>
      </c>
      <c r="O1326" t="s">
        <v>10614</v>
      </c>
      <c r="P1326" t="s">
        <v>10655</v>
      </c>
      <c r="Q1326" t="s">
        <v>10656</v>
      </c>
      <c r="R1326" t="s">
        <v>10657</v>
      </c>
      <c r="S1326" s="2">
        <v>45212</v>
      </c>
      <c r="T1326">
        <v>0</v>
      </c>
      <c r="U1326" t="s">
        <v>6643</v>
      </c>
      <c r="V1326">
        <v>0</v>
      </c>
      <c r="W1326">
        <v>6</v>
      </c>
      <c r="X1326">
        <v>208000</v>
      </c>
      <c r="Y1326" t="s">
        <v>215</v>
      </c>
      <c r="Z1326" t="s">
        <v>10656</v>
      </c>
      <c r="AA1326" t="s">
        <v>10615</v>
      </c>
      <c r="AB1326" t="s">
        <v>45</v>
      </c>
      <c r="AC1326" t="s">
        <v>10616</v>
      </c>
    </row>
    <row r="1327" spans="1:29">
      <c r="A1327" t="s">
        <v>3613</v>
      </c>
      <c r="B1327" s="1">
        <v>139056</v>
      </c>
      <c r="C1327" t="s">
        <v>250</v>
      </c>
      <c r="D1327" t="s">
        <v>3029</v>
      </c>
      <c r="E1327" s="1">
        <v>-5009</v>
      </c>
      <c r="F1327" t="s">
        <v>1679</v>
      </c>
      <c r="G1327" t="s">
        <v>1241</v>
      </c>
      <c r="H1327" t="s">
        <v>2907</v>
      </c>
      <c r="I1327">
        <v>4</v>
      </c>
      <c r="J1327" t="s">
        <v>10658</v>
      </c>
      <c r="K1327">
        <v>77</v>
      </c>
      <c r="L1327" t="s">
        <v>10659</v>
      </c>
      <c r="M1327" t="s">
        <v>10660</v>
      </c>
      <c r="N1327" t="s">
        <v>6638</v>
      </c>
      <c r="O1327" t="s">
        <v>10614</v>
      </c>
      <c r="P1327" t="s">
        <v>10661</v>
      </c>
      <c r="Q1327" t="s">
        <v>10662</v>
      </c>
      <c r="R1327" t="s">
        <v>10663</v>
      </c>
      <c r="S1327" s="2">
        <v>45212</v>
      </c>
      <c r="T1327" t="s">
        <v>10664</v>
      </c>
      <c r="U1327" t="s">
        <v>6643</v>
      </c>
      <c r="V1327">
        <v>0</v>
      </c>
      <c r="W1327">
        <v>4</v>
      </c>
      <c r="X1327">
        <v>267194</v>
      </c>
      <c r="Y1327" t="s">
        <v>1442</v>
      </c>
      <c r="Z1327" t="s">
        <v>10662</v>
      </c>
      <c r="AA1327" t="s">
        <v>10615</v>
      </c>
      <c r="AB1327" t="s">
        <v>45</v>
      </c>
      <c r="AC1327" t="s">
        <v>10616</v>
      </c>
    </row>
    <row r="1328" spans="1:29">
      <c r="A1328" t="s">
        <v>3114</v>
      </c>
      <c r="B1328" s="1">
        <v>94601</v>
      </c>
      <c r="C1328" t="s">
        <v>2509</v>
      </c>
      <c r="D1328" t="s">
        <v>3029</v>
      </c>
      <c r="E1328" t="s">
        <v>10665</v>
      </c>
      <c r="F1328" t="s">
        <v>710</v>
      </c>
      <c r="G1328" t="s">
        <v>1455</v>
      </c>
      <c r="H1328" t="s">
        <v>10666</v>
      </c>
      <c r="I1328">
        <v>4</v>
      </c>
      <c r="J1328" t="s">
        <v>971</v>
      </c>
      <c r="K1328">
        <v>73</v>
      </c>
      <c r="L1328" t="s">
        <v>10667</v>
      </c>
      <c r="M1328" t="s">
        <v>10668</v>
      </c>
      <c r="N1328" t="s">
        <v>6638</v>
      </c>
      <c r="O1328" t="s">
        <v>10614</v>
      </c>
      <c r="P1328" t="s">
        <v>10669</v>
      </c>
      <c r="Q1328" t="s">
        <v>10670</v>
      </c>
      <c r="R1328" t="s">
        <v>10671</v>
      </c>
      <c r="S1328" s="2">
        <v>45212</v>
      </c>
      <c r="T1328" t="s">
        <v>10672</v>
      </c>
      <c r="U1328" t="s">
        <v>6643</v>
      </c>
      <c r="V1328">
        <v>1</v>
      </c>
      <c r="W1328">
        <v>1</v>
      </c>
      <c r="X1328">
        <v>216328</v>
      </c>
      <c r="Y1328" t="s">
        <v>7723</v>
      </c>
      <c r="Z1328" t="s">
        <v>10670</v>
      </c>
      <c r="AA1328" t="s">
        <v>10615</v>
      </c>
      <c r="AB1328" t="s">
        <v>45</v>
      </c>
      <c r="AC1328" t="s">
        <v>10616</v>
      </c>
    </row>
    <row r="1329" spans="1:29">
      <c r="A1329" t="s">
        <v>770</v>
      </c>
      <c r="B1329" s="1">
        <v>94969</v>
      </c>
      <c r="C1329" t="s">
        <v>4193</v>
      </c>
      <c r="D1329" t="s">
        <v>3029</v>
      </c>
      <c r="E1329" s="1">
        <v>-3502</v>
      </c>
      <c r="F1329" t="s">
        <v>4565</v>
      </c>
      <c r="G1329" t="s">
        <v>580</v>
      </c>
      <c r="H1329" t="s">
        <v>10673</v>
      </c>
      <c r="I1329">
        <v>4</v>
      </c>
      <c r="J1329" t="s">
        <v>3104</v>
      </c>
      <c r="K1329">
        <v>81</v>
      </c>
      <c r="L1329" t="s">
        <v>10674</v>
      </c>
      <c r="M1329" t="s">
        <v>10675</v>
      </c>
      <c r="N1329" t="s">
        <v>10676</v>
      </c>
      <c r="O1329" t="s">
        <v>10614</v>
      </c>
      <c r="P1329" t="s">
        <v>10677</v>
      </c>
      <c r="Q1329" t="s">
        <v>10678</v>
      </c>
      <c r="R1329" t="s">
        <v>10679</v>
      </c>
      <c r="S1329" s="2">
        <v>45114</v>
      </c>
      <c r="T1329" t="s">
        <v>9311</v>
      </c>
      <c r="U1329" t="s">
        <v>10680</v>
      </c>
      <c r="V1329">
        <v>0</v>
      </c>
      <c r="W1329">
        <v>9</v>
      </c>
      <c r="X1329">
        <v>197053</v>
      </c>
      <c r="Y1329" t="s">
        <v>349</v>
      </c>
      <c r="Z1329" t="s">
        <v>10678</v>
      </c>
      <c r="AA1329" t="s">
        <v>10615</v>
      </c>
      <c r="AB1329" t="s">
        <v>45</v>
      </c>
      <c r="AC1329" t="s">
        <v>10616</v>
      </c>
    </row>
    <row r="1330" spans="1:29">
      <c r="A1330" t="s">
        <v>5317</v>
      </c>
      <c r="B1330" s="1">
        <v>169918</v>
      </c>
      <c r="C1330" t="s">
        <v>121</v>
      </c>
      <c r="D1330" t="s">
        <v>3029</v>
      </c>
      <c r="E1330" s="1">
        <v>-7455</v>
      </c>
      <c r="F1330" t="s">
        <v>4639</v>
      </c>
      <c r="G1330" t="s">
        <v>1919</v>
      </c>
      <c r="H1330" t="s">
        <v>10681</v>
      </c>
      <c r="I1330">
        <v>4</v>
      </c>
      <c r="J1330" t="s">
        <v>3053</v>
      </c>
      <c r="K1330">
        <v>83</v>
      </c>
      <c r="L1330" t="s">
        <v>10682</v>
      </c>
      <c r="M1330" t="s">
        <v>10683</v>
      </c>
      <c r="N1330" t="s">
        <v>10684</v>
      </c>
      <c r="O1330" t="s">
        <v>10614</v>
      </c>
      <c r="P1330" t="s">
        <v>10685</v>
      </c>
      <c r="Q1330" t="s">
        <v>10686</v>
      </c>
      <c r="R1330" t="s">
        <v>10687</v>
      </c>
      <c r="S1330" s="2">
        <v>45148</v>
      </c>
      <c r="T1330">
        <v>0</v>
      </c>
      <c r="U1330" t="s">
        <v>10688</v>
      </c>
      <c r="V1330">
        <v>0</v>
      </c>
      <c r="W1330">
        <v>7</v>
      </c>
      <c r="X1330">
        <v>172798</v>
      </c>
      <c r="Y1330" t="s">
        <v>4078</v>
      </c>
      <c r="Z1330" t="s">
        <v>10686</v>
      </c>
      <c r="AA1330" t="s">
        <v>10615</v>
      </c>
      <c r="AB1330" t="s">
        <v>45</v>
      </c>
      <c r="AC1330" t="s">
        <v>10616</v>
      </c>
    </row>
    <row r="1331" spans="1:29">
      <c r="A1331" t="s">
        <v>4735</v>
      </c>
      <c r="B1331" s="1">
        <v>143978</v>
      </c>
      <c r="C1331" t="s">
        <v>1335</v>
      </c>
      <c r="D1331" t="s">
        <v>3029</v>
      </c>
      <c r="E1331" s="1">
        <v>-4019</v>
      </c>
      <c r="F1331" t="s">
        <v>757</v>
      </c>
      <c r="G1331" t="s">
        <v>1550</v>
      </c>
      <c r="H1331" t="s">
        <v>2907</v>
      </c>
      <c r="I1331">
        <v>4</v>
      </c>
      <c r="J1331" t="s">
        <v>9730</v>
      </c>
      <c r="K1331">
        <v>74</v>
      </c>
      <c r="L1331" t="s">
        <v>10689</v>
      </c>
      <c r="M1331" t="s">
        <v>10690</v>
      </c>
      <c r="N1331" t="s">
        <v>10691</v>
      </c>
      <c r="O1331" t="s">
        <v>10614</v>
      </c>
      <c r="P1331" t="s">
        <v>10692</v>
      </c>
      <c r="Q1331" t="s">
        <v>10693</v>
      </c>
      <c r="R1331" t="s">
        <v>10691</v>
      </c>
      <c r="S1331" s="2">
        <v>45064</v>
      </c>
      <c r="T1331" t="s">
        <v>2831</v>
      </c>
      <c r="U1331" t="s">
        <v>10694</v>
      </c>
      <c r="V1331">
        <v>0</v>
      </c>
      <c r="W1331">
        <v>9</v>
      </c>
      <c r="X1331">
        <v>231704</v>
      </c>
      <c r="Y1331" t="s">
        <v>1799</v>
      </c>
      <c r="Z1331" t="s">
        <v>10693</v>
      </c>
      <c r="AA1331" t="s">
        <v>10615</v>
      </c>
      <c r="AB1331" t="s">
        <v>45</v>
      </c>
      <c r="AC1331" t="s">
        <v>10616</v>
      </c>
    </row>
    <row r="1332" spans="1:29">
      <c r="A1332" t="s">
        <v>1537</v>
      </c>
      <c r="B1332" s="1">
        <v>140017</v>
      </c>
      <c r="C1332" t="s">
        <v>915</v>
      </c>
      <c r="D1332" t="s">
        <v>3029</v>
      </c>
      <c r="E1332" s="1">
        <v>-5555</v>
      </c>
      <c r="F1332" t="s">
        <v>8285</v>
      </c>
      <c r="G1332" t="s">
        <v>157</v>
      </c>
      <c r="H1332" t="s">
        <v>10695</v>
      </c>
      <c r="I1332">
        <v>4</v>
      </c>
      <c r="J1332" t="s">
        <v>593</v>
      </c>
      <c r="K1332">
        <v>73</v>
      </c>
      <c r="L1332" t="s">
        <v>10696</v>
      </c>
      <c r="M1332" t="s">
        <v>10697</v>
      </c>
      <c r="N1332" t="s">
        <v>10698</v>
      </c>
      <c r="O1332" t="s">
        <v>10614</v>
      </c>
      <c r="P1332" t="s">
        <v>10699</v>
      </c>
      <c r="Q1332" t="s">
        <v>10700</v>
      </c>
      <c r="R1332" t="s">
        <v>10701</v>
      </c>
      <c r="S1332" s="2">
        <v>45002</v>
      </c>
      <c r="T1332" t="s">
        <v>10702</v>
      </c>
      <c r="U1332" t="s">
        <v>10703</v>
      </c>
      <c r="V1332">
        <v>0</v>
      </c>
      <c r="W1332">
        <v>3</v>
      </c>
      <c r="X1332">
        <v>208125</v>
      </c>
      <c r="Y1332" t="s">
        <v>1799</v>
      </c>
      <c r="Z1332" t="s">
        <v>10700</v>
      </c>
      <c r="AA1332" t="s">
        <v>10615</v>
      </c>
      <c r="AB1332" t="s">
        <v>45</v>
      </c>
      <c r="AC1332" t="s">
        <v>10616</v>
      </c>
    </row>
    <row r="1333" spans="1:29">
      <c r="A1333" t="s">
        <v>450</v>
      </c>
      <c r="B1333" t="s">
        <v>10704</v>
      </c>
      <c r="C1333" t="s">
        <v>2683</v>
      </c>
      <c r="D1333" t="s">
        <v>3029</v>
      </c>
      <c r="E1333" s="1">
        <v>-5769</v>
      </c>
      <c r="F1333" t="s">
        <v>364</v>
      </c>
      <c r="G1333" t="s">
        <v>2487</v>
      </c>
      <c r="H1333" t="s">
        <v>2693</v>
      </c>
      <c r="I1333">
        <v>4</v>
      </c>
      <c r="J1333" t="s">
        <v>2164</v>
      </c>
      <c r="K1333">
        <v>69</v>
      </c>
      <c r="L1333" t="s">
        <v>10705</v>
      </c>
      <c r="M1333" t="s">
        <v>10706</v>
      </c>
      <c r="N1333" t="s">
        <v>10707</v>
      </c>
      <c r="O1333" t="s">
        <v>10614</v>
      </c>
      <c r="P1333" t="s">
        <v>10708</v>
      </c>
      <c r="Q1333" t="s">
        <v>10709</v>
      </c>
      <c r="R1333" t="s">
        <v>10707</v>
      </c>
      <c r="S1333" s="2">
        <v>44895</v>
      </c>
      <c r="T1333">
        <v>0</v>
      </c>
      <c r="U1333" t="s">
        <v>10710</v>
      </c>
      <c r="V1333">
        <v>1</v>
      </c>
      <c r="W1333">
        <v>8</v>
      </c>
      <c r="X1333">
        <v>255693</v>
      </c>
      <c r="Y1333" t="s">
        <v>971</v>
      </c>
      <c r="Z1333" t="s">
        <v>10709</v>
      </c>
      <c r="AA1333" t="s">
        <v>10615</v>
      </c>
      <c r="AB1333" t="s">
        <v>45</v>
      </c>
      <c r="AC1333" t="s">
        <v>10616</v>
      </c>
    </row>
    <row r="1334" spans="1:29">
      <c r="A1334" t="s">
        <v>489</v>
      </c>
      <c r="B1334" s="1">
        <v>92005</v>
      </c>
      <c r="C1334" t="s">
        <v>1825</v>
      </c>
      <c r="D1334" t="s">
        <v>3029</v>
      </c>
      <c r="E1334" s="1">
        <v>-5105</v>
      </c>
      <c r="F1334" t="s">
        <v>3033</v>
      </c>
      <c r="G1334" t="s">
        <v>4367</v>
      </c>
      <c r="H1334" t="s">
        <v>10711</v>
      </c>
      <c r="I1334">
        <v>4</v>
      </c>
      <c r="J1334" t="s">
        <v>2877</v>
      </c>
      <c r="K1334">
        <v>81</v>
      </c>
      <c r="L1334" t="s">
        <v>10712</v>
      </c>
      <c r="M1334" t="s">
        <v>10713</v>
      </c>
      <c r="N1334" t="s">
        <v>6712</v>
      </c>
      <c r="O1334" t="s">
        <v>10614</v>
      </c>
      <c r="P1334" t="s">
        <v>10714</v>
      </c>
      <c r="Q1334" t="s">
        <v>10715</v>
      </c>
      <c r="R1334" t="s">
        <v>10716</v>
      </c>
      <c r="S1334" s="2">
        <v>44687</v>
      </c>
      <c r="T1334" t="s">
        <v>7775</v>
      </c>
      <c r="U1334" t="s">
        <v>6717</v>
      </c>
      <c r="V1334">
        <v>0</v>
      </c>
      <c r="W1334">
        <v>1</v>
      </c>
      <c r="X1334">
        <v>178567</v>
      </c>
      <c r="Y1334" t="s">
        <v>8437</v>
      </c>
      <c r="Z1334" t="s">
        <v>10715</v>
      </c>
      <c r="AA1334" t="s">
        <v>10615</v>
      </c>
      <c r="AB1334" t="s">
        <v>45</v>
      </c>
      <c r="AC1334" t="s">
        <v>10616</v>
      </c>
    </row>
    <row r="1335" spans="1:29">
      <c r="A1335" t="s">
        <v>2711</v>
      </c>
      <c r="B1335" s="1">
        <v>103071</v>
      </c>
      <c r="C1335" t="s">
        <v>2631</v>
      </c>
      <c r="D1335" t="s">
        <v>3029</v>
      </c>
      <c r="E1335" s="1">
        <v>-10229</v>
      </c>
      <c r="F1335" t="s">
        <v>3658</v>
      </c>
      <c r="G1335" t="s">
        <v>1762</v>
      </c>
      <c r="H1335" t="s">
        <v>6749</v>
      </c>
      <c r="I1335">
        <v>4</v>
      </c>
      <c r="J1335" t="s">
        <v>1727</v>
      </c>
      <c r="K1335">
        <v>74</v>
      </c>
      <c r="L1335" t="s">
        <v>6750</v>
      </c>
      <c r="M1335" t="s">
        <v>6751</v>
      </c>
      <c r="N1335" t="s">
        <v>6712</v>
      </c>
      <c r="O1335" t="s">
        <v>10614</v>
      </c>
      <c r="P1335" t="s">
        <v>6752</v>
      </c>
      <c r="Q1335" t="s">
        <v>6753</v>
      </c>
      <c r="R1335" t="s">
        <v>6754</v>
      </c>
      <c r="S1335" s="2">
        <v>44687</v>
      </c>
      <c r="T1335" t="s">
        <v>6755</v>
      </c>
      <c r="U1335" t="s">
        <v>6717</v>
      </c>
      <c r="V1335">
        <v>0</v>
      </c>
      <c r="W1335">
        <v>1</v>
      </c>
      <c r="X1335">
        <v>339612</v>
      </c>
      <c r="Y1335" t="s">
        <v>3073</v>
      </c>
      <c r="Z1335" t="s">
        <v>6753</v>
      </c>
      <c r="AA1335" t="s">
        <v>10615</v>
      </c>
      <c r="AB1335" t="s">
        <v>45</v>
      </c>
      <c r="AC1335" t="s">
        <v>10616</v>
      </c>
    </row>
    <row r="1336" spans="1:29">
      <c r="A1336" t="s">
        <v>641</v>
      </c>
      <c r="B1336" s="1">
        <v>98047</v>
      </c>
      <c r="C1336" t="s">
        <v>1712</v>
      </c>
      <c r="D1336" t="s">
        <v>3029</v>
      </c>
      <c r="E1336" s="1">
        <v>-8797</v>
      </c>
      <c r="F1336" t="s">
        <v>7714</v>
      </c>
      <c r="G1336" t="s">
        <v>1550</v>
      </c>
      <c r="H1336" t="s">
        <v>2907</v>
      </c>
      <c r="I1336">
        <v>4</v>
      </c>
      <c r="J1336" t="s">
        <v>8520</v>
      </c>
      <c r="K1336">
        <v>79</v>
      </c>
      <c r="L1336" t="s">
        <v>10717</v>
      </c>
      <c r="M1336" t="s">
        <v>10718</v>
      </c>
      <c r="N1336" t="s">
        <v>6712</v>
      </c>
      <c r="O1336" t="s">
        <v>10614</v>
      </c>
      <c r="P1336" t="s">
        <v>10719</v>
      </c>
      <c r="Q1336" t="s">
        <v>10720</v>
      </c>
      <c r="R1336" t="s">
        <v>10721</v>
      </c>
      <c r="S1336" s="2">
        <v>44687</v>
      </c>
      <c r="T1336" t="s">
        <v>10722</v>
      </c>
      <c r="U1336" t="s">
        <v>6717</v>
      </c>
      <c r="V1336">
        <v>0</v>
      </c>
      <c r="W1336">
        <v>7</v>
      </c>
      <c r="X1336">
        <v>213061</v>
      </c>
      <c r="Y1336" t="s">
        <v>595</v>
      </c>
      <c r="Z1336" t="s">
        <v>10720</v>
      </c>
      <c r="AA1336" t="s">
        <v>10615</v>
      </c>
      <c r="AB1336" t="s">
        <v>45</v>
      </c>
      <c r="AC1336" t="s">
        <v>10616</v>
      </c>
    </row>
    <row r="1337" spans="1:29">
      <c r="A1337" t="s">
        <v>4222</v>
      </c>
      <c r="B1337" s="1">
        <v>106672</v>
      </c>
      <c r="C1337" t="s">
        <v>1906</v>
      </c>
      <c r="D1337" t="s">
        <v>3029</v>
      </c>
      <c r="E1337" s="1">
        <v>-5198</v>
      </c>
      <c r="F1337" t="s">
        <v>135</v>
      </c>
      <c r="G1337" t="s">
        <v>4161</v>
      </c>
      <c r="H1337" t="s">
        <v>2907</v>
      </c>
      <c r="I1337">
        <v>4</v>
      </c>
      <c r="J1337" t="s">
        <v>2220</v>
      </c>
      <c r="K1337">
        <v>79</v>
      </c>
      <c r="L1337" t="s">
        <v>10723</v>
      </c>
      <c r="M1337" t="s">
        <v>10724</v>
      </c>
      <c r="N1337" t="s">
        <v>6712</v>
      </c>
      <c r="O1337" t="s">
        <v>10614</v>
      </c>
      <c r="P1337" t="s">
        <v>10725</v>
      </c>
      <c r="Q1337" t="s">
        <v>10726</v>
      </c>
      <c r="R1337" t="s">
        <v>10727</v>
      </c>
      <c r="S1337" s="2">
        <v>44687</v>
      </c>
      <c r="T1337" t="s">
        <v>10728</v>
      </c>
      <c r="U1337" t="s">
        <v>6717</v>
      </c>
      <c r="V1337">
        <v>0</v>
      </c>
      <c r="W1337">
        <v>5</v>
      </c>
      <c r="X1337">
        <v>243717</v>
      </c>
      <c r="Y1337" t="s">
        <v>7526</v>
      </c>
      <c r="Z1337" t="s">
        <v>10726</v>
      </c>
      <c r="AA1337" t="s">
        <v>10615</v>
      </c>
      <c r="AB1337" t="s">
        <v>45</v>
      </c>
      <c r="AC1337" t="s">
        <v>10616</v>
      </c>
    </row>
    <row r="1338" spans="1:29">
      <c r="A1338" t="s">
        <v>1893</v>
      </c>
      <c r="B1338" s="1">
        <v>114011</v>
      </c>
      <c r="C1338" t="s">
        <v>770</v>
      </c>
      <c r="D1338" t="s">
        <v>3029</v>
      </c>
      <c r="E1338" s="1">
        <v>-3971</v>
      </c>
      <c r="F1338" t="s">
        <v>2325</v>
      </c>
      <c r="G1338" t="s">
        <v>2520</v>
      </c>
      <c r="H1338" t="s">
        <v>10729</v>
      </c>
      <c r="I1338">
        <v>4</v>
      </c>
      <c r="J1338" t="s">
        <v>10730</v>
      </c>
      <c r="K1338">
        <v>76</v>
      </c>
      <c r="L1338" t="s">
        <v>10731</v>
      </c>
      <c r="M1338" t="s">
        <v>10732</v>
      </c>
      <c r="N1338" t="s">
        <v>6712</v>
      </c>
      <c r="O1338" t="s">
        <v>10614</v>
      </c>
      <c r="P1338" t="s">
        <v>10733</v>
      </c>
      <c r="Q1338" t="s">
        <v>10734</v>
      </c>
      <c r="R1338" t="s">
        <v>10735</v>
      </c>
      <c r="S1338" s="2">
        <v>44687</v>
      </c>
      <c r="T1338">
        <v>0</v>
      </c>
      <c r="U1338" t="s">
        <v>6717</v>
      </c>
      <c r="V1338">
        <v>0</v>
      </c>
      <c r="W1338">
        <v>11</v>
      </c>
      <c r="X1338">
        <v>237895</v>
      </c>
      <c r="Y1338" t="s">
        <v>10736</v>
      </c>
      <c r="Z1338" t="s">
        <v>10734</v>
      </c>
      <c r="AA1338" t="s">
        <v>10615</v>
      </c>
      <c r="AB1338" t="s">
        <v>45</v>
      </c>
      <c r="AC1338" t="s">
        <v>10616</v>
      </c>
    </row>
    <row r="1339" spans="1:29">
      <c r="A1339" t="s">
        <v>80</v>
      </c>
      <c r="B1339" t="s">
        <v>10737</v>
      </c>
      <c r="C1339" t="s">
        <v>1502</v>
      </c>
      <c r="D1339" t="s">
        <v>3029</v>
      </c>
      <c r="E1339" t="s">
        <v>10738</v>
      </c>
      <c r="F1339" t="s">
        <v>477</v>
      </c>
      <c r="G1339" t="s">
        <v>190</v>
      </c>
      <c r="H1339" t="s">
        <v>10739</v>
      </c>
      <c r="I1339">
        <v>4</v>
      </c>
      <c r="J1339" t="s">
        <v>1864</v>
      </c>
      <c r="K1339">
        <v>73</v>
      </c>
      <c r="L1339" t="s">
        <v>10740</v>
      </c>
      <c r="M1339" t="s">
        <v>10741</v>
      </c>
      <c r="N1339" t="s">
        <v>6712</v>
      </c>
      <c r="O1339" t="s">
        <v>10614</v>
      </c>
      <c r="P1339" t="s">
        <v>10742</v>
      </c>
      <c r="Q1339" t="s">
        <v>10743</v>
      </c>
      <c r="R1339" t="s">
        <v>10744</v>
      </c>
      <c r="S1339" s="2">
        <v>44687</v>
      </c>
      <c r="T1339">
        <v>0</v>
      </c>
      <c r="U1339" t="s">
        <v>6717</v>
      </c>
      <c r="V1339">
        <v>0</v>
      </c>
      <c r="W1339">
        <v>11</v>
      </c>
      <c r="X1339">
        <v>198367</v>
      </c>
      <c r="Y1339" t="s">
        <v>1894</v>
      </c>
      <c r="Z1339" t="s">
        <v>10743</v>
      </c>
      <c r="AA1339" t="s">
        <v>10615</v>
      </c>
      <c r="AB1339" t="s">
        <v>45</v>
      </c>
      <c r="AC1339" t="s">
        <v>10616</v>
      </c>
    </row>
    <row r="1340" spans="1:29">
      <c r="A1340" t="s">
        <v>3143</v>
      </c>
      <c r="B1340" s="1">
        <v>127963</v>
      </c>
      <c r="C1340" t="s">
        <v>5013</v>
      </c>
      <c r="D1340" t="s">
        <v>3029</v>
      </c>
      <c r="E1340" s="1">
        <v>-6404</v>
      </c>
      <c r="F1340" t="s">
        <v>1918</v>
      </c>
      <c r="G1340" t="s">
        <v>609</v>
      </c>
      <c r="H1340" t="s">
        <v>10745</v>
      </c>
      <c r="I1340">
        <v>4</v>
      </c>
      <c r="J1340" t="s">
        <v>8684</v>
      </c>
      <c r="K1340">
        <v>73</v>
      </c>
      <c r="L1340" t="s">
        <v>10746</v>
      </c>
      <c r="M1340" t="s">
        <v>10747</v>
      </c>
      <c r="N1340" t="s">
        <v>6627</v>
      </c>
      <c r="O1340" t="s">
        <v>10614</v>
      </c>
      <c r="P1340" t="s">
        <v>10748</v>
      </c>
      <c r="Q1340" t="s">
        <v>10749</v>
      </c>
      <c r="R1340" t="s">
        <v>10750</v>
      </c>
      <c r="S1340" s="2">
        <v>44652</v>
      </c>
      <c r="T1340">
        <v>0</v>
      </c>
      <c r="U1340" t="s">
        <v>6632</v>
      </c>
      <c r="V1340">
        <v>0</v>
      </c>
      <c r="W1340">
        <v>2</v>
      </c>
      <c r="X1340">
        <v>228750</v>
      </c>
      <c r="Y1340" t="s">
        <v>1748</v>
      </c>
      <c r="Z1340" t="s">
        <v>10749</v>
      </c>
      <c r="AA1340" t="s">
        <v>10615</v>
      </c>
      <c r="AB1340" t="s">
        <v>45</v>
      </c>
      <c r="AC1340" t="s">
        <v>10616</v>
      </c>
    </row>
    <row r="1341" spans="1:29">
      <c r="A1341" t="s">
        <v>2569</v>
      </c>
      <c r="B1341" s="1">
        <v>91995</v>
      </c>
      <c r="C1341" t="s">
        <v>3577</v>
      </c>
      <c r="D1341" t="s">
        <v>3029</v>
      </c>
      <c r="E1341" s="1">
        <v>-3825</v>
      </c>
      <c r="F1341" t="s">
        <v>585</v>
      </c>
      <c r="G1341" t="s">
        <v>642</v>
      </c>
      <c r="H1341" t="s">
        <v>10751</v>
      </c>
      <c r="I1341">
        <v>4</v>
      </c>
      <c r="J1341" t="s">
        <v>32</v>
      </c>
      <c r="K1341">
        <v>78</v>
      </c>
      <c r="L1341" t="s">
        <v>10752</v>
      </c>
      <c r="M1341" t="s">
        <v>10753</v>
      </c>
      <c r="N1341" t="s">
        <v>10754</v>
      </c>
      <c r="O1341" t="s">
        <v>10614</v>
      </c>
      <c r="P1341" t="s">
        <v>10755</v>
      </c>
      <c r="Q1341" t="s">
        <v>10756</v>
      </c>
      <c r="R1341" t="s">
        <v>10757</v>
      </c>
      <c r="S1341" s="2">
        <v>37803</v>
      </c>
      <c r="T1341" t="s">
        <v>10758</v>
      </c>
      <c r="U1341" t="s">
        <v>10759</v>
      </c>
      <c r="V1341">
        <v>0</v>
      </c>
      <c r="W1341">
        <v>1</v>
      </c>
      <c r="X1341">
        <v>151667</v>
      </c>
      <c r="Y1341" t="s">
        <v>1958</v>
      </c>
      <c r="Z1341" t="s">
        <v>10756</v>
      </c>
      <c r="AA1341" t="s">
        <v>10615</v>
      </c>
      <c r="AB1341" t="s">
        <v>45</v>
      </c>
      <c r="AC1341" t="s">
        <v>10616</v>
      </c>
    </row>
    <row r="1342" spans="1:29">
      <c r="A1342" t="s">
        <v>3257</v>
      </c>
      <c r="B1342" s="1">
        <v>175896</v>
      </c>
      <c r="C1342" t="s">
        <v>332</v>
      </c>
      <c r="D1342" t="s">
        <v>3029</v>
      </c>
      <c r="E1342" s="1">
        <v>-3726</v>
      </c>
      <c r="F1342" t="s">
        <v>10760</v>
      </c>
      <c r="G1342" t="s">
        <v>3471</v>
      </c>
      <c r="H1342" t="s">
        <v>10761</v>
      </c>
      <c r="I1342">
        <v>4</v>
      </c>
      <c r="J1342" t="s">
        <v>1797</v>
      </c>
      <c r="K1342">
        <v>74</v>
      </c>
      <c r="L1342" t="s">
        <v>10762</v>
      </c>
      <c r="M1342" t="s">
        <v>10763</v>
      </c>
      <c r="N1342" t="s">
        <v>10764</v>
      </c>
      <c r="O1342" t="s">
        <v>10614</v>
      </c>
      <c r="P1342" t="s">
        <v>10765</v>
      </c>
      <c r="Q1342" t="s">
        <v>10766</v>
      </c>
      <c r="R1342" t="s">
        <v>10764</v>
      </c>
      <c r="S1342" s="2">
        <v>44411</v>
      </c>
      <c r="T1342" t="s">
        <v>5290</v>
      </c>
      <c r="U1342" t="s">
        <v>10767</v>
      </c>
      <c r="V1342">
        <v>1</v>
      </c>
      <c r="W1342">
        <v>1</v>
      </c>
      <c r="X1342">
        <v>230125</v>
      </c>
      <c r="Y1342" t="s">
        <v>948</v>
      </c>
      <c r="Z1342" t="s">
        <v>10766</v>
      </c>
      <c r="AA1342" t="s">
        <v>10615</v>
      </c>
      <c r="AB1342" t="s">
        <v>45</v>
      </c>
      <c r="AC1342" t="s">
        <v>10616</v>
      </c>
    </row>
    <row r="1343" spans="1:29">
      <c r="A1343" t="s">
        <v>10532</v>
      </c>
      <c r="B1343" s="1">
        <v>153979</v>
      </c>
      <c r="C1343" t="s">
        <v>814</v>
      </c>
      <c r="D1343" t="s">
        <v>3029</v>
      </c>
      <c r="E1343" s="1">
        <v>-4649</v>
      </c>
      <c r="F1343" t="s">
        <v>2099</v>
      </c>
      <c r="G1343" t="s">
        <v>2219</v>
      </c>
      <c r="H1343" t="s">
        <v>10768</v>
      </c>
      <c r="I1343">
        <v>4</v>
      </c>
      <c r="J1343" t="s">
        <v>10769</v>
      </c>
      <c r="K1343">
        <v>73</v>
      </c>
      <c r="L1343" t="s">
        <v>10770</v>
      </c>
      <c r="M1343" t="s">
        <v>10771</v>
      </c>
      <c r="N1343" t="s">
        <v>10772</v>
      </c>
      <c r="O1343" t="s">
        <v>10614</v>
      </c>
      <c r="P1343" t="s">
        <v>10773</v>
      </c>
      <c r="Q1343" t="s">
        <v>10774</v>
      </c>
      <c r="R1343" t="s">
        <v>10775</v>
      </c>
      <c r="S1343" s="2">
        <v>44385</v>
      </c>
      <c r="T1343">
        <v>0</v>
      </c>
      <c r="U1343" t="s">
        <v>10776</v>
      </c>
      <c r="V1343">
        <v>1</v>
      </c>
      <c r="W1343">
        <v>6</v>
      </c>
      <c r="X1343">
        <v>273474</v>
      </c>
      <c r="Y1343" t="s">
        <v>1882</v>
      </c>
      <c r="Z1343" t="s">
        <v>10774</v>
      </c>
      <c r="AA1343" t="s">
        <v>10615</v>
      </c>
      <c r="AB1343" t="s">
        <v>45</v>
      </c>
      <c r="AC1343" t="s">
        <v>10616</v>
      </c>
    </row>
    <row r="1344" spans="1:29">
      <c r="A1344" t="s">
        <v>1608</v>
      </c>
      <c r="B1344" s="1">
        <v>179951</v>
      </c>
      <c r="C1344" t="s">
        <v>3949</v>
      </c>
      <c r="D1344" t="s">
        <v>3029</v>
      </c>
      <c r="E1344" s="1">
        <v>-4601</v>
      </c>
      <c r="F1344" t="s">
        <v>2022</v>
      </c>
      <c r="G1344" t="s">
        <v>5472</v>
      </c>
      <c r="H1344" t="s">
        <v>2907</v>
      </c>
      <c r="I1344">
        <v>4</v>
      </c>
      <c r="J1344" t="s">
        <v>710</v>
      </c>
      <c r="K1344">
        <v>75</v>
      </c>
      <c r="L1344" t="s">
        <v>10777</v>
      </c>
      <c r="M1344" t="s">
        <v>10778</v>
      </c>
      <c r="N1344" t="s">
        <v>10779</v>
      </c>
      <c r="O1344" t="s">
        <v>10614</v>
      </c>
      <c r="P1344" t="s">
        <v>10780</v>
      </c>
      <c r="Q1344" t="s">
        <v>10781</v>
      </c>
      <c r="R1344" t="s">
        <v>10779</v>
      </c>
      <c r="S1344" s="2">
        <v>44351</v>
      </c>
      <c r="T1344">
        <v>0</v>
      </c>
      <c r="U1344" t="s">
        <v>10782</v>
      </c>
      <c r="V1344">
        <v>1</v>
      </c>
      <c r="W1344">
        <v>1</v>
      </c>
      <c r="X1344">
        <v>206710</v>
      </c>
      <c r="Y1344" t="s">
        <v>3907</v>
      </c>
      <c r="Z1344" t="s">
        <v>10781</v>
      </c>
      <c r="AA1344" t="s">
        <v>10615</v>
      </c>
      <c r="AB1344" t="s">
        <v>45</v>
      </c>
      <c r="AC1344" t="s">
        <v>10616</v>
      </c>
    </row>
    <row r="1345" spans="1:29">
      <c r="A1345" t="s">
        <v>2125</v>
      </c>
      <c r="B1345" s="1">
        <v>92025</v>
      </c>
      <c r="C1345" t="s">
        <v>4393</v>
      </c>
      <c r="D1345" t="s">
        <v>3029</v>
      </c>
      <c r="E1345" s="1">
        <v>-4835</v>
      </c>
      <c r="F1345" t="s">
        <v>710</v>
      </c>
      <c r="G1345" t="s">
        <v>424</v>
      </c>
      <c r="H1345" t="s">
        <v>2907</v>
      </c>
      <c r="I1345">
        <v>4</v>
      </c>
      <c r="J1345" t="s">
        <v>1884</v>
      </c>
      <c r="K1345">
        <v>72</v>
      </c>
      <c r="L1345" t="s">
        <v>10783</v>
      </c>
      <c r="M1345" t="s">
        <v>10784</v>
      </c>
      <c r="N1345" t="s">
        <v>2911</v>
      </c>
      <c r="O1345" t="s">
        <v>10614</v>
      </c>
      <c r="P1345" t="s">
        <v>10785</v>
      </c>
      <c r="Q1345" t="s">
        <v>10786</v>
      </c>
      <c r="R1345" t="s">
        <v>10787</v>
      </c>
      <c r="S1345" s="2">
        <v>44162</v>
      </c>
      <c r="T1345" t="s">
        <v>10788</v>
      </c>
      <c r="U1345" t="s">
        <v>2916</v>
      </c>
      <c r="V1345">
        <v>0</v>
      </c>
      <c r="W1345">
        <v>10</v>
      </c>
      <c r="X1345">
        <v>130014</v>
      </c>
      <c r="Y1345" t="s">
        <v>1550</v>
      </c>
      <c r="Z1345" t="s">
        <v>10786</v>
      </c>
      <c r="AA1345" t="s">
        <v>10615</v>
      </c>
      <c r="AB1345" t="s">
        <v>45</v>
      </c>
      <c r="AC1345" t="s">
        <v>10616</v>
      </c>
    </row>
    <row r="1346" spans="1:29">
      <c r="A1346" t="s">
        <v>176</v>
      </c>
      <c r="B1346" s="1">
        <v>81993</v>
      </c>
      <c r="C1346" t="s">
        <v>2569</v>
      </c>
      <c r="D1346" t="s">
        <v>3029</v>
      </c>
      <c r="E1346" s="1">
        <v>-4892</v>
      </c>
      <c r="F1346" t="s">
        <v>1266</v>
      </c>
      <c r="G1346" t="s">
        <v>3632</v>
      </c>
      <c r="H1346" t="s">
        <v>10789</v>
      </c>
      <c r="I1346">
        <v>4</v>
      </c>
      <c r="J1346" t="s">
        <v>2060</v>
      </c>
      <c r="K1346">
        <v>74</v>
      </c>
      <c r="L1346" t="s">
        <v>10790</v>
      </c>
      <c r="M1346" t="s">
        <v>10791</v>
      </c>
      <c r="N1346" t="s">
        <v>2911</v>
      </c>
      <c r="O1346" t="s">
        <v>10614</v>
      </c>
      <c r="P1346" t="s">
        <v>10792</v>
      </c>
      <c r="Q1346" t="s">
        <v>10793</v>
      </c>
      <c r="R1346" t="s">
        <v>10794</v>
      </c>
      <c r="S1346" s="2">
        <v>44162</v>
      </c>
      <c r="T1346">
        <v>0</v>
      </c>
      <c r="U1346" t="s">
        <v>2916</v>
      </c>
      <c r="V1346">
        <v>1</v>
      </c>
      <c r="W1346">
        <v>7</v>
      </c>
      <c r="X1346">
        <v>203201</v>
      </c>
      <c r="Y1346" t="s">
        <v>1087</v>
      </c>
      <c r="Z1346" t="s">
        <v>10793</v>
      </c>
      <c r="AA1346" t="s">
        <v>10615</v>
      </c>
      <c r="AB1346" t="s">
        <v>45</v>
      </c>
      <c r="AC1346" t="s">
        <v>10616</v>
      </c>
    </row>
    <row r="1347" spans="1:29">
      <c r="A1347" t="s">
        <v>6644</v>
      </c>
      <c r="B1347" s="1">
        <v>91952</v>
      </c>
      <c r="C1347" t="s">
        <v>3545</v>
      </c>
      <c r="D1347" t="s">
        <v>3029</v>
      </c>
      <c r="E1347" s="1">
        <v>-3292</v>
      </c>
      <c r="F1347" t="s">
        <v>1799</v>
      </c>
      <c r="G1347" t="s">
        <v>190</v>
      </c>
      <c r="H1347" t="s">
        <v>10795</v>
      </c>
      <c r="I1347">
        <v>4</v>
      </c>
      <c r="J1347" t="s">
        <v>292</v>
      </c>
      <c r="K1347">
        <v>69</v>
      </c>
      <c r="L1347" t="s">
        <v>10796</v>
      </c>
      <c r="M1347" t="s">
        <v>10797</v>
      </c>
      <c r="N1347" t="s">
        <v>10798</v>
      </c>
      <c r="O1347" t="s">
        <v>10614</v>
      </c>
      <c r="P1347" t="s">
        <v>10799</v>
      </c>
      <c r="Q1347" t="s">
        <v>10800</v>
      </c>
      <c r="R1347" t="s">
        <v>10798</v>
      </c>
      <c r="S1347" s="2">
        <v>43692</v>
      </c>
      <c r="T1347" t="s">
        <v>10801</v>
      </c>
      <c r="U1347" t="s">
        <v>10802</v>
      </c>
      <c r="V1347">
        <v>1</v>
      </c>
      <c r="W1347">
        <v>1</v>
      </c>
      <c r="X1347">
        <v>201040</v>
      </c>
      <c r="Y1347" t="s">
        <v>6040</v>
      </c>
      <c r="Z1347" t="s">
        <v>10800</v>
      </c>
      <c r="AA1347" t="s">
        <v>10615</v>
      </c>
      <c r="AB1347" t="s">
        <v>45</v>
      </c>
      <c r="AC1347" t="s">
        <v>10616</v>
      </c>
    </row>
    <row r="1348" spans="1:29">
      <c r="A1348" t="s">
        <v>1737</v>
      </c>
      <c r="B1348" s="1">
        <v>109928</v>
      </c>
      <c r="C1348" t="s">
        <v>380</v>
      </c>
      <c r="D1348" t="s">
        <v>3029</v>
      </c>
      <c r="E1348" s="1">
        <v>-10059</v>
      </c>
      <c r="F1348" t="s">
        <v>2099</v>
      </c>
      <c r="G1348" t="s">
        <v>2929</v>
      </c>
      <c r="H1348" t="s">
        <v>10729</v>
      </c>
      <c r="I1348">
        <v>4</v>
      </c>
      <c r="J1348" t="s">
        <v>10803</v>
      </c>
      <c r="K1348">
        <v>75</v>
      </c>
      <c r="L1348" t="s">
        <v>10804</v>
      </c>
      <c r="M1348" t="s">
        <v>10805</v>
      </c>
      <c r="N1348" t="s">
        <v>2911</v>
      </c>
      <c r="O1348" t="s">
        <v>10614</v>
      </c>
      <c r="P1348" t="s">
        <v>10806</v>
      </c>
      <c r="Q1348" t="s">
        <v>10807</v>
      </c>
      <c r="R1348" t="s">
        <v>10808</v>
      </c>
      <c r="S1348" s="2">
        <v>44162</v>
      </c>
      <c r="T1348" t="s">
        <v>10809</v>
      </c>
      <c r="U1348" t="s">
        <v>2916</v>
      </c>
      <c r="V1348">
        <v>0</v>
      </c>
      <c r="W1348">
        <v>4</v>
      </c>
      <c r="X1348">
        <v>205090</v>
      </c>
      <c r="Y1348" t="s">
        <v>5073</v>
      </c>
      <c r="Z1348" t="s">
        <v>10807</v>
      </c>
      <c r="AA1348" t="s">
        <v>10615</v>
      </c>
      <c r="AB1348" t="s">
        <v>45</v>
      </c>
      <c r="AC1348" t="s">
        <v>10616</v>
      </c>
    </row>
    <row r="1349" spans="1:29">
      <c r="A1349" t="s">
        <v>5448</v>
      </c>
      <c r="B1349" s="1">
        <v>174021</v>
      </c>
      <c r="C1349" t="s">
        <v>447</v>
      </c>
      <c r="D1349" t="s">
        <v>3029</v>
      </c>
      <c r="E1349" s="1">
        <v>-4727</v>
      </c>
      <c r="F1349" t="s">
        <v>146</v>
      </c>
      <c r="G1349" t="s">
        <v>376</v>
      </c>
      <c r="H1349" t="s">
        <v>10810</v>
      </c>
      <c r="I1349">
        <v>4</v>
      </c>
      <c r="J1349" t="s">
        <v>160</v>
      </c>
      <c r="K1349">
        <v>74</v>
      </c>
      <c r="L1349" t="s">
        <v>10811</v>
      </c>
      <c r="M1349" t="s">
        <v>10812</v>
      </c>
      <c r="N1349" t="s">
        <v>10813</v>
      </c>
      <c r="O1349" t="s">
        <v>10614</v>
      </c>
      <c r="P1349" t="s">
        <v>10814</v>
      </c>
      <c r="Q1349" t="s">
        <v>10815</v>
      </c>
      <c r="R1349" t="s">
        <v>10816</v>
      </c>
      <c r="S1349" s="2">
        <v>43980</v>
      </c>
      <c r="T1349" t="s">
        <v>10817</v>
      </c>
      <c r="U1349" t="s">
        <v>10818</v>
      </c>
      <c r="V1349">
        <v>1</v>
      </c>
      <c r="W1349">
        <v>8</v>
      </c>
      <c r="X1349">
        <v>246000</v>
      </c>
      <c r="Y1349" t="s">
        <v>771</v>
      </c>
      <c r="Z1349" t="s">
        <v>10815</v>
      </c>
      <c r="AA1349" t="s">
        <v>10615</v>
      </c>
      <c r="AB1349" t="s">
        <v>45</v>
      </c>
      <c r="AC1349" t="s">
        <v>10616</v>
      </c>
    </row>
    <row r="1350" spans="1:29">
      <c r="A1350" t="s">
        <v>4473</v>
      </c>
      <c r="B1350" s="1">
        <v>96172</v>
      </c>
      <c r="C1350" t="s">
        <v>2853</v>
      </c>
      <c r="D1350" t="s">
        <v>3029</v>
      </c>
      <c r="E1350" s="1">
        <v>-4074</v>
      </c>
      <c r="F1350" t="s">
        <v>331</v>
      </c>
      <c r="G1350" t="s">
        <v>1457</v>
      </c>
      <c r="H1350" t="s">
        <v>10819</v>
      </c>
      <c r="I1350">
        <v>4</v>
      </c>
      <c r="J1350" t="s">
        <v>7254</v>
      </c>
      <c r="K1350">
        <v>72</v>
      </c>
      <c r="L1350" t="s">
        <v>10820</v>
      </c>
      <c r="M1350" t="s">
        <v>10821</v>
      </c>
      <c r="N1350" t="s">
        <v>10822</v>
      </c>
      <c r="O1350" t="s">
        <v>10614</v>
      </c>
      <c r="P1350" t="s">
        <v>10823</v>
      </c>
      <c r="Q1350" t="s">
        <v>10824</v>
      </c>
      <c r="R1350" t="s">
        <v>10825</v>
      </c>
      <c r="S1350" s="2">
        <v>43890</v>
      </c>
      <c r="T1350">
        <v>0</v>
      </c>
      <c r="U1350" t="s">
        <v>10826</v>
      </c>
      <c r="V1350">
        <v>1</v>
      </c>
      <c r="W1350">
        <v>2</v>
      </c>
      <c r="X1350">
        <v>295177</v>
      </c>
      <c r="Y1350" t="s">
        <v>5354</v>
      </c>
      <c r="Z1350" t="s">
        <v>10824</v>
      </c>
      <c r="AA1350" t="s">
        <v>10615</v>
      </c>
      <c r="AB1350" t="s">
        <v>45</v>
      </c>
      <c r="AC1350" t="s">
        <v>10616</v>
      </c>
    </row>
    <row r="1351" spans="1:29">
      <c r="A1351" t="s">
        <v>621</v>
      </c>
      <c r="B1351" t="s">
        <v>10827</v>
      </c>
      <c r="C1351" t="s">
        <v>1457</v>
      </c>
      <c r="D1351" t="s">
        <v>3029</v>
      </c>
      <c r="E1351" s="1">
        <v>-4561</v>
      </c>
      <c r="F1351" t="s">
        <v>10828</v>
      </c>
      <c r="G1351" t="s">
        <v>1989</v>
      </c>
      <c r="H1351" t="s">
        <v>2907</v>
      </c>
      <c r="I1351">
        <v>4</v>
      </c>
      <c r="J1351" t="s">
        <v>1110</v>
      </c>
      <c r="K1351">
        <v>70</v>
      </c>
      <c r="L1351" t="s">
        <v>10829</v>
      </c>
      <c r="M1351" t="s">
        <v>10830</v>
      </c>
      <c r="N1351" t="s">
        <v>10822</v>
      </c>
      <c r="O1351" t="s">
        <v>10614</v>
      </c>
      <c r="P1351" t="s">
        <v>10831</v>
      </c>
      <c r="Q1351" t="s">
        <v>10832</v>
      </c>
      <c r="R1351" t="s">
        <v>10833</v>
      </c>
      <c r="S1351" s="2">
        <v>43890</v>
      </c>
      <c r="T1351" t="s">
        <v>10834</v>
      </c>
      <c r="U1351" t="s">
        <v>10826</v>
      </c>
      <c r="V1351">
        <v>0</v>
      </c>
      <c r="W1351">
        <v>8</v>
      </c>
      <c r="X1351">
        <v>163084</v>
      </c>
      <c r="Y1351" t="s">
        <v>8157</v>
      </c>
      <c r="Z1351" t="s">
        <v>10832</v>
      </c>
      <c r="AA1351" t="s">
        <v>10615</v>
      </c>
      <c r="AB1351" t="s">
        <v>45</v>
      </c>
      <c r="AC1351" t="s">
        <v>10616</v>
      </c>
    </row>
    <row r="1352" spans="1:29">
      <c r="A1352" t="s">
        <v>3471</v>
      </c>
      <c r="B1352" s="1">
        <v>92023</v>
      </c>
      <c r="C1352" t="s">
        <v>3257</v>
      </c>
      <c r="D1352" t="s">
        <v>3029</v>
      </c>
      <c r="E1352" s="1">
        <v>-4784</v>
      </c>
      <c r="F1352" t="s">
        <v>582</v>
      </c>
      <c r="G1352" t="s">
        <v>1836</v>
      </c>
      <c r="H1352" t="s">
        <v>2907</v>
      </c>
      <c r="I1352">
        <v>4</v>
      </c>
      <c r="J1352" t="s">
        <v>3459</v>
      </c>
      <c r="K1352">
        <v>73</v>
      </c>
      <c r="L1352" t="s">
        <v>10835</v>
      </c>
      <c r="M1352" t="s">
        <v>10836</v>
      </c>
      <c r="N1352" t="s">
        <v>10822</v>
      </c>
      <c r="O1352" t="s">
        <v>10614</v>
      </c>
      <c r="P1352" t="s">
        <v>10837</v>
      </c>
      <c r="Q1352" t="s">
        <v>10838</v>
      </c>
      <c r="R1352" t="s">
        <v>10839</v>
      </c>
      <c r="S1352" s="2">
        <v>43890</v>
      </c>
      <c r="T1352" t="s">
        <v>10840</v>
      </c>
      <c r="U1352" t="s">
        <v>10826</v>
      </c>
      <c r="V1352">
        <v>1</v>
      </c>
      <c r="W1352">
        <v>0</v>
      </c>
      <c r="X1352">
        <v>175918</v>
      </c>
      <c r="Y1352" t="s">
        <v>1320</v>
      </c>
      <c r="Z1352" t="s">
        <v>10838</v>
      </c>
      <c r="AA1352" t="s">
        <v>10615</v>
      </c>
      <c r="AB1352" t="s">
        <v>45</v>
      </c>
      <c r="AC1352" t="s">
        <v>10616</v>
      </c>
    </row>
    <row r="1353" spans="1:29">
      <c r="A1353" t="s">
        <v>852</v>
      </c>
      <c r="B1353" s="1">
        <v>129928</v>
      </c>
      <c r="C1353" t="s">
        <v>3349</v>
      </c>
      <c r="D1353" t="s">
        <v>3029</v>
      </c>
      <c r="E1353" s="1">
        <v>-5313</v>
      </c>
      <c r="F1353" t="s">
        <v>2001</v>
      </c>
      <c r="G1353" t="s">
        <v>727</v>
      </c>
      <c r="H1353" t="s">
        <v>2907</v>
      </c>
      <c r="I1353">
        <v>4</v>
      </c>
      <c r="J1353" t="s">
        <v>10841</v>
      </c>
      <c r="K1353">
        <v>74</v>
      </c>
      <c r="L1353" t="s">
        <v>10842</v>
      </c>
      <c r="M1353" t="s">
        <v>10843</v>
      </c>
      <c r="N1353" t="s">
        <v>10822</v>
      </c>
      <c r="O1353" t="s">
        <v>10614</v>
      </c>
      <c r="P1353" t="s">
        <v>10844</v>
      </c>
      <c r="Q1353" t="s">
        <v>10845</v>
      </c>
      <c r="R1353" t="s">
        <v>10846</v>
      </c>
      <c r="S1353" s="2">
        <v>43890</v>
      </c>
      <c r="T1353" t="s">
        <v>10847</v>
      </c>
      <c r="U1353" t="s">
        <v>10826</v>
      </c>
      <c r="V1353">
        <v>1</v>
      </c>
      <c r="W1353">
        <v>2</v>
      </c>
      <c r="X1353">
        <v>170972</v>
      </c>
      <c r="Y1353" t="s">
        <v>1573</v>
      </c>
      <c r="Z1353" t="s">
        <v>10845</v>
      </c>
      <c r="AA1353" t="s">
        <v>10615</v>
      </c>
      <c r="AB1353" t="s">
        <v>45</v>
      </c>
      <c r="AC1353" t="s">
        <v>10616</v>
      </c>
    </row>
    <row r="1354" spans="1:29">
      <c r="A1354" t="s">
        <v>1712</v>
      </c>
      <c r="B1354" s="1">
        <v>93992</v>
      </c>
      <c r="C1354" t="s">
        <v>3073</v>
      </c>
      <c r="D1354" t="s">
        <v>3029</v>
      </c>
      <c r="E1354" s="1">
        <v>-3661</v>
      </c>
      <c r="F1354" t="s">
        <v>1012</v>
      </c>
      <c r="G1354" t="s">
        <v>3867</v>
      </c>
      <c r="H1354" t="s">
        <v>2907</v>
      </c>
      <c r="I1354">
        <v>4</v>
      </c>
      <c r="J1354" t="s">
        <v>4417</v>
      </c>
      <c r="K1354">
        <v>68</v>
      </c>
      <c r="L1354" t="s">
        <v>10848</v>
      </c>
      <c r="M1354" t="s">
        <v>10849</v>
      </c>
      <c r="N1354" t="s">
        <v>10822</v>
      </c>
      <c r="O1354" t="s">
        <v>10614</v>
      </c>
      <c r="P1354" t="s">
        <v>10850</v>
      </c>
      <c r="Q1354" t="s">
        <v>10851</v>
      </c>
      <c r="R1354" t="s">
        <v>10852</v>
      </c>
      <c r="S1354" s="2">
        <v>43890</v>
      </c>
      <c r="T1354" t="s">
        <v>10853</v>
      </c>
      <c r="U1354" t="s">
        <v>10826</v>
      </c>
      <c r="V1354">
        <v>0</v>
      </c>
      <c r="W1354">
        <v>1</v>
      </c>
      <c r="X1354">
        <v>136893</v>
      </c>
      <c r="Y1354" t="s">
        <v>61</v>
      </c>
      <c r="Z1354" t="s">
        <v>10851</v>
      </c>
      <c r="AA1354" t="s">
        <v>10615</v>
      </c>
      <c r="AB1354" t="s">
        <v>45</v>
      </c>
      <c r="AC1354" t="s">
        <v>10616</v>
      </c>
    </row>
    <row r="1355" spans="1:29">
      <c r="A1355" t="s">
        <v>1300</v>
      </c>
      <c r="B1355" s="1">
        <v>97014</v>
      </c>
      <c r="C1355" t="s">
        <v>3257</v>
      </c>
      <c r="D1355" t="s">
        <v>3029</v>
      </c>
      <c r="E1355" t="s">
        <v>10854</v>
      </c>
      <c r="F1355" t="s">
        <v>2345</v>
      </c>
      <c r="G1355" t="s">
        <v>4858</v>
      </c>
      <c r="H1355" t="s">
        <v>2907</v>
      </c>
      <c r="I1355">
        <v>4</v>
      </c>
      <c r="J1355" t="s">
        <v>10855</v>
      </c>
      <c r="K1355">
        <v>69</v>
      </c>
      <c r="L1355" t="s">
        <v>10856</v>
      </c>
      <c r="M1355" t="s">
        <v>10857</v>
      </c>
      <c r="N1355" t="s">
        <v>10822</v>
      </c>
      <c r="O1355" t="s">
        <v>10614</v>
      </c>
      <c r="P1355" t="s">
        <v>10858</v>
      </c>
      <c r="Q1355" t="s">
        <v>10859</v>
      </c>
      <c r="R1355" t="s">
        <v>10860</v>
      </c>
      <c r="S1355" s="2">
        <v>43890</v>
      </c>
      <c r="T1355" t="s">
        <v>329</v>
      </c>
      <c r="U1355" t="s">
        <v>10826</v>
      </c>
      <c r="V1355">
        <v>1</v>
      </c>
      <c r="W1355">
        <v>11</v>
      </c>
      <c r="X1355">
        <v>172127</v>
      </c>
      <c r="Y1355" t="s">
        <v>9364</v>
      </c>
      <c r="Z1355" t="s">
        <v>10859</v>
      </c>
      <c r="AA1355" t="s">
        <v>10615</v>
      </c>
      <c r="AB1355" t="s">
        <v>45</v>
      </c>
      <c r="AC1355" t="s">
        <v>10616</v>
      </c>
    </row>
    <row r="1356" spans="1:29">
      <c r="A1356" t="s">
        <v>450</v>
      </c>
      <c r="B1356" s="1">
        <v>94004</v>
      </c>
      <c r="C1356" t="s">
        <v>6513</v>
      </c>
      <c r="D1356" t="s">
        <v>3029</v>
      </c>
      <c r="E1356" s="1">
        <v>-4219</v>
      </c>
      <c r="F1356" t="s">
        <v>3359</v>
      </c>
      <c r="G1356" t="s">
        <v>503</v>
      </c>
      <c r="H1356" t="s">
        <v>10861</v>
      </c>
      <c r="I1356">
        <v>4</v>
      </c>
      <c r="J1356" t="s">
        <v>8749</v>
      </c>
      <c r="K1356">
        <v>71</v>
      </c>
      <c r="L1356" t="s">
        <v>10862</v>
      </c>
      <c r="M1356" t="s">
        <v>10863</v>
      </c>
      <c r="N1356" t="s">
        <v>10864</v>
      </c>
      <c r="O1356" t="s">
        <v>10614</v>
      </c>
      <c r="P1356" t="s">
        <v>10865</v>
      </c>
      <c r="Q1356" t="s">
        <v>10866</v>
      </c>
      <c r="R1356" t="s">
        <v>10864</v>
      </c>
      <c r="S1356" s="2">
        <v>43706</v>
      </c>
      <c r="T1356">
        <v>0</v>
      </c>
      <c r="U1356" t="s">
        <v>10867</v>
      </c>
      <c r="V1356">
        <v>1</v>
      </c>
      <c r="W1356">
        <v>1</v>
      </c>
      <c r="X1356">
        <v>199711</v>
      </c>
      <c r="Y1356" t="s">
        <v>1799</v>
      </c>
      <c r="Z1356" t="s">
        <v>10866</v>
      </c>
      <c r="AA1356" t="s">
        <v>10615</v>
      </c>
      <c r="AB1356" t="s">
        <v>45</v>
      </c>
      <c r="AC1356" t="s">
        <v>10616</v>
      </c>
    </row>
    <row r="1357" spans="1:29">
      <c r="A1357" t="s">
        <v>4291</v>
      </c>
      <c r="B1357" s="1">
        <v>165951</v>
      </c>
      <c r="C1357" t="s">
        <v>2388</v>
      </c>
      <c r="D1357" t="s">
        <v>3029</v>
      </c>
      <c r="E1357" s="1">
        <v>-7009</v>
      </c>
      <c r="F1357" t="s">
        <v>2280</v>
      </c>
      <c r="G1357" t="s">
        <v>1267</v>
      </c>
      <c r="H1357" t="s">
        <v>10868</v>
      </c>
      <c r="I1357">
        <v>4</v>
      </c>
      <c r="J1357" t="s">
        <v>1525</v>
      </c>
      <c r="K1357">
        <v>70</v>
      </c>
      <c r="L1357" t="s">
        <v>10869</v>
      </c>
      <c r="M1357" t="s">
        <v>10870</v>
      </c>
      <c r="N1357" t="s">
        <v>10871</v>
      </c>
      <c r="O1357" t="s">
        <v>10614</v>
      </c>
      <c r="P1357" t="s">
        <v>10872</v>
      </c>
      <c r="Q1357" t="s">
        <v>10873</v>
      </c>
      <c r="R1357" t="s">
        <v>10871</v>
      </c>
      <c r="S1357" s="2">
        <v>43658</v>
      </c>
      <c r="T1357" t="s">
        <v>10874</v>
      </c>
      <c r="U1357" t="s">
        <v>10875</v>
      </c>
      <c r="V1357">
        <v>1</v>
      </c>
      <c r="W1357">
        <v>2</v>
      </c>
      <c r="X1357">
        <v>225542</v>
      </c>
      <c r="Y1357" t="s">
        <v>292</v>
      </c>
      <c r="Z1357" t="s">
        <v>10873</v>
      </c>
      <c r="AA1357" t="s">
        <v>10615</v>
      </c>
      <c r="AB1357" t="s">
        <v>45</v>
      </c>
      <c r="AC1357" t="s">
        <v>10616</v>
      </c>
    </row>
    <row r="1358" spans="1:29">
      <c r="A1358" t="s">
        <v>460</v>
      </c>
      <c r="B1358" s="1">
        <v>176088</v>
      </c>
      <c r="C1358" t="s">
        <v>653</v>
      </c>
      <c r="D1358" t="s">
        <v>3029</v>
      </c>
      <c r="E1358" s="1">
        <v>-5795</v>
      </c>
      <c r="F1358" t="s">
        <v>1596</v>
      </c>
      <c r="G1358" t="s">
        <v>2938</v>
      </c>
      <c r="H1358" t="s">
        <v>10876</v>
      </c>
      <c r="I1358">
        <v>4</v>
      </c>
      <c r="J1358" t="s">
        <v>2403</v>
      </c>
      <c r="K1358">
        <v>82</v>
      </c>
      <c r="L1358" t="s">
        <v>10877</v>
      </c>
      <c r="M1358" t="s">
        <v>10878</v>
      </c>
      <c r="N1358" t="s">
        <v>10879</v>
      </c>
      <c r="O1358" t="s">
        <v>10614</v>
      </c>
      <c r="P1358" t="s">
        <v>10880</v>
      </c>
      <c r="Q1358" t="s">
        <v>10881</v>
      </c>
      <c r="R1358" t="s">
        <v>10882</v>
      </c>
      <c r="S1358" s="2">
        <v>43644</v>
      </c>
      <c r="T1358" t="s">
        <v>10883</v>
      </c>
      <c r="U1358" t="s">
        <v>10884</v>
      </c>
      <c r="V1358">
        <v>1</v>
      </c>
      <c r="W1358">
        <v>7</v>
      </c>
      <c r="X1358">
        <v>242573</v>
      </c>
      <c r="Y1358" t="s">
        <v>608</v>
      </c>
      <c r="Z1358" t="s">
        <v>10881</v>
      </c>
      <c r="AA1358" t="s">
        <v>10615</v>
      </c>
      <c r="AB1358" t="s">
        <v>45</v>
      </c>
      <c r="AC1358" t="s">
        <v>10616</v>
      </c>
    </row>
    <row r="1359" spans="1:29">
      <c r="A1359" t="s">
        <v>3471</v>
      </c>
      <c r="B1359" s="1">
        <v>92603</v>
      </c>
      <c r="C1359" t="s">
        <v>5560</v>
      </c>
      <c r="D1359" t="s">
        <v>3029</v>
      </c>
      <c r="E1359" s="1">
        <v>-4443</v>
      </c>
      <c r="F1359" t="s">
        <v>2089</v>
      </c>
      <c r="G1359" t="s">
        <v>8615</v>
      </c>
      <c r="H1359" t="s">
        <v>10876</v>
      </c>
      <c r="I1359">
        <v>4</v>
      </c>
      <c r="J1359" t="s">
        <v>1012</v>
      </c>
      <c r="K1359">
        <v>75</v>
      </c>
      <c r="L1359" t="s">
        <v>10885</v>
      </c>
      <c r="M1359" t="s">
        <v>10886</v>
      </c>
      <c r="N1359" t="s">
        <v>10879</v>
      </c>
      <c r="O1359" t="s">
        <v>10614</v>
      </c>
      <c r="P1359" t="s">
        <v>10887</v>
      </c>
      <c r="Q1359" t="s">
        <v>10888</v>
      </c>
      <c r="R1359" t="s">
        <v>10889</v>
      </c>
      <c r="S1359" s="2">
        <v>43644</v>
      </c>
      <c r="T1359">
        <v>0</v>
      </c>
      <c r="U1359" t="s">
        <v>10884</v>
      </c>
      <c r="V1359">
        <v>0</v>
      </c>
      <c r="W1359">
        <v>10</v>
      </c>
      <c r="X1359">
        <v>222347</v>
      </c>
      <c r="Y1359" t="s">
        <v>4413</v>
      </c>
      <c r="Z1359" t="s">
        <v>10888</v>
      </c>
      <c r="AA1359" t="s">
        <v>10615</v>
      </c>
      <c r="AB1359" t="s">
        <v>45</v>
      </c>
      <c r="AC1359" t="s">
        <v>10616</v>
      </c>
    </row>
    <row r="1360" spans="1:29">
      <c r="A1360" t="s">
        <v>758</v>
      </c>
      <c r="B1360" s="1">
        <v>176169</v>
      </c>
      <c r="C1360" t="s">
        <v>3984</v>
      </c>
      <c r="D1360" t="s">
        <v>3029</v>
      </c>
      <c r="E1360" s="1">
        <v>-4773</v>
      </c>
      <c r="F1360" t="s">
        <v>1870</v>
      </c>
      <c r="G1360" t="s">
        <v>585</v>
      </c>
      <c r="H1360" t="s">
        <v>10890</v>
      </c>
      <c r="I1360">
        <v>4</v>
      </c>
      <c r="J1360" t="s">
        <v>4712</v>
      </c>
      <c r="K1360">
        <v>72</v>
      </c>
      <c r="L1360" t="s">
        <v>10891</v>
      </c>
      <c r="M1360" t="s">
        <v>10892</v>
      </c>
      <c r="N1360" t="s">
        <v>10893</v>
      </c>
      <c r="O1360" t="s">
        <v>10614</v>
      </c>
      <c r="P1360" t="s">
        <v>10894</v>
      </c>
      <c r="Q1360" t="s">
        <v>10895</v>
      </c>
      <c r="R1360" t="s">
        <v>10893</v>
      </c>
      <c r="S1360" s="2">
        <v>43616</v>
      </c>
      <c r="T1360" t="s">
        <v>10896</v>
      </c>
      <c r="U1360" t="s">
        <v>10897</v>
      </c>
      <c r="V1360">
        <v>1</v>
      </c>
      <c r="W1360">
        <v>2</v>
      </c>
      <c r="X1360">
        <v>250534</v>
      </c>
      <c r="Y1360" t="s">
        <v>2905</v>
      </c>
      <c r="Z1360" t="s">
        <v>10895</v>
      </c>
      <c r="AA1360" t="s">
        <v>10615</v>
      </c>
      <c r="AB1360" t="s">
        <v>45</v>
      </c>
      <c r="AC1360" t="s">
        <v>10616</v>
      </c>
    </row>
    <row r="1361" spans="1:29">
      <c r="A1361" t="s">
        <v>552</v>
      </c>
      <c r="B1361" s="1">
        <v>97963</v>
      </c>
      <c r="C1361" t="s">
        <v>630</v>
      </c>
      <c r="D1361" t="s">
        <v>3029</v>
      </c>
      <c r="E1361" s="1">
        <v>-4027</v>
      </c>
      <c r="F1361" t="s">
        <v>499</v>
      </c>
      <c r="G1361" t="s">
        <v>265</v>
      </c>
      <c r="H1361" t="s">
        <v>10898</v>
      </c>
      <c r="I1361">
        <v>4</v>
      </c>
      <c r="J1361" t="s">
        <v>2101</v>
      </c>
      <c r="K1361">
        <v>69</v>
      </c>
      <c r="L1361" t="s">
        <v>10899</v>
      </c>
      <c r="M1361" t="s">
        <v>10900</v>
      </c>
      <c r="N1361" t="s">
        <v>10901</v>
      </c>
      <c r="O1361" t="s">
        <v>10614</v>
      </c>
      <c r="P1361" t="s">
        <v>10902</v>
      </c>
      <c r="Q1361" t="s">
        <v>10903</v>
      </c>
      <c r="R1361" t="s">
        <v>10901</v>
      </c>
      <c r="S1361" s="2">
        <v>43552</v>
      </c>
      <c r="T1361" t="s">
        <v>10904</v>
      </c>
      <c r="U1361" t="s">
        <v>10905</v>
      </c>
      <c r="V1361">
        <v>1</v>
      </c>
      <c r="W1361">
        <v>6</v>
      </c>
      <c r="X1361">
        <v>161627</v>
      </c>
      <c r="Y1361" t="s">
        <v>903</v>
      </c>
      <c r="Z1361" t="s">
        <v>10903</v>
      </c>
      <c r="AA1361" t="s">
        <v>10615</v>
      </c>
      <c r="AB1361" t="s">
        <v>45</v>
      </c>
      <c r="AC1361" t="s">
        <v>10616</v>
      </c>
    </row>
    <row r="1362" spans="1:29">
      <c r="A1362" t="s">
        <v>1239</v>
      </c>
      <c r="B1362" s="1">
        <v>95982</v>
      </c>
      <c r="C1362" t="s">
        <v>4376</v>
      </c>
      <c r="D1362" t="s">
        <v>3029</v>
      </c>
      <c r="E1362" s="1">
        <v>-4152</v>
      </c>
      <c r="F1362" t="s">
        <v>1024</v>
      </c>
      <c r="G1362" t="s">
        <v>6212</v>
      </c>
      <c r="H1362" t="s">
        <v>10906</v>
      </c>
      <c r="I1362">
        <v>4</v>
      </c>
      <c r="J1362" t="s">
        <v>3258</v>
      </c>
      <c r="K1362">
        <v>69</v>
      </c>
      <c r="L1362" t="s">
        <v>10907</v>
      </c>
      <c r="M1362" t="s">
        <v>10908</v>
      </c>
      <c r="N1362" t="s">
        <v>10909</v>
      </c>
      <c r="O1362" t="s">
        <v>10614</v>
      </c>
      <c r="P1362" t="s">
        <v>10910</v>
      </c>
      <c r="Q1362" t="s">
        <v>10911</v>
      </c>
      <c r="R1362" t="s">
        <v>10909</v>
      </c>
      <c r="S1362" s="2">
        <v>43552</v>
      </c>
      <c r="T1362" t="s">
        <v>10912</v>
      </c>
      <c r="U1362" t="s">
        <v>10913</v>
      </c>
      <c r="V1362">
        <v>0</v>
      </c>
      <c r="W1362">
        <v>11</v>
      </c>
      <c r="X1362">
        <v>267500</v>
      </c>
      <c r="Y1362" t="s">
        <v>3632</v>
      </c>
      <c r="Z1362" t="s">
        <v>10911</v>
      </c>
      <c r="AA1362" t="s">
        <v>10615</v>
      </c>
      <c r="AB1362" t="s">
        <v>45</v>
      </c>
      <c r="AC1362" t="s">
        <v>10616</v>
      </c>
    </row>
    <row r="1363" spans="1:29">
      <c r="A1363" t="s">
        <v>3257</v>
      </c>
      <c r="B1363" s="1">
        <v>93989</v>
      </c>
      <c r="C1363" t="s">
        <v>1583</v>
      </c>
      <c r="D1363" t="s">
        <v>3029</v>
      </c>
      <c r="E1363" s="1">
        <v>-2652</v>
      </c>
      <c r="F1363" t="s">
        <v>905</v>
      </c>
      <c r="G1363" t="s">
        <v>289</v>
      </c>
      <c r="H1363" t="s">
        <v>8362</v>
      </c>
      <c r="I1363">
        <v>4</v>
      </c>
      <c r="J1363" t="s">
        <v>8363</v>
      </c>
      <c r="K1363">
        <v>76</v>
      </c>
      <c r="L1363" t="s">
        <v>8364</v>
      </c>
      <c r="M1363" t="s">
        <v>8365</v>
      </c>
      <c r="N1363" t="s">
        <v>8366</v>
      </c>
      <c r="O1363" t="s">
        <v>10614</v>
      </c>
      <c r="P1363" t="s">
        <v>8367</v>
      </c>
      <c r="Q1363" t="s">
        <v>8368</v>
      </c>
      <c r="R1363" t="s">
        <v>8366</v>
      </c>
      <c r="S1363" s="2">
        <v>43489</v>
      </c>
      <c r="T1363" t="s">
        <v>8369</v>
      </c>
      <c r="U1363" t="s">
        <v>8370</v>
      </c>
      <c r="V1363">
        <v>0</v>
      </c>
      <c r="W1363">
        <v>8</v>
      </c>
      <c r="X1363">
        <v>193227</v>
      </c>
      <c r="Y1363" t="s">
        <v>437</v>
      </c>
      <c r="Z1363" t="s">
        <v>8368</v>
      </c>
      <c r="AA1363" t="s">
        <v>10615</v>
      </c>
      <c r="AB1363" t="s">
        <v>45</v>
      </c>
      <c r="AC1363" t="s">
        <v>10616</v>
      </c>
    </row>
    <row r="1364" spans="1:29">
      <c r="A1364" t="s">
        <v>448</v>
      </c>
      <c r="B1364" s="1">
        <v>96993</v>
      </c>
      <c r="C1364" t="s">
        <v>265</v>
      </c>
      <c r="D1364" t="s">
        <v>3029</v>
      </c>
      <c r="E1364" s="1">
        <v>-4336</v>
      </c>
      <c r="F1364" t="s">
        <v>255</v>
      </c>
      <c r="G1364" t="s">
        <v>2963</v>
      </c>
      <c r="H1364" t="s">
        <v>10914</v>
      </c>
      <c r="I1364">
        <v>4</v>
      </c>
      <c r="J1364" t="s">
        <v>10915</v>
      </c>
      <c r="K1364">
        <v>70</v>
      </c>
      <c r="L1364" t="s">
        <v>10916</v>
      </c>
      <c r="M1364" t="s">
        <v>10917</v>
      </c>
      <c r="N1364" t="s">
        <v>10918</v>
      </c>
      <c r="O1364" t="s">
        <v>10614</v>
      </c>
      <c r="P1364" t="s">
        <v>10919</v>
      </c>
      <c r="Q1364" t="s">
        <v>10920</v>
      </c>
      <c r="R1364" t="s">
        <v>10921</v>
      </c>
      <c r="S1364" s="2">
        <v>43756</v>
      </c>
      <c r="T1364" t="s">
        <v>3668</v>
      </c>
      <c r="U1364" t="s">
        <v>10922</v>
      </c>
      <c r="V1364">
        <v>0</v>
      </c>
      <c r="W1364">
        <v>5</v>
      </c>
      <c r="X1364">
        <v>203187</v>
      </c>
      <c r="Y1364" t="s">
        <v>2929</v>
      </c>
      <c r="Z1364" t="s">
        <v>10920</v>
      </c>
      <c r="AA1364" t="s">
        <v>10615</v>
      </c>
      <c r="AB1364" t="s">
        <v>45</v>
      </c>
      <c r="AC1364" t="s">
        <v>10616</v>
      </c>
    </row>
    <row r="1365" spans="1:29">
      <c r="A1365" t="s">
        <v>892</v>
      </c>
      <c r="B1365" s="1">
        <v>87961</v>
      </c>
      <c r="C1365" t="s">
        <v>5292</v>
      </c>
      <c r="D1365" t="s">
        <v>3029</v>
      </c>
      <c r="E1365" s="1">
        <v>-7542</v>
      </c>
      <c r="F1365" t="s">
        <v>2063</v>
      </c>
      <c r="G1365" t="s">
        <v>3888</v>
      </c>
      <c r="H1365" t="s">
        <v>10745</v>
      </c>
      <c r="I1365">
        <v>4</v>
      </c>
      <c r="J1365" t="s">
        <v>3965</v>
      </c>
      <c r="K1365">
        <v>74</v>
      </c>
      <c r="L1365" t="s">
        <v>10923</v>
      </c>
      <c r="M1365" t="s">
        <v>10924</v>
      </c>
      <c r="N1365" t="s">
        <v>10925</v>
      </c>
      <c r="O1365" t="s">
        <v>10614</v>
      </c>
      <c r="P1365" t="s">
        <v>10926</v>
      </c>
      <c r="Q1365" t="s">
        <v>10927</v>
      </c>
      <c r="R1365">
        <v>512</v>
      </c>
      <c r="S1365" s="2">
        <v>44232</v>
      </c>
      <c r="T1365">
        <v>0</v>
      </c>
      <c r="U1365" t="s">
        <v>10928</v>
      </c>
      <c r="V1365">
        <v>0</v>
      </c>
      <c r="W1365">
        <v>4</v>
      </c>
      <c r="X1365">
        <v>193636</v>
      </c>
      <c r="Y1365" t="s">
        <v>2751</v>
      </c>
      <c r="Z1365" t="s">
        <v>10927</v>
      </c>
      <c r="AA1365" t="s">
        <v>10615</v>
      </c>
      <c r="AB1365" t="s">
        <v>45</v>
      </c>
      <c r="AC1365" t="s">
        <v>10616</v>
      </c>
    </row>
    <row r="1366" spans="1:29">
      <c r="A1366" t="s">
        <v>605</v>
      </c>
      <c r="B1366" s="1">
        <v>173916</v>
      </c>
      <c r="C1366" t="s">
        <v>2740</v>
      </c>
      <c r="D1366" t="s">
        <v>3029</v>
      </c>
      <c r="E1366" s="1">
        <v>-5746</v>
      </c>
      <c r="F1366" t="s">
        <v>984</v>
      </c>
      <c r="G1366" t="s">
        <v>1810</v>
      </c>
      <c r="H1366" t="s">
        <v>10929</v>
      </c>
      <c r="I1366">
        <v>4</v>
      </c>
      <c r="J1366" t="s">
        <v>437</v>
      </c>
      <c r="K1366">
        <v>72</v>
      </c>
      <c r="L1366" t="s">
        <v>10930</v>
      </c>
      <c r="M1366" t="s">
        <v>10931</v>
      </c>
      <c r="N1366" t="s">
        <v>10932</v>
      </c>
      <c r="O1366" t="s">
        <v>10614</v>
      </c>
      <c r="P1366" t="s">
        <v>10933</v>
      </c>
      <c r="Q1366" t="s">
        <v>10934</v>
      </c>
      <c r="R1366" t="s">
        <v>10935</v>
      </c>
      <c r="S1366" s="2">
        <v>41894</v>
      </c>
      <c r="T1366" t="s">
        <v>10936</v>
      </c>
      <c r="U1366" t="s">
        <v>10937</v>
      </c>
      <c r="V1366">
        <v>0</v>
      </c>
      <c r="W1366">
        <v>8</v>
      </c>
      <c r="X1366">
        <v>226413</v>
      </c>
      <c r="Y1366" t="s">
        <v>2436</v>
      </c>
      <c r="Z1366" t="s">
        <v>10934</v>
      </c>
      <c r="AA1366" t="s">
        <v>10615</v>
      </c>
      <c r="AB1366" t="s">
        <v>45</v>
      </c>
      <c r="AC1366" t="s">
        <v>10616</v>
      </c>
    </row>
    <row r="1367" spans="1:29">
      <c r="A1367" t="s">
        <v>320</v>
      </c>
      <c r="B1367" t="s">
        <v>10938</v>
      </c>
      <c r="C1367" t="s">
        <v>1085</v>
      </c>
      <c r="D1367" t="s">
        <v>3029</v>
      </c>
      <c r="E1367" s="1">
        <v>-5885</v>
      </c>
      <c r="F1367" t="s">
        <v>486</v>
      </c>
      <c r="G1367" t="s">
        <v>108</v>
      </c>
      <c r="H1367" t="s">
        <v>10939</v>
      </c>
      <c r="I1367">
        <v>4</v>
      </c>
      <c r="J1367" t="s">
        <v>582</v>
      </c>
      <c r="K1367">
        <v>82</v>
      </c>
      <c r="L1367" t="s">
        <v>10940</v>
      </c>
      <c r="M1367" t="s">
        <v>10941</v>
      </c>
      <c r="N1367" t="s">
        <v>10942</v>
      </c>
      <c r="O1367" t="s">
        <v>10614</v>
      </c>
      <c r="P1367" t="s">
        <v>10943</v>
      </c>
      <c r="Q1367" t="s">
        <v>10944</v>
      </c>
      <c r="R1367" t="s">
        <v>10945</v>
      </c>
      <c r="S1367" s="2">
        <v>42307</v>
      </c>
      <c r="T1367">
        <v>0</v>
      </c>
      <c r="U1367" t="s">
        <v>10946</v>
      </c>
      <c r="V1367">
        <v>0</v>
      </c>
      <c r="W1367">
        <v>5</v>
      </c>
      <c r="X1367">
        <v>207307</v>
      </c>
      <c r="Y1367" t="s">
        <v>3808</v>
      </c>
      <c r="Z1367" t="s">
        <v>10944</v>
      </c>
      <c r="AA1367" t="s">
        <v>10615</v>
      </c>
      <c r="AB1367" t="s">
        <v>45</v>
      </c>
      <c r="AC1367" t="s">
        <v>10616</v>
      </c>
    </row>
    <row r="1368" spans="1:29">
      <c r="A1368" t="s">
        <v>265</v>
      </c>
      <c r="B1368" s="1">
        <v>175965</v>
      </c>
      <c r="C1368" t="s">
        <v>265</v>
      </c>
      <c r="D1368" t="s">
        <v>3029</v>
      </c>
      <c r="E1368" s="1">
        <v>-5046</v>
      </c>
      <c r="F1368" t="s">
        <v>198</v>
      </c>
      <c r="G1368" t="s">
        <v>2262</v>
      </c>
      <c r="H1368" t="s">
        <v>10947</v>
      </c>
      <c r="I1368">
        <v>4</v>
      </c>
      <c r="J1368" t="s">
        <v>1643</v>
      </c>
      <c r="K1368">
        <v>69</v>
      </c>
      <c r="L1368" t="s">
        <v>10948</v>
      </c>
      <c r="M1368" t="s">
        <v>10949</v>
      </c>
      <c r="N1368" t="s">
        <v>10950</v>
      </c>
      <c r="O1368" t="s">
        <v>10614</v>
      </c>
      <c r="P1368" t="s">
        <v>10951</v>
      </c>
      <c r="Q1368" t="s">
        <v>10952</v>
      </c>
      <c r="R1368" s="5">
        <v>0.25</v>
      </c>
      <c r="S1368" s="2">
        <v>41546</v>
      </c>
      <c r="T1368">
        <v>0</v>
      </c>
      <c r="U1368" t="s">
        <v>10953</v>
      </c>
      <c r="V1368">
        <v>0</v>
      </c>
      <c r="W1368">
        <v>5</v>
      </c>
      <c r="X1368">
        <v>243227</v>
      </c>
      <c r="Y1368" t="s">
        <v>608</v>
      </c>
      <c r="Z1368" t="s">
        <v>10952</v>
      </c>
      <c r="AA1368" t="s">
        <v>10615</v>
      </c>
      <c r="AB1368" t="s">
        <v>45</v>
      </c>
      <c r="AC1368" t="s">
        <v>10616</v>
      </c>
    </row>
    <row r="1369" spans="1:29">
      <c r="A1369" t="s">
        <v>580</v>
      </c>
      <c r="B1369" s="1">
        <v>140006</v>
      </c>
      <c r="C1369" t="s">
        <v>2651</v>
      </c>
      <c r="D1369" t="s">
        <v>3029</v>
      </c>
      <c r="E1369" s="1">
        <v>-6268</v>
      </c>
      <c r="F1369" t="s">
        <v>10432</v>
      </c>
      <c r="G1369" t="s">
        <v>1278</v>
      </c>
      <c r="H1369" t="s">
        <v>10954</v>
      </c>
      <c r="I1369">
        <v>4</v>
      </c>
      <c r="J1369" t="s">
        <v>178</v>
      </c>
      <c r="K1369">
        <v>69</v>
      </c>
      <c r="L1369" t="s">
        <v>10955</v>
      </c>
      <c r="M1369" t="s">
        <v>10956</v>
      </c>
      <c r="N1369" t="s">
        <v>10957</v>
      </c>
      <c r="O1369" t="s">
        <v>10614</v>
      </c>
      <c r="P1369" t="s">
        <v>10958</v>
      </c>
      <c r="Q1369" t="s">
        <v>10959</v>
      </c>
      <c r="R1369" t="s">
        <v>10957</v>
      </c>
      <c r="S1369" s="2">
        <v>43042</v>
      </c>
      <c r="T1369">
        <v>0</v>
      </c>
      <c r="U1369" t="s">
        <v>10960</v>
      </c>
      <c r="V1369">
        <v>1</v>
      </c>
      <c r="W1369">
        <v>11</v>
      </c>
      <c r="X1369">
        <v>297485</v>
      </c>
      <c r="Y1369" t="s">
        <v>1554</v>
      </c>
      <c r="Z1369" t="s">
        <v>10959</v>
      </c>
      <c r="AA1369" t="s">
        <v>10615</v>
      </c>
      <c r="AB1369" t="s">
        <v>45</v>
      </c>
      <c r="AC1369" t="s">
        <v>10616</v>
      </c>
    </row>
    <row r="1370" spans="1:29">
      <c r="A1370" t="s">
        <v>322</v>
      </c>
      <c r="B1370" s="1">
        <v>106034</v>
      </c>
      <c r="C1370" t="s">
        <v>2118</v>
      </c>
      <c r="D1370" t="s">
        <v>3029</v>
      </c>
      <c r="E1370" s="1">
        <v>-7252</v>
      </c>
      <c r="F1370" t="s">
        <v>1799</v>
      </c>
      <c r="G1370" t="s">
        <v>3311</v>
      </c>
      <c r="H1370" t="s">
        <v>10961</v>
      </c>
      <c r="I1370">
        <v>4</v>
      </c>
      <c r="J1370" t="s">
        <v>984</v>
      </c>
      <c r="K1370">
        <v>70</v>
      </c>
      <c r="L1370" t="s">
        <v>10962</v>
      </c>
      <c r="M1370" t="s">
        <v>10963</v>
      </c>
      <c r="N1370" t="s">
        <v>10964</v>
      </c>
      <c r="O1370" t="s">
        <v>10614</v>
      </c>
      <c r="P1370" t="s">
        <v>10965</v>
      </c>
      <c r="Q1370" t="s">
        <v>10966</v>
      </c>
      <c r="R1370" t="s">
        <v>10964</v>
      </c>
      <c r="S1370" s="2">
        <v>43392</v>
      </c>
      <c r="T1370" t="s">
        <v>10967</v>
      </c>
      <c r="U1370" t="s">
        <v>10968</v>
      </c>
      <c r="V1370">
        <v>1</v>
      </c>
      <c r="W1370">
        <v>7</v>
      </c>
      <c r="X1370">
        <v>352442</v>
      </c>
      <c r="Y1370" t="s">
        <v>449</v>
      </c>
      <c r="Z1370" t="s">
        <v>10966</v>
      </c>
      <c r="AA1370" t="s">
        <v>10615</v>
      </c>
      <c r="AB1370" t="s">
        <v>45</v>
      </c>
      <c r="AC1370" t="s">
        <v>10616</v>
      </c>
    </row>
    <row r="1371" spans="1:29">
      <c r="A1371" t="s">
        <v>304</v>
      </c>
      <c r="B1371" s="1">
        <v>87864</v>
      </c>
      <c r="C1371" t="s">
        <v>1536</v>
      </c>
      <c r="D1371" t="s">
        <v>3029</v>
      </c>
      <c r="E1371" s="1">
        <v>-4493</v>
      </c>
      <c r="F1371" t="s">
        <v>4905</v>
      </c>
      <c r="G1371" t="s">
        <v>3114</v>
      </c>
      <c r="H1371" t="s">
        <v>10969</v>
      </c>
      <c r="I1371">
        <v>4</v>
      </c>
      <c r="J1371" t="s">
        <v>10054</v>
      </c>
      <c r="K1371">
        <v>69</v>
      </c>
      <c r="L1371" t="s">
        <v>10970</v>
      </c>
      <c r="M1371" t="s">
        <v>10971</v>
      </c>
      <c r="N1371" t="s">
        <v>10972</v>
      </c>
      <c r="O1371" t="s">
        <v>10614</v>
      </c>
      <c r="P1371" t="s">
        <v>10973</v>
      </c>
      <c r="Q1371" t="s">
        <v>10974</v>
      </c>
      <c r="R1371" t="s">
        <v>10975</v>
      </c>
      <c r="S1371" s="2">
        <v>43245</v>
      </c>
      <c r="T1371" t="s">
        <v>3083</v>
      </c>
      <c r="U1371" t="s">
        <v>10976</v>
      </c>
      <c r="V1371">
        <v>1</v>
      </c>
      <c r="W1371">
        <v>7</v>
      </c>
      <c r="X1371">
        <v>250840</v>
      </c>
      <c r="Y1371" t="s">
        <v>1202</v>
      </c>
      <c r="Z1371" t="s">
        <v>10974</v>
      </c>
      <c r="AA1371" t="s">
        <v>10615</v>
      </c>
      <c r="AB1371" t="s">
        <v>45</v>
      </c>
      <c r="AC1371" t="s">
        <v>10616</v>
      </c>
    </row>
    <row r="1372" spans="1:29">
      <c r="A1372" t="s">
        <v>3597</v>
      </c>
      <c r="B1372" s="1">
        <v>83836</v>
      </c>
      <c r="C1372" t="s">
        <v>959</v>
      </c>
      <c r="D1372" t="s">
        <v>3029</v>
      </c>
      <c r="E1372" s="1">
        <v>-5402</v>
      </c>
      <c r="F1372" t="s">
        <v>6654</v>
      </c>
      <c r="G1372" t="s">
        <v>1641</v>
      </c>
      <c r="H1372" t="s">
        <v>10652</v>
      </c>
      <c r="I1372">
        <v>4</v>
      </c>
      <c r="J1372" t="s">
        <v>10977</v>
      </c>
      <c r="K1372">
        <v>74</v>
      </c>
      <c r="L1372" t="s">
        <v>10978</v>
      </c>
      <c r="M1372" t="s">
        <v>10979</v>
      </c>
      <c r="N1372" t="s">
        <v>10822</v>
      </c>
      <c r="O1372" t="s">
        <v>10614</v>
      </c>
      <c r="P1372" t="s">
        <v>10980</v>
      </c>
      <c r="Q1372" t="s">
        <v>10981</v>
      </c>
      <c r="R1372" t="s">
        <v>10982</v>
      </c>
      <c r="S1372" s="2">
        <v>43890</v>
      </c>
      <c r="T1372" t="s">
        <v>10983</v>
      </c>
      <c r="U1372" t="s">
        <v>10826</v>
      </c>
      <c r="V1372">
        <v>0</v>
      </c>
      <c r="W1372">
        <v>11</v>
      </c>
      <c r="X1372">
        <v>232496</v>
      </c>
      <c r="Y1372" t="s">
        <v>3808</v>
      </c>
      <c r="Z1372" t="s">
        <v>10981</v>
      </c>
      <c r="AA1372" t="s">
        <v>10615</v>
      </c>
      <c r="AB1372" t="s">
        <v>45</v>
      </c>
      <c r="AC1372" t="s">
        <v>10616</v>
      </c>
    </row>
    <row r="1373" spans="1:29">
      <c r="A1373" t="s">
        <v>1989</v>
      </c>
      <c r="B1373" s="1">
        <v>168022</v>
      </c>
      <c r="C1373" t="s">
        <v>4326</v>
      </c>
      <c r="D1373" t="s">
        <v>3029</v>
      </c>
      <c r="E1373" s="1">
        <v>-4596</v>
      </c>
      <c r="F1373" t="s">
        <v>5957</v>
      </c>
      <c r="G1373" t="s">
        <v>4723</v>
      </c>
      <c r="H1373" t="s">
        <v>10984</v>
      </c>
      <c r="I1373">
        <v>4</v>
      </c>
      <c r="J1373" t="s">
        <v>465</v>
      </c>
      <c r="K1373">
        <v>69</v>
      </c>
      <c r="L1373" t="s">
        <v>10985</v>
      </c>
      <c r="M1373" t="s">
        <v>10986</v>
      </c>
      <c r="N1373" t="s">
        <v>10987</v>
      </c>
      <c r="O1373" t="s">
        <v>10614</v>
      </c>
      <c r="P1373" t="s">
        <v>10988</v>
      </c>
      <c r="Q1373" t="s">
        <v>10989</v>
      </c>
      <c r="R1373" t="s">
        <v>10990</v>
      </c>
      <c r="S1373" s="2">
        <v>44078</v>
      </c>
      <c r="T1373" t="s">
        <v>10991</v>
      </c>
      <c r="U1373" t="s">
        <v>10992</v>
      </c>
      <c r="V1373">
        <v>0</v>
      </c>
      <c r="W1373">
        <v>5</v>
      </c>
      <c r="X1373">
        <v>230693</v>
      </c>
      <c r="Y1373" t="s">
        <v>348</v>
      </c>
      <c r="Z1373" t="s">
        <v>10989</v>
      </c>
      <c r="AA1373" t="s">
        <v>10615</v>
      </c>
      <c r="AB1373" t="s">
        <v>45</v>
      </c>
      <c r="AC1373" t="s">
        <v>10616</v>
      </c>
    </row>
    <row r="1374" spans="1:29">
      <c r="A1374" t="s">
        <v>4005</v>
      </c>
      <c r="B1374" s="1">
        <v>168021</v>
      </c>
      <c r="C1374" t="s">
        <v>2683</v>
      </c>
      <c r="D1374" t="s">
        <v>3029</v>
      </c>
      <c r="E1374" s="1">
        <v>-4637</v>
      </c>
      <c r="F1374" t="s">
        <v>10432</v>
      </c>
      <c r="G1374" t="s">
        <v>3311</v>
      </c>
      <c r="H1374" t="s">
        <v>10993</v>
      </c>
      <c r="I1374">
        <v>4</v>
      </c>
      <c r="J1374" t="s">
        <v>4185</v>
      </c>
      <c r="K1374">
        <v>70</v>
      </c>
      <c r="L1374" t="s">
        <v>10994</v>
      </c>
      <c r="M1374" t="s">
        <v>10995</v>
      </c>
      <c r="N1374" t="s">
        <v>10996</v>
      </c>
      <c r="O1374" t="s">
        <v>10614</v>
      </c>
      <c r="P1374" t="s">
        <v>10997</v>
      </c>
      <c r="Q1374" t="s">
        <v>10998</v>
      </c>
      <c r="R1374" t="s">
        <v>10996</v>
      </c>
      <c r="S1374" s="2">
        <v>44175</v>
      </c>
      <c r="T1374">
        <v>0</v>
      </c>
      <c r="U1374" t="s">
        <v>10999</v>
      </c>
      <c r="V1374">
        <v>1</v>
      </c>
      <c r="W1374">
        <v>8</v>
      </c>
      <c r="X1374">
        <v>232853</v>
      </c>
      <c r="Y1374" t="s">
        <v>32</v>
      </c>
      <c r="Z1374" t="s">
        <v>10998</v>
      </c>
      <c r="AA1374" t="s">
        <v>10615</v>
      </c>
      <c r="AB1374" t="s">
        <v>45</v>
      </c>
      <c r="AC1374" t="s">
        <v>10616</v>
      </c>
    </row>
    <row r="1375" spans="1:29">
      <c r="A1375" t="s">
        <v>2132</v>
      </c>
      <c r="B1375" t="s">
        <v>11000</v>
      </c>
      <c r="C1375" t="s">
        <v>3094</v>
      </c>
      <c r="D1375" t="s">
        <v>3029</v>
      </c>
      <c r="E1375" s="1">
        <v>-7125</v>
      </c>
      <c r="F1375" t="s">
        <v>426</v>
      </c>
      <c r="G1375" t="s">
        <v>1849</v>
      </c>
      <c r="H1375" t="s">
        <v>11001</v>
      </c>
      <c r="I1375">
        <v>4</v>
      </c>
      <c r="J1375" t="s">
        <v>528</v>
      </c>
      <c r="K1375">
        <v>75</v>
      </c>
      <c r="L1375" t="s">
        <v>11002</v>
      </c>
      <c r="M1375" t="s">
        <v>11003</v>
      </c>
      <c r="N1375" t="s">
        <v>10879</v>
      </c>
      <c r="O1375" t="s">
        <v>10614</v>
      </c>
      <c r="P1375" t="s">
        <v>11004</v>
      </c>
      <c r="Q1375" t="s">
        <v>11005</v>
      </c>
      <c r="R1375" t="s">
        <v>11006</v>
      </c>
      <c r="S1375" s="2">
        <v>43644</v>
      </c>
      <c r="T1375">
        <v>0</v>
      </c>
      <c r="U1375" t="s">
        <v>10884</v>
      </c>
      <c r="V1375">
        <v>0</v>
      </c>
      <c r="W1375">
        <v>5</v>
      </c>
      <c r="X1375">
        <v>277107</v>
      </c>
      <c r="Y1375" t="s">
        <v>2342</v>
      </c>
      <c r="Z1375" t="s">
        <v>11005</v>
      </c>
      <c r="AA1375" t="s">
        <v>10615</v>
      </c>
      <c r="AB1375" t="s">
        <v>45</v>
      </c>
      <c r="AC1375" t="s">
        <v>10616</v>
      </c>
    </row>
    <row r="1376" spans="1:29">
      <c r="A1376" t="s">
        <v>1537</v>
      </c>
      <c r="B1376" s="1">
        <v>88863</v>
      </c>
      <c r="C1376" t="s">
        <v>436</v>
      </c>
      <c r="D1376" t="s">
        <v>3029</v>
      </c>
      <c r="E1376" s="1">
        <v>-3224</v>
      </c>
      <c r="F1376" t="s">
        <v>1596</v>
      </c>
      <c r="G1376" t="s">
        <v>5766</v>
      </c>
      <c r="H1376" t="s">
        <v>11007</v>
      </c>
      <c r="I1376">
        <v>4</v>
      </c>
      <c r="J1376" t="s">
        <v>2342</v>
      </c>
      <c r="K1376">
        <v>70</v>
      </c>
      <c r="L1376" t="s">
        <v>11008</v>
      </c>
      <c r="M1376" t="s">
        <v>11009</v>
      </c>
      <c r="N1376" t="s">
        <v>11010</v>
      </c>
      <c r="O1376" t="s">
        <v>10614</v>
      </c>
      <c r="P1376" t="s">
        <v>11011</v>
      </c>
      <c r="Q1376" t="s">
        <v>11012</v>
      </c>
      <c r="R1376" t="s">
        <v>11013</v>
      </c>
      <c r="S1376" s="2">
        <v>44281</v>
      </c>
      <c r="T1376">
        <v>0</v>
      </c>
      <c r="U1376" t="s">
        <v>11014</v>
      </c>
      <c r="V1376">
        <v>0</v>
      </c>
      <c r="W1376">
        <v>5</v>
      </c>
      <c r="X1376">
        <v>209160</v>
      </c>
      <c r="Y1376" t="s">
        <v>1372</v>
      </c>
      <c r="Z1376" t="s">
        <v>11012</v>
      </c>
      <c r="AA1376" t="s">
        <v>10615</v>
      </c>
      <c r="AB1376" t="s">
        <v>45</v>
      </c>
      <c r="AC1376" t="s">
        <v>10616</v>
      </c>
    </row>
    <row r="1377" spans="1:29">
      <c r="A1377" t="s">
        <v>4462</v>
      </c>
      <c r="B1377" s="1">
        <v>130001</v>
      </c>
      <c r="C1377" t="s">
        <v>3073</v>
      </c>
      <c r="D1377" t="s">
        <v>3029</v>
      </c>
      <c r="E1377" s="1">
        <v>-3955</v>
      </c>
      <c r="F1377" t="s">
        <v>785</v>
      </c>
      <c r="G1377" t="s">
        <v>864</v>
      </c>
      <c r="H1377" t="s">
        <v>11015</v>
      </c>
      <c r="I1377">
        <v>4</v>
      </c>
      <c r="J1377" t="s">
        <v>1564</v>
      </c>
      <c r="K1377">
        <v>76</v>
      </c>
      <c r="L1377" t="s">
        <v>11016</v>
      </c>
      <c r="M1377" t="s">
        <v>11017</v>
      </c>
      <c r="N1377" t="s">
        <v>11018</v>
      </c>
      <c r="O1377" t="s">
        <v>10614</v>
      </c>
      <c r="P1377" t="s">
        <v>11019</v>
      </c>
      <c r="Q1377" t="s">
        <v>11020</v>
      </c>
      <c r="R1377" t="s">
        <v>11018</v>
      </c>
      <c r="S1377" s="2">
        <v>44371</v>
      </c>
      <c r="T1377" t="s">
        <v>11021</v>
      </c>
      <c r="U1377" t="s">
        <v>11022</v>
      </c>
      <c r="V1377">
        <v>1</v>
      </c>
      <c r="W1377">
        <v>7</v>
      </c>
      <c r="X1377">
        <v>287120</v>
      </c>
      <c r="Y1377" t="s">
        <v>11023</v>
      </c>
      <c r="Z1377" t="s">
        <v>11020</v>
      </c>
      <c r="AA1377" t="s">
        <v>10615</v>
      </c>
      <c r="AB1377" t="s">
        <v>45</v>
      </c>
      <c r="AC1377" t="s">
        <v>10616</v>
      </c>
    </row>
    <row r="1378" spans="1:29">
      <c r="A1378" t="s">
        <v>2375</v>
      </c>
      <c r="B1378" s="1">
        <v>94979</v>
      </c>
      <c r="C1378" t="s">
        <v>1153</v>
      </c>
      <c r="D1378" t="s">
        <v>3029</v>
      </c>
      <c r="E1378" s="1">
        <v>-4579</v>
      </c>
      <c r="F1378" t="s">
        <v>2725</v>
      </c>
      <c r="G1378" t="s">
        <v>813</v>
      </c>
      <c r="H1378" t="s">
        <v>11024</v>
      </c>
      <c r="I1378">
        <v>4</v>
      </c>
      <c r="J1378" t="s">
        <v>11025</v>
      </c>
      <c r="K1378">
        <v>69</v>
      </c>
      <c r="L1378" t="s">
        <v>11026</v>
      </c>
      <c r="M1378" t="s">
        <v>11027</v>
      </c>
      <c r="N1378" t="s">
        <v>11028</v>
      </c>
      <c r="O1378" t="s">
        <v>10614</v>
      </c>
      <c r="P1378" t="s">
        <v>11029</v>
      </c>
      <c r="Q1378" t="s">
        <v>11030</v>
      </c>
      <c r="R1378" t="s">
        <v>11028</v>
      </c>
      <c r="S1378" s="2">
        <v>44399</v>
      </c>
      <c r="T1378" t="s">
        <v>11031</v>
      </c>
      <c r="U1378" t="s">
        <v>11032</v>
      </c>
      <c r="V1378">
        <v>1</v>
      </c>
      <c r="W1378">
        <v>7</v>
      </c>
      <c r="X1378">
        <v>235411</v>
      </c>
      <c r="Y1378" t="s">
        <v>1797</v>
      </c>
      <c r="Z1378" t="s">
        <v>11030</v>
      </c>
      <c r="AA1378" t="s">
        <v>10615</v>
      </c>
      <c r="AB1378" t="s">
        <v>45</v>
      </c>
      <c r="AC1378" t="s">
        <v>10616</v>
      </c>
    </row>
    <row r="1379" spans="1:29">
      <c r="A1379" t="s">
        <v>4462</v>
      </c>
      <c r="B1379" s="1">
        <v>93956</v>
      </c>
      <c r="C1379" t="s">
        <v>1583</v>
      </c>
      <c r="D1379" t="s">
        <v>3029</v>
      </c>
      <c r="E1379" s="1">
        <v>-4242</v>
      </c>
      <c r="F1379" t="s">
        <v>2917</v>
      </c>
      <c r="G1379" t="s">
        <v>1584</v>
      </c>
      <c r="H1379" t="s">
        <v>11033</v>
      </c>
      <c r="I1379">
        <v>4</v>
      </c>
      <c r="J1379" t="s">
        <v>11034</v>
      </c>
      <c r="K1379">
        <v>70</v>
      </c>
      <c r="L1379" t="s">
        <v>11035</v>
      </c>
      <c r="M1379" t="s">
        <v>11036</v>
      </c>
      <c r="N1379" t="s">
        <v>10822</v>
      </c>
      <c r="O1379" t="s">
        <v>10614</v>
      </c>
      <c r="P1379" t="s">
        <v>11037</v>
      </c>
      <c r="Q1379" t="s">
        <v>11038</v>
      </c>
      <c r="R1379" t="s">
        <v>11039</v>
      </c>
      <c r="S1379" s="2">
        <v>43890</v>
      </c>
      <c r="T1379" t="s">
        <v>11040</v>
      </c>
      <c r="U1379" t="s">
        <v>10826</v>
      </c>
      <c r="V1379">
        <v>0</v>
      </c>
      <c r="W1379">
        <v>10</v>
      </c>
      <c r="X1379">
        <v>196500</v>
      </c>
      <c r="Y1379" t="s">
        <v>1336</v>
      </c>
      <c r="Z1379" t="s">
        <v>11038</v>
      </c>
      <c r="AA1379" t="s">
        <v>10615</v>
      </c>
      <c r="AB1379" t="s">
        <v>45</v>
      </c>
      <c r="AC1379" t="s">
        <v>10616</v>
      </c>
    </row>
    <row r="1380" spans="1:29">
      <c r="A1380" t="s">
        <v>450</v>
      </c>
      <c r="B1380" s="1">
        <v>169888</v>
      </c>
      <c r="C1380" t="s">
        <v>5560</v>
      </c>
      <c r="D1380" t="s">
        <v>3029</v>
      </c>
      <c r="E1380" t="s">
        <v>11041</v>
      </c>
      <c r="F1380" t="s">
        <v>2090</v>
      </c>
      <c r="G1380" t="s">
        <v>2280</v>
      </c>
      <c r="H1380" t="s">
        <v>11042</v>
      </c>
      <c r="I1380">
        <v>4</v>
      </c>
      <c r="J1380" t="s">
        <v>11043</v>
      </c>
      <c r="K1380">
        <v>70</v>
      </c>
      <c r="L1380" t="s">
        <v>11044</v>
      </c>
      <c r="M1380" t="s">
        <v>11045</v>
      </c>
      <c r="N1380" t="s">
        <v>11046</v>
      </c>
      <c r="O1380" t="s">
        <v>10614</v>
      </c>
      <c r="P1380" t="s">
        <v>11047</v>
      </c>
      <c r="Q1380" t="s">
        <v>11048</v>
      </c>
      <c r="R1380" t="s">
        <v>11046</v>
      </c>
      <c r="S1380" s="2">
        <v>44474</v>
      </c>
      <c r="T1380" t="s">
        <v>11049</v>
      </c>
      <c r="U1380" t="s">
        <v>11050</v>
      </c>
      <c r="V1380">
        <v>0</v>
      </c>
      <c r="W1380">
        <v>4</v>
      </c>
      <c r="X1380">
        <v>207301</v>
      </c>
      <c r="Y1380" t="s">
        <v>11051</v>
      </c>
      <c r="Z1380" t="s">
        <v>11048</v>
      </c>
      <c r="AA1380" t="s">
        <v>10615</v>
      </c>
      <c r="AB1380" t="s">
        <v>45</v>
      </c>
      <c r="AC1380" t="s">
        <v>10616</v>
      </c>
    </row>
    <row r="1381" spans="1:29">
      <c r="A1381" t="s">
        <v>105</v>
      </c>
      <c r="B1381" s="1">
        <v>93991</v>
      </c>
      <c r="C1381" t="s">
        <v>262</v>
      </c>
      <c r="D1381" t="s">
        <v>3029</v>
      </c>
      <c r="E1381" s="1">
        <v>-3563</v>
      </c>
      <c r="F1381" t="s">
        <v>476</v>
      </c>
      <c r="G1381" t="s">
        <v>851</v>
      </c>
      <c r="H1381" t="s">
        <v>11052</v>
      </c>
      <c r="I1381">
        <v>4</v>
      </c>
      <c r="J1381" t="s">
        <v>6224</v>
      </c>
      <c r="K1381">
        <v>69</v>
      </c>
      <c r="L1381" t="s">
        <v>11053</v>
      </c>
      <c r="M1381" t="s">
        <v>11054</v>
      </c>
      <c r="N1381" t="s">
        <v>11055</v>
      </c>
      <c r="O1381" t="s">
        <v>10614</v>
      </c>
      <c r="P1381" t="s">
        <v>11056</v>
      </c>
      <c r="Q1381" t="s">
        <v>11057</v>
      </c>
      <c r="R1381" t="s">
        <v>11055</v>
      </c>
      <c r="S1381" s="2">
        <v>44602</v>
      </c>
      <c r="T1381">
        <v>0</v>
      </c>
      <c r="U1381" t="s">
        <v>11058</v>
      </c>
      <c r="V1381">
        <v>0</v>
      </c>
      <c r="W1381">
        <v>4</v>
      </c>
      <c r="X1381">
        <v>226088</v>
      </c>
      <c r="Y1381" t="s">
        <v>1526</v>
      </c>
      <c r="Z1381" t="s">
        <v>11057</v>
      </c>
      <c r="AA1381" t="s">
        <v>10615</v>
      </c>
      <c r="AB1381" t="s">
        <v>45</v>
      </c>
      <c r="AC1381" t="s">
        <v>10616</v>
      </c>
    </row>
    <row r="1382" spans="1:29">
      <c r="A1382" t="s">
        <v>422</v>
      </c>
      <c r="B1382" t="s">
        <v>11059</v>
      </c>
      <c r="C1382" t="s">
        <v>1289</v>
      </c>
      <c r="D1382" t="s">
        <v>3029</v>
      </c>
      <c r="E1382" t="s">
        <v>11060</v>
      </c>
      <c r="F1382" t="s">
        <v>3635</v>
      </c>
      <c r="G1382" t="s">
        <v>6138</v>
      </c>
      <c r="H1382" t="s">
        <v>11061</v>
      </c>
      <c r="I1382">
        <v>4</v>
      </c>
      <c r="J1382" t="s">
        <v>10828</v>
      </c>
      <c r="K1382">
        <v>68</v>
      </c>
      <c r="L1382" t="s">
        <v>11062</v>
      </c>
      <c r="M1382" t="s">
        <v>11063</v>
      </c>
      <c r="N1382" t="s">
        <v>11064</v>
      </c>
      <c r="O1382" t="s">
        <v>10614</v>
      </c>
      <c r="P1382" t="s">
        <v>11065</v>
      </c>
      <c r="Q1382" t="s">
        <v>11066</v>
      </c>
      <c r="R1382" t="s">
        <v>11064</v>
      </c>
      <c r="S1382" s="2">
        <v>44541</v>
      </c>
      <c r="T1382" t="s">
        <v>1522</v>
      </c>
      <c r="U1382" t="s">
        <v>11067</v>
      </c>
      <c r="V1382">
        <v>0</v>
      </c>
      <c r="W1382">
        <v>1</v>
      </c>
      <c r="X1382">
        <v>224997</v>
      </c>
      <c r="Y1382" t="s">
        <v>997</v>
      </c>
      <c r="Z1382" t="s">
        <v>11066</v>
      </c>
      <c r="AA1382" t="s">
        <v>10615</v>
      </c>
      <c r="AB1382" t="s">
        <v>45</v>
      </c>
      <c r="AC1382" t="s">
        <v>10616</v>
      </c>
    </row>
    <row r="1383" spans="1:29">
      <c r="A1383" t="s">
        <v>3634</v>
      </c>
      <c r="B1383" t="s">
        <v>11068</v>
      </c>
      <c r="C1383" t="s">
        <v>3888</v>
      </c>
      <c r="D1383" t="s">
        <v>3029</v>
      </c>
      <c r="E1383" s="1">
        <v>-4654</v>
      </c>
      <c r="F1383" t="s">
        <v>2796</v>
      </c>
      <c r="G1383" t="s">
        <v>1467</v>
      </c>
      <c r="H1383" t="s">
        <v>11069</v>
      </c>
      <c r="I1383">
        <v>4</v>
      </c>
      <c r="J1383" t="s">
        <v>609</v>
      </c>
      <c r="K1383">
        <v>70</v>
      </c>
      <c r="L1383" t="s">
        <v>11070</v>
      </c>
      <c r="M1383" t="s">
        <v>11071</v>
      </c>
      <c r="N1383" t="s">
        <v>11072</v>
      </c>
      <c r="O1383" t="s">
        <v>10614</v>
      </c>
      <c r="P1383" t="s">
        <v>11073</v>
      </c>
      <c r="Q1383" t="s">
        <v>11074</v>
      </c>
      <c r="R1383" t="s">
        <v>11072</v>
      </c>
      <c r="S1383" s="2">
        <v>44672</v>
      </c>
      <c r="T1383">
        <v>0</v>
      </c>
      <c r="U1383" t="s">
        <v>11075</v>
      </c>
      <c r="V1383">
        <v>1</v>
      </c>
      <c r="W1383">
        <v>5</v>
      </c>
      <c r="X1383">
        <v>172235</v>
      </c>
      <c r="Y1383" t="s">
        <v>1550</v>
      </c>
      <c r="Z1383" t="s">
        <v>11074</v>
      </c>
      <c r="AA1383" t="s">
        <v>10615</v>
      </c>
      <c r="AB1383" t="s">
        <v>45</v>
      </c>
      <c r="AC1383" t="s">
        <v>10616</v>
      </c>
    </row>
    <row r="1384" spans="1:29">
      <c r="A1384" t="s">
        <v>2974</v>
      </c>
      <c r="B1384" s="1">
        <v>78293</v>
      </c>
      <c r="C1384" t="s">
        <v>1025</v>
      </c>
      <c r="D1384" t="s">
        <v>3029</v>
      </c>
      <c r="E1384" s="1">
        <v>-3221</v>
      </c>
      <c r="F1384" t="s">
        <v>2457</v>
      </c>
      <c r="G1384" t="s">
        <v>2853</v>
      </c>
      <c r="H1384" t="s">
        <v>2907</v>
      </c>
      <c r="I1384">
        <v>4</v>
      </c>
      <c r="J1384" t="s">
        <v>3053</v>
      </c>
      <c r="K1384">
        <v>71</v>
      </c>
      <c r="L1384" t="s">
        <v>11076</v>
      </c>
      <c r="M1384" t="s">
        <v>11077</v>
      </c>
      <c r="N1384" t="s">
        <v>6712</v>
      </c>
      <c r="O1384" t="s">
        <v>10614</v>
      </c>
      <c r="P1384" t="s">
        <v>11078</v>
      </c>
      <c r="Q1384" t="s">
        <v>11079</v>
      </c>
      <c r="R1384" t="s">
        <v>11080</v>
      </c>
      <c r="S1384" s="2">
        <v>44687</v>
      </c>
      <c r="T1384">
        <v>0</v>
      </c>
      <c r="U1384" t="s">
        <v>6717</v>
      </c>
      <c r="V1384">
        <v>1</v>
      </c>
      <c r="W1384">
        <v>5</v>
      </c>
      <c r="X1384">
        <v>230400</v>
      </c>
      <c r="Y1384" t="s">
        <v>997</v>
      </c>
      <c r="Z1384" t="s">
        <v>11079</v>
      </c>
      <c r="AA1384" t="s">
        <v>10615</v>
      </c>
      <c r="AB1384" t="s">
        <v>45</v>
      </c>
      <c r="AC1384" t="s">
        <v>10616</v>
      </c>
    </row>
    <row r="1385" spans="1:29">
      <c r="A1385" t="s">
        <v>1163</v>
      </c>
      <c r="B1385" s="1">
        <v>99968</v>
      </c>
      <c r="C1385" t="s">
        <v>2374</v>
      </c>
      <c r="D1385" t="s">
        <v>3029</v>
      </c>
      <c r="E1385" s="1">
        <v>-5453</v>
      </c>
      <c r="F1385" t="s">
        <v>1211</v>
      </c>
      <c r="G1385" t="s">
        <v>5004</v>
      </c>
      <c r="H1385" t="s">
        <v>2907</v>
      </c>
      <c r="I1385">
        <v>4</v>
      </c>
      <c r="J1385" t="s">
        <v>3715</v>
      </c>
      <c r="K1385">
        <v>79</v>
      </c>
      <c r="L1385" t="s">
        <v>11081</v>
      </c>
      <c r="M1385" t="s">
        <v>11082</v>
      </c>
      <c r="N1385" t="s">
        <v>6712</v>
      </c>
      <c r="O1385" t="s">
        <v>10614</v>
      </c>
      <c r="P1385" t="s">
        <v>11083</v>
      </c>
      <c r="Q1385" t="s">
        <v>11084</v>
      </c>
      <c r="R1385" t="s">
        <v>11085</v>
      </c>
      <c r="S1385" s="2">
        <v>44687</v>
      </c>
      <c r="T1385" t="s">
        <v>11086</v>
      </c>
      <c r="U1385" t="s">
        <v>6717</v>
      </c>
      <c r="V1385">
        <v>0</v>
      </c>
      <c r="W1385">
        <v>5</v>
      </c>
      <c r="X1385">
        <v>245940</v>
      </c>
      <c r="Y1385" t="s">
        <v>2020</v>
      </c>
      <c r="Z1385" t="s">
        <v>11084</v>
      </c>
      <c r="AA1385" t="s">
        <v>10615</v>
      </c>
      <c r="AB1385" t="s">
        <v>45</v>
      </c>
      <c r="AC1385" t="s">
        <v>10616</v>
      </c>
    </row>
    <row r="1386" spans="1:29">
      <c r="A1386" t="s">
        <v>985</v>
      </c>
      <c r="B1386" s="1">
        <v>115018</v>
      </c>
      <c r="C1386" t="s">
        <v>9093</v>
      </c>
      <c r="D1386" t="s">
        <v>3029</v>
      </c>
      <c r="E1386" s="1">
        <v>-8195</v>
      </c>
      <c r="F1386" t="s">
        <v>145</v>
      </c>
      <c r="G1386" t="s">
        <v>3114</v>
      </c>
      <c r="H1386" t="s">
        <v>2907</v>
      </c>
      <c r="I1386">
        <v>4</v>
      </c>
      <c r="J1386" t="s">
        <v>1211</v>
      </c>
      <c r="K1386">
        <v>71</v>
      </c>
      <c r="L1386" t="s">
        <v>11087</v>
      </c>
      <c r="M1386" t="s">
        <v>11088</v>
      </c>
      <c r="N1386" t="s">
        <v>6712</v>
      </c>
      <c r="O1386" t="s">
        <v>10614</v>
      </c>
      <c r="P1386" t="s">
        <v>11089</v>
      </c>
      <c r="Q1386" t="s">
        <v>11090</v>
      </c>
      <c r="R1386" t="s">
        <v>11091</v>
      </c>
      <c r="S1386" s="2">
        <v>44687</v>
      </c>
      <c r="T1386" t="s">
        <v>11092</v>
      </c>
      <c r="U1386" t="s">
        <v>6717</v>
      </c>
      <c r="V1386">
        <v>0</v>
      </c>
      <c r="W1386">
        <v>1</v>
      </c>
      <c r="X1386">
        <v>139041</v>
      </c>
      <c r="Y1386" t="s">
        <v>11093</v>
      </c>
      <c r="Z1386" t="s">
        <v>11090</v>
      </c>
      <c r="AA1386" t="s">
        <v>10615</v>
      </c>
      <c r="AB1386" t="s">
        <v>45</v>
      </c>
      <c r="AC1386" t="s">
        <v>10616</v>
      </c>
    </row>
    <row r="1387" spans="1:29">
      <c r="A1387" t="s">
        <v>892</v>
      </c>
      <c r="B1387" s="1">
        <v>181891</v>
      </c>
      <c r="C1387" t="s">
        <v>293</v>
      </c>
      <c r="D1387" t="s">
        <v>3029</v>
      </c>
      <c r="E1387" t="s">
        <v>11094</v>
      </c>
      <c r="F1387" t="s">
        <v>1164</v>
      </c>
      <c r="G1387" t="s">
        <v>1359</v>
      </c>
      <c r="H1387" t="s">
        <v>11095</v>
      </c>
      <c r="I1387">
        <v>4</v>
      </c>
      <c r="J1387" t="s">
        <v>43</v>
      </c>
      <c r="K1387">
        <v>70</v>
      </c>
      <c r="L1387" t="s">
        <v>11096</v>
      </c>
      <c r="M1387" t="s">
        <v>11097</v>
      </c>
      <c r="N1387" t="s">
        <v>11098</v>
      </c>
      <c r="O1387" t="s">
        <v>10614</v>
      </c>
      <c r="P1387" t="s">
        <v>11099</v>
      </c>
      <c r="Q1387" t="s">
        <v>11100</v>
      </c>
      <c r="R1387" t="s">
        <v>11101</v>
      </c>
      <c r="S1387" s="2">
        <v>44601</v>
      </c>
      <c r="T1387">
        <v>0</v>
      </c>
      <c r="U1387" t="s">
        <v>11102</v>
      </c>
      <c r="V1387">
        <v>0</v>
      </c>
      <c r="W1387">
        <v>0</v>
      </c>
      <c r="X1387">
        <v>249520</v>
      </c>
      <c r="Y1387" t="s">
        <v>4485</v>
      </c>
      <c r="Z1387" t="s">
        <v>11100</v>
      </c>
      <c r="AA1387" t="s">
        <v>10615</v>
      </c>
      <c r="AB1387" t="s">
        <v>45</v>
      </c>
      <c r="AC1387" t="s">
        <v>10616</v>
      </c>
    </row>
    <row r="1388" spans="1:29">
      <c r="A1388" t="s">
        <v>3724</v>
      </c>
      <c r="B1388" s="1">
        <v>92523</v>
      </c>
      <c r="C1388" t="s">
        <v>3094</v>
      </c>
      <c r="D1388" t="s">
        <v>3029</v>
      </c>
      <c r="E1388" s="1">
        <v>-2824</v>
      </c>
      <c r="F1388" t="s">
        <v>3055</v>
      </c>
      <c r="G1388" t="s">
        <v>1359</v>
      </c>
      <c r="H1388" t="s">
        <v>11103</v>
      </c>
      <c r="I1388">
        <v>4</v>
      </c>
      <c r="J1388" t="s">
        <v>565</v>
      </c>
      <c r="K1388">
        <v>68</v>
      </c>
      <c r="L1388" t="s">
        <v>11104</v>
      </c>
      <c r="M1388" t="s">
        <v>11105</v>
      </c>
      <c r="N1388" t="s">
        <v>11106</v>
      </c>
      <c r="O1388" t="s">
        <v>10614</v>
      </c>
      <c r="P1388" t="s">
        <v>11107</v>
      </c>
      <c r="Q1388" t="s">
        <v>11108</v>
      </c>
      <c r="R1388" t="s">
        <v>11106</v>
      </c>
      <c r="S1388" s="2">
        <v>44799</v>
      </c>
      <c r="T1388">
        <v>0</v>
      </c>
      <c r="U1388" t="s">
        <v>11109</v>
      </c>
      <c r="V1388">
        <v>0</v>
      </c>
      <c r="W1388">
        <v>11</v>
      </c>
      <c r="X1388">
        <v>209160</v>
      </c>
      <c r="Y1388" t="s">
        <v>3906</v>
      </c>
      <c r="Z1388" t="s">
        <v>11108</v>
      </c>
      <c r="AA1388" t="s">
        <v>10615</v>
      </c>
      <c r="AB1388" t="s">
        <v>45</v>
      </c>
      <c r="AC1388" t="s">
        <v>10616</v>
      </c>
    </row>
    <row r="1389" spans="1:29">
      <c r="A1389" t="s">
        <v>422</v>
      </c>
      <c r="B1389" t="s">
        <v>5862</v>
      </c>
      <c r="C1389" t="s">
        <v>450</v>
      </c>
      <c r="D1389" t="s">
        <v>3029</v>
      </c>
      <c r="E1389" s="1">
        <v>-4808</v>
      </c>
      <c r="F1389" t="s">
        <v>408</v>
      </c>
      <c r="G1389" t="s">
        <v>971</v>
      </c>
      <c r="H1389" t="s">
        <v>11110</v>
      </c>
      <c r="I1389">
        <v>4</v>
      </c>
      <c r="J1389" t="s">
        <v>6272</v>
      </c>
      <c r="K1389">
        <v>71</v>
      </c>
      <c r="L1389" t="s">
        <v>11111</v>
      </c>
      <c r="M1389" t="s">
        <v>11112</v>
      </c>
      <c r="N1389" t="s">
        <v>11113</v>
      </c>
      <c r="O1389" t="s">
        <v>10614</v>
      </c>
      <c r="P1389" t="s">
        <v>11114</v>
      </c>
      <c r="Q1389" t="s">
        <v>11115</v>
      </c>
      <c r="R1389" t="s">
        <v>11113</v>
      </c>
      <c r="S1389" s="2">
        <v>44707</v>
      </c>
      <c r="T1389" t="s">
        <v>11116</v>
      </c>
      <c r="U1389" t="s">
        <v>11117</v>
      </c>
      <c r="V1389">
        <v>0</v>
      </c>
      <c r="W1389">
        <v>3</v>
      </c>
      <c r="X1389">
        <v>245739</v>
      </c>
      <c r="Y1389" t="s">
        <v>3780</v>
      </c>
      <c r="Z1389" t="s">
        <v>11115</v>
      </c>
      <c r="AA1389" t="s">
        <v>10615</v>
      </c>
      <c r="AB1389" t="s">
        <v>45</v>
      </c>
      <c r="AC1389" t="s">
        <v>10616</v>
      </c>
    </row>
    <row r="1390" spans="1:29">
      <c r="A1390" t="s">
        <v>786</v>
      </c>
      <c r="B1390" s="1">
        <v>91911</v>
      </c>
      <c r="C1390" t="s">
        <v>225</v>
      </c>
      <c r="D1390" t="s">
        <v>3029</v>
      </c>
      <c r="E1390" t="s">
        <v>6622</v>
      </c>
      <c r="F1390" t="s">
        <v>3514</v>
      </c>
      <c r="G1390" t="s">
        <v>771</v>
      </c>
      <c r="H1390" t="s">
        <v>6623</v>
      </c>
      <c r="I1390">
        <v>4</v>
      </c>
      <c r="J1390" t="s">
        <v>6624</v>
      </c>
      <c r="K1390">
        <v>78</v>
      </c>
      <c r="L1390" t="s">
        <v>6625</v>
      </c>
      <c r="M1390" t="s">
        <v>6626</v>
      </c>
      <c r="N1390" t="s">
        <v>6627</v>
      </c>
      <c r="O1390" t="s">
        <v>10614</v>
      </c>
      <c r="P1390" t="s">
        <v>6629</v>
      </c>
      <c r="Q1390" t="s">
        <v>6630</v>
      </c>
      <c r="R1390" t="s">
        <v>6631</v>
      </c>
      <c r="S1390" s="2">
        <v>44652</v>
      </c>
      <c r="T1390">
        <v>0</v>
      </c>
      <c r="U1390" t="s">
        <v>6632</v>
      </c>
      <c r="V1390">
        <v>0</v>
      </c>
      <c r="W1390">
        <v>5</v>
      </c>
      <c r="X1390">
        <v>202174</v>
      </c>
      <c r="Y1390" t="s">
        <v>3053</v>
      </c>
      <c r="Z1390" t="s">
        <v>6630</v>
      </c>
      <c r="AA1390" t="s">
        <v>10615</v>
      </c>
      <c r="AB1390" t="s">
        <v>45</v>
      </c>
      <c r="AC1390" t="s">
        <v>10616</v>
      </c>
    </row>
    <row r="1391" spans="1:29">
      <c r="A1391" t="s">
        <v>501</v>
      </c>
      <c r="B1391" s="1">
        <v>179879</v>
      </c>
      <c r="C1391" t="s">
        <v>3930</v>
      </c>
      <c r="D1391" t="s">
        <v>3029</v>
      </c>
      <c r="E1391" s="1">
        <v>-3286</v>
      </c>
      <c r="F1391" t="s">
        <v>4554</v>
      </c>
      <c r="G1391" t="s">
        <v>4367</v>
      </c>
      <c r="H1391" t="s">
        <v>10673</v>
      </c>
      <c r="I1391">
        <v>4</v>
      </c>
      <c r="J1391" t="s">
        <v>757</v>
      </c>
      <c r="K1391">
        <v>70</v>
      </c>
      <c r="L1391" t="s">
        <v>11118</v>
      </c>
      <c r="M1391" t="s">
        <v>11119</v>
      </c>
      <c r="N1391" t="s">
        <v>11120</v>
      </c>
      <c r="O1391" t="s">
        <v>10614</v>
      </c>
      <c r="P1391" t="s">
        <v>11121</v>
      </c>
      <c r="Q1391" t="s">
        <v>11122</v>
      </c>
      <c r="R1391" t="s">
        <v>11123</v>
      </c>
      <c r="S1391" s="2">
        <v>44540</v>
      </c>
      <c r="T1391" t="s">
        <v>10085</v>
      </c>
      <c r="U1391" t="s">
        <v>11124</v>
      </c>
      <c r="V1391">
        <v>1</v>
      </c>
      <c r="W1391">
        <v>8</v>
      </c>
      <c r="X1391">
        <v>208292</v>
      </c>
      <c r="Y1391" t="s">
        <v>744</v>
      </c>
      <c r="Z1391" t="s">
        <v>11122</v>
      </c>
      <c r="AA1391" t="s">
        <v>10615</v>
      </c>
      <c r="AB1391" t="s">
        <v>45</v>
      </c>
      <c r="AC1391" t="s">
        <v>10616</v>
      </c>
    </row>
    <row r="1392" spans="1:29">
      <c r="A1392" t="s">
        <v>2518</v>
      </c>
      <c r="B1392" s="1">
        <v>98026</v>
      </c>
      <c r="C1392" t="s">
        <v>251</v>
      </c>
      <c r="D1392" t="s">
        <v>3029</v>
      </c>
      <c r="E1392" s="1">
        <v>-3425</v>
      </c>
      <c r="F1392" t="s">
        <v>2949</v>
      </c>
      <c r="G1392" t="s">
        <v>215</v>
      </c>
      <c r="H1392" t="s">
        <v>11125</v>
      </c>
      <c r="I1392">
        <v>4</v>
      </c>
      <c r="J1392" t="s">
        <v>6607</v>
      </c>
      <c r="K1392">
        <v>70</v>
      </c>
      <c r="L1392" t="s">
        <v>11126</v>
      </c>
      <c r="M1392" t="s">
        <v>11127</v>
      </c>
      <c r="N1392" t="s">
        <v>11128</v>
      </c>
      <c r="O1392" t="s">
        <v>10614</v>
      </c>
      <c r="P1392" t="s">
        <v>11129</v>
      </c>
      <c r="Q1392" t="s">
        <v>11130</v>
      </c>
      <c r="R1392" t="s">
        <v>11128</v>
      </c>
      <c r="S1392" s="2">
        <v>44447</v>
      </c>
      <c r="T1392" t="s">
        <v>11131</v>
      </c>
      <c r="U1392" t="s">
        <v>11132</v>
      </c>
      <c r="V1392">
        <v>0</v>
      </c>
      <c r="W1392">
        <v>9</v>
      </c>
      <c r="X1392">
        <v>209884</v>
      </c>
      <c r="Y1392" t="s">
        <v>942</v>
      </c>
      <c r="Z1392" t="s">
        <v>11130</v>
      </c>
      <c r="AA1392" t="s">
        <v>10615</v>
      </c>
      <c r="AB1392" t="s">
        <v>45</v>
      </c>
      <c r="AC1392" t="s">
        <v>10616</v>
      </c>
    </row>
    <row r="1393" spans="1:29">
      <c r="A1393" t="s">
        <v>1584</v>
      </c>
      <c r="B1393" s="1">
        <v>93976</v>
      </c>
      <c r="C1393" t="s">
        <v>6809</v>
      </c>
      <c r="D1393" t="s">
        <v>3029</v>
      </c>
      <c r="E1393" s="1">
        <v>-3894</v>
      </c>
      <c r="F1393" t="s">
        <v>452</v>
      </c>
      <c r="G1393" t="s">
        <v>2853</v>
      </c>
      <c r="H1393" t="s">
        <v>6810</v>
      </c>
      <c r="I1393">
        <v>4</v>
      </c>
      <c r="J1393" t="s">
        <v>3291</v>
      </c>
      <c r="K1393">
        <v>68</v>
      </c>
      <c r="L1393" t="s">
        <v>6811</v>
      </c>
      <c r="M1393" t="s">
        <v>6812</v>
      </c>
      <c r="N1393" t="s">
        <v>6813</v>
      </c>
      <c r="O1393" t="s">
        <v>10614</v>
      </c>
      <c r="P1393" t="s">
        <v>6814</v>
      </c>
      <c r="Q1393" t="s">
        <v>6815</v>
      </c>
      <c r="R1393" t="s">
        <v>6813</v>
      </c>
      <c r="S1393" s="2">
        <v>44917</v>
      </c>
      <c r="T1393" t="s">
        <v>6816</v>
      </c>
      <c r="U1393" t="s">
        <v>6817</v>
      </c>
      <c r="V1393">
        <v>1</v>
      </c>
      <c r="W1393">
        <v>8</v>
      </c>
      <c r="X1393">
        <v>227013</v>
      </c>
      <c r="Y1393" t="s">
        <v>1320</v>
      </c>
      <c r="Z1393" t="s">
        <v>6815</v>
      </c>
      <c r="AA1393" t="s">
        <v>10615</v>
      </c>
      <c r="AB1393" t="s">
        <v>45</v>
      </c>
      <c r="AC1393" t="s">
        <v>10616</v>
      </c>
    </row>
    <row r="1394" spans="1:29">
      <c r="A1394" t="s">
        <v>5559</v>
      </c>
      <c r="B1394" s="1">
        <v>169922</v>
      </c>
      <c r="C1394" t="s">
        <v>304</v>
      </c>
      <c r="D1394" t="s">
        <v>3029</v>
      </c>
      <c r="E1394" s="1">
        <v>-5678</v>
      </c>
      <c r="F1394" t="s">
        <v>8958</v>
      </c>
      <c r="G1394" t="s">
        <v>879</v>
      </c>
      <c r="H1394" t="s">
        <v>11133</v>
      </c>
      <c r="I1394">
        <v>4</v>
      </c>
      <c r="J1394" t="s">
        <v>1408</v>
      </c>
      <c r="K1394">
        <v>79</v>
      </c>
      <c r="L1394" t="s">
        <v>11134</v>
      </c>
      <c r="M1394" t="s">
        <v>11135</v>
      </c>
      <c r="N1394" t="s">
        <v>11136</v>
      </c>
      <c r="O1394" t="s">
        <v>10614</v>
      </c>
      <c r="P1394" t="s">
        <v>11137</v>
      </c>
      <c r="Q1394" t="s">
        <v>11138</v>
      </c>
      <c r="R1394" t="s">
        <v>11139</v>
      </c>
      <c r="S1394" s="2">
        <v>45002</v>
      </c>
      <c r="T1394" t="s">
        <v>11140</v>
      </c>
      <c r="U1394" t="s">
        <v>11141</v>
      </c>
      <c r="V1394">
        <v>0</v>
      </c>
      <c r="W1394">
        <v>2</v>
      </c>
      <c r="X1394">
        <v>234353</v>
      </c>
      <c r="Y1394" t="s">
        <v>4241</v>
      </c>
      <c r="Z1394" t="s">
        <v>11138</v>
      </c>
      <c r="AA1394" t="s">
        <v>10615</v>
      </c>
      <c r="AB1394" t="s">
        <v>45</v>
      </c>
      <c r="AC1394" t="s">
        <v>10616</v>
      </c>
    </row>
    <row r="1395" spans="1:29">
      <c r="A1395" t="s">
        <v>6809</v>
      </c>
      <c r="B1395" s="1">
        <v>97008</v>
      </c>
      <c r="C1395" t="s">
        <v>3471</v>
      </c>
      <c r="D1395" t="s">
        <v>3029</v>
      </c>
      <c r="E1395" t="s">
        <v>11142</v>
      </c>
      <c r="F1395" t="s">
        <v>6774</v>
      </c>
      <c r="G1395" t="s">
        <v>1823</v>
      </c>
      <c r="H1395" t="s">
        <v>11143</v>
      </c>
      <c r="I1395">
        <v>4</v>
      </c>
      <c r="J1395" t="s">
        <v>3956</v>
      </c>
      <c r="K1395">
        <v>74</v>
      </c>
      <c r="L1395" t="s">
        <v>11144</v>
      </c>
      <c r="M1395" t="s">
        <v>11145</v>
      </c>
      <c r="N1395" t="s">
        <v>11146</v>
      </c>
      <c r="O1395" t="s">
        <v>10614</v>
      </c>
      <c r="P1395" t="s">
        <v>11147</v>
      </c>
      <c r="Q1395" t="s">
        <v>11148</v>
      </c>
      <c r="R1395" t="s">
        <v>11146</v>
      </c>
      <c r="S1395" s="2">
        <v>45120</v>
      </c>
      <c r="T1395" t="s">
        <v>11149</v>
      </c>
      <c r="U1395" t="s">
        <v>11150</v>
      </c>
      <c r="V1395">
        <v>1</v>
      </c>
      <c r="W1395">
        <v>0</v>
      </c>
      <c r="X1395">
        <v>150619</v>
      </c>
      <c r="Y1395" t="s">
        <v>7327</v>
      </c>
      <c r="Z1395" t="s">
        <v>11148</v>
      </c>
      <c r="AA1395" t="s">
        <v>10615</v>
      </c>
      <c r="AB1395" t="s">
        <v>45</v>
      </c>
      <c r="AC1395" t="s">
        <v>10616</v>
      </c>
    </row>
    <row r="1396" spans="1:29">
      <c r="A1396" t="s">
        <v>1583</v>
      </c>
      <c r="B1396" s="1">
        <v>91986</v>
      </c>
      <c r="C1396" t="s">
        <v>2813</v>
      </c>
      <c r="D1396" t="s">
        <v>3029</v>
      </c>
      <c r="E1396" s="1">
        <v>-4045</v>
      </c>
      <c r="F1396" t="s">
        <v>6654</v>
      </c>
      <c r="G1396" t="s">
        <v>2853</v>
      </c>
      <c r="H1396" t="s">
        <v>11024</v>
      </c>
      <c r="I1396">
        <v>4</v>
      </c>
      <c r="J1396" t="s">
        <v>3589</v>
      </c>
      <c r="K1396">
        <v>82</v>
      </c>
      <c r="L1396" t="s">
        <v>11151</v>
      </c>
      <c r="M1396" t="s">
        <v>11152</v>
      </c>
      <c r="N1396" t="s">
        <v>11153</v>
      </c>
      <c r="O1396" t="s">
        <v>10614</v>
      </c>
      <c r="P1396" t="s">
        <v>11154</v>
      </c>
      <c r="Q1396" t="s">
        <v>11155</v>
      </c>
      <c r="R1396" t="s">
        <v>11156</v>
      </c>
      <c r="S1396" s="2">
        <v>45008</v>
      </c>
      <c r="T1396" t="s">
        <v>11157</v>
      </c>
      <c r="U1396" t="s">
        <v>11158</v>
      </c>
      <c r="V1396">
        <v>1</v>
      </c>
      <c r="W1396">
        <v>1</v>
      </c>
      <c r="X1396">
        <v>197920</v>
      </c>
      <c r="Y1396" t="s">
        <v>11159</v>
      </c>
      <c r="Z1396" t="s">
        <v>11155</v>
      </c>
      <c r="AA1396" t="s">
        <v>10615</v>
      </c>
      <c r="AB1396" t="s">
        <v>45</v>
      </c>
      <c r="AC1396" t="s">
        <v>10616</v>
      </c>
    </row>
    <row r="1397" spans="1:29">
      <c r="A1397" t="s">
        <v>605</v>
      </c>
      <c r="B1397" s="1">
        <v>102984</v>
      </c>
      <c r="C1397" t="s">
        <v>1227</v>
      </c>
      <c r="D1397" t="s">
        <v>3029</v>
      </c>
      <c r="E1397" s="1">
        <v>-4943</v>
      </c>
      <c r="F1397" t="s">
        <v>6908</v>
      </c>
      <c r="G1397" t="s">
        <v>394</v>
      </c>
      <c r="H1397" t="s">
        <v>11160</v>
      </c>
      <c r="I1397">
        <v>4</v>
      </c>
      <c r="J1397" t="s">
        <v>6308</v>
      </c>
      <c r="K1397">
        <v>71</v>
      </c>
      <c r="L1397" t="s">
        <v>11161</v>
      </c>
      <c r="M1397" t="s">
        <v>11162</v>
      </c>
      <c r="N1397" t="s">
        <v>11163</v>
      </c>
      <c r="O1397" t="s">
        <v>10614</v>
      </c>
      <c r="P1397" t="s">
        <v>11164</v>
      </c>
      <c r="Q1397" t="s">
        <v>11165</v>
      </c>
      <c r="R1397" t="s">
        <v>11166</v>
      </c>
      <c r="S1397" s="2">
        <v>45135</v>
      </c>
      <c r="T1397" t="s">
        <v>7195</v>
      </c>
      <c r="U1397" t="s">
        <v>11167</v>
      </c>
      <c r="V1397">
        <v>1</v>
      </c>
      <c r="W1397">
        <v>6</v>
      </c>
      <c r="X1397">
        <v>199947</v>
      </c>
      <c r="Y1397" t="s">
        <v>2776</v>
      </c>
      <c r="Z1397" t="s">
        <v>11165</v>
      </c>
      <c r="AA1397" t="s">
        <v>10615</v>
      </c>
      <c r="AB1397" t="s">
        <v>45</v>
      </c>
      <c r="AC1397" t="s">
        <v>10616</v>
      </c>
    </row>
    <row r="1398" spans="1:29">
      <c r="A1398" t="s">
        <v>304</v>
      </c>
      <c r="B1398" s="1">
        <v>162087</v>
      </c>
      <c r="C1398" t="s">
        <v>108</v>
      </c>
      <c r="D1398" t="s">
        <v>3029</v>
      </c>
      <c r="E1398" s="1">
        <v>-3174</v>
      </c>
      <c r="F1398" t="s">
        <v>331</v>
      </c>
      <c r="G1398" t="s">
        <v>2974</v>
      </c>
      <c r="H1398" t="s">
        <v>11168</v>
      </c>
      <c r="I1398">
        <v>4</v>
      </c>
      <c r="J1398" t="s">
        <v>797</v>
      </c>
      <c r="K1398">
        <v>72</v>
      </c>
      <c r="L1398" t="s">
        <v>11169</v>
      </c>
      <c r="M1398" t="s">
        <v>11170</v>
      </c>
      <c r="N1398" t="s">
        <v>11171</v>
      </c>
      <c r="O1398" t="s">
        <v>10614</v>
      </c>
      <c r="P1398" t="s">
        <v>11172</v>
      </c>
      <c r="Q1398" t="s">
        <v>11173</v>
      </c>
      <c r="R1398" t="s">
        <v>11174</v>
      </c>
      <c r="S1398" s="2">
        <v>45247</v>
      </c>
      <c r="T1398">
        <v>0</v>
      </c>
      <c r="U1398" t="s">
        <v>11175</v>
      </c>
      <c r="V1398">
        <v>1</v>
      </c>
      <c r="W1398">
        <v>3</v>
      </c>
      <c r="X1398">
        <v>206103</v>
      </c>
      <c r="Y1398" t="s">
        <v>1252</v>
      </c>
      <c r="Z1398" t="s">
        <v>11173</v>
      </c>
      <c r="AA1398" t="s">
        <v>10615</v>
      </c>
      <c r="AB1398" t="s">
        <v>45</v>
      </c>
      <c r="AC1398" t="s">
        <v>10616</v>
      </c>
    </row>
    <row r="1399" spans="1:29">
      <c r="A1399" t="s">
        <v>1881</v>
      </c>
      <c r="B1399" s="1">
        <v>92998</v>
      </c>
      <c r="C1399" t="s">
        <v>262</v>
      </c>
      <c r="D1399" t="s">
        <v>3029</v>
      </c>
      <c r="E1399" s="1">
        <v>-4686</v>
      </c>
      <c r="F1399" t="s">
        <v>969</v>
      </c>
      <c r="G1399" t="s">
        <v>4065</v>
      </c>
      <c r="H1399" t="s">
        <v>11176</v>
      </c>
      <c r="I1399">
        <v>4</v>
      </c>
      <c r="J1399" t="s">
        <v>4403</v>
      </c>
      <c r="K1399">
        <v>69</v>
      </c>
      <c r="L1399" t="s">
        <v>11177</v>
      </c>
      <c r="M1399" t="s">
        <v>11178</v>
      </c>
      <c r="N1399" t="s">
        <v>11179</v>
      </c>
      <c r="O1399" t="s">
        <v>10614</v>
      </c>
      <c r="P1399" t="s">
        <v>11180</v>
      </c>
      <c r="Q1399" t="s">
        <v>11181</v>
      </c>
      <c r="R1399" t="s">
        <v>11182</v>
      </c>
      <c r="S1399" s="2">
        <v>45023</v>
      </c>
      <c r="T1399" t="s">
        <v>11183</v>
      </c>
      <c r="U1399" t="s">
        <v>11184</v>
      </c>
      <c r="V1399">
        <v>0</v>
      </c>
      <c r="W1399">
        <v>1</v>
      </c>
      <c r="X1399">
        <v>275040</v>
      </c>
      <c r="Y1399" t="s">
        <v>2947</v>
      </c>
      <c r="Z1399" t="s">
        <v>11181</v>
      </c>
      <c r="AA1399" t="s">
        <v>10615</v>
      </c>
      <c r="AB1399" t="s">
        <v>45</v>
      </c>
      <c r="AC1399" t="s">
        <v>10616</v>
      </c>
    </row>
    <row r="1400" spans="1:29">
      <c r="A1400" t="s">
        <v>159</v>
      </c>
      <c r="B1400" s="1">
        <v>167969</v>
      </c>
      <c r="C1400" t="s">
        <v>5013</v>
      </c>
      <c r="D1400" t="s">
        <v>3029</v>
      </c>
      <c r="E1400" s="1">
        <v>-3504</v>
      </c>
      <c r="F1400" t="s">
        <v>878</v>
      </c>
      <c r="G1400" t="s">
        <v>918</v>
      </c>
      <c r="H1400" t="s">
        <v>11185</v>
      </c>
      <c r="I1400">
        <v>4</v>
      </c>
      <c r="J1400" t="s">
        <v>4194</v>
      </c>
      <c r="K1400">
        <v>68</v>
      </c>
      <c r="L1400" t="s">
        <v>11186</v>
      </c>
      <c r="M1400" t="s">
        <v>11187</v>
      </c>
      <c r="N1400" t="s">
        <v>11188</v>
      </c>
      <c r="O1400" t="s">
        <v>10614</v>
      </c>
      <c r="P1400" t="s">
        <v>11189</v>
      </c>
      <c r="Q1400" t="s">
        <v>11190</v>
      </c>
      <c r="R1400" t="s">
        <v>11191</v>
      </c>
      <c r="S1400" s="2">
        <v>43812</v>
      </c>
      <c r="T1400" t="s">
        <v>11192</v>
      </c>
      <c r="U1400" t="s">
        <v>11193</v>
      </c>
      <c r="V1400">
        <v>0</v>
      </c>
      <c r="W1400">
        <v>0</v>
      </c>
      <c r="X1400">
        <v>289899</v>
      </c>
      <c r="Y1400" t="s">
        <v>2613</v>
      </c>
      <c r="Z1400" t="s">
        <v>11190</v>
      </c>
      <c r="AA1400" t="s">
        <v>10615</v>
      </c>
      <c r="AB1400" t="s">
        <v>45</v>
      </c>
      <c r="AC1400" t="s">
        <v>10616</v>
      </c>
    </row>
    <row r="1401" spans="1:29">
      <c r="A1401" t="s">
        <v>2529</v>
      </c>
      <c r="B1401" s="1">
        <v>180011</v>
      </c>
      <c r="C1401" t="s">
        <v>1121</v>
      </c>
      <c r="D1401" t="s">
        <v>3029</v>
      </c>
      <c r="E1401" s="1">
        <v>-2834</v>
      </c>
      <c r="F1401" t="s">
        <v>1599</v>
      </c>
      <c r="G1401" t="s">
        <v>2611</v>
      </c>
      <c r="H1401" t="s">
        <v>11194</v>
      </c>
      <c r="I1401">
        <v>4</v>
      </c>
      <c r="J1401" t="s">
        <v>366</v>
      </c>
      <c r="K1401">
        <v>75</v>
      </c>
      <c r="L1401" t="s">
        <v>11195</v>
      </c>
      <c r="M1401" t="s">
        <v>11196</v>
      </c>
      <c r="N1401" t="s">
        <v>11197</v>
      </c>
      <c r="O1401" t="s">
        <v>10614</v>
      </c>
      <c r="P1401" t="s">
        <v>11198</v>
      </c>
      <c r="Q1401" t="s">
        <v>11199</v>
      </c>
      <c r="R1401" t="s">
        <v>11197</v>
      </c>
      <c r="S1401" s="2">
        <v>45267</v>
      </c>
      <c r="T1401" t="s">
        <v>4816</v>
      </c>
      <c r="U1401" t="s">
        <v>11200</v>
      </c>
      <c r="V1401">
        <v>1</v>
      </c>
      <c r="W1401">
        <v>9</v>
      </c>
      <c r="X1401">
        <v>197333</v>
      </c>
      <c r="Y1401" t="s">
        <v>1468</v>
      </c>
      <c r="Z1401" t="s">
        <v>11199</v>
      </c>
      <c r="AA1401" t="s">
        <v>10615</v>
      </c>
      <c r="AB1401" t="s">
        <v>45</v>
      </c>
      <c r="AC1401" t="s">
        <v>10616</v>
      </c>
    </row>
    <row r="1402" spans="1:29">
      <c r="A1402" t="s">
        <v>253</v>
      </c>
      <c r="B1402" s="1">
        <v>93999</v>
      </c>
      <c r="C1402" t="s">
        <v>4763</v>
      </c>
      <c r="D1402" t="s">
        <v>3029</v>
      </c>
      <c r="E1402" s="1">
        <v>-5612</v>
      </c>
      <c r="F1402" t="s">
        <v>1241</v>
      </c>
      <c r="G1402" t="s">
        <v>1098</v>
      </c>
      <c r="H1402" t="s">
        <v>11201</v>
      </c>
      <c r="I1402">
        <v>4</v>
      </c>
      <c r="J1402" t="s">
        <v>6120</v>
      </c>
      <c r="K1402">
        <v>72</v>
      </c>
      <c r="L1402" t="s">
        <v>11202</v>
      </c>
      <c r="M1402" t="s">
        <v>11203</v>
      </c>
      <c r="N1402" t="s">
        <v>11204</v>
      </c>
      <c r="O1402" t="s">
        <v>10614</v>
      </c>
      <c r="P1402" t="s">
        <v>11205</v>
      </c>
      <c r="Q1402" t="s">
        <v>11206</v>
      </c>
      <c r="R1402" t="s">
        <v>11207</v>
      </c>
      <c r="S1402" s="2">
        <v>43679</v>
      </c>
      <c r="T1402">
        <v>0</v>
      </c>
      <c r="U1402" t="s">
        <v>11208</v>
      </c>
      <c r="V1402">
        <v>0</v>
      </c>
      <c r="W1402">
        <v>11</v>
      </c>
      <c r="X1402">
        <v>332240</v>
      </c>
      <c r="Y1402" t="s">
        <v>1176</v>
      </c>
      <c r="Z1402" t="s">
        <v>11206</v>
      </c>
      <c r="AA1402" t="s">
        <v>10615</v>
      </c>
      <c r="AB1402" t="s">
        <v>45</v>
      </c>
      <c r="AC1402" t="s">
        <v>10616</v>
      </c>
    </row>
    <row r="1403" spans="1:29">
      <c r="A1403" t="s">
        <v>1641</v>
      </c>
      <c r="B1403" s="1">
        <v>98992</v>
      </c>
      <c r="C1403" t="s">
        <v>594</v>
      </c>
      <c r="D1403" t="s">
        <v>3029</v>
      </c>
      <c r="E1403" s="1">
        <v>-8317</v>
      </c>
      <c r="F1403" t="s">
        <v>280</v>
      </c>
      <c r="G1403" t="s">
        <v>1896</v>
      </c>
      <c r="H1403" t="s">
        <v>11209</v>
      </c>
      <c r="I1403">
        <v>4</v>
      </c>
      <c r="J1403" t="s">
        <v>211</v>
      </c>
      <c r="K1403">
        <v>71</v>
      </c>
      <c r="L1403" t="s">
        <v>11210</v>
      </c>
      <c r="M1403" t="s">
        <v>11211</v>
      </c>
      <c r="N1403" t="s">
        <v>11212</v>
      </c>
      <c r="O1403" t="s">
        <v>10614</v>
      </c>
      <c r="P1403" t="s">
        <v>11213</v>
      </c>
      <c r="Q1403" t="s">
        <v>11214</v>
      </c>
      <c r="R1403" t="s">
        <v>11215</v>
      </c>
      <c r="S1403" s="2">
        <v>43619</v>
      </c>
      <c r="T1403" t="s">
        <v>11216</v>
      </c>
      <c r="U1403" t="s">
        <v>11217</v>
      </c>
      <c r="V1403">
        <v>0</v>
      </c>
      <c r="W1403">
        <v>6</v>
      </c>
      <c r="X1403">
        <v>305114</v>
      </c>
      <c r="Y1403" t="s">
        <v>349</v>
      </c>
      <c r="Z1403" t="s">
        <v>11214</v>
      </c>
      <c r="AA1403" t="s">
        <v>10615</v>
      </c>
      <c r="AB1403" t="s">
        <v>45</v>
      </c>
      <c r="AC1403" t="s">
        <v>10616</v>
      </c>
    </row>
    <row r="1404" spans="1:29">
      <c r="A1404" t="s">
        <v>212</v>
      </c>
      <c r="B1404" s="1">
        <v>99993</v>
      </c>
      <c r="C1404" t="s">
        <v>332</v>
      </c>
      <c r="D1404" t="s">
        <v>3029</v>
      </c>
      <c r="E1404" s="1">
        <v>-5017</v>
      </c>
      <c r="F1404" t="s">
        <v>2917</v>
      </c>
      <c r="G1404" t="s">
        <v>1608</v>
      </c>
      <c r="H1404" t="s">
        <v>11218</v>
      </c>
      <c r="I1404">
        <v>4</v>
      </c>
      <c r="J1404" t="s">
        <v>715</v>
      </c>
      <c r="K1404">
        <v>79</v>
      </c>
      <c r="L1404" t="s">
        <v>11219</v>
      </c>
      <c r="M1404" t="s">
        <v>11220</v>
      </c>
      <c r="N1404" t="s">
        <v>11221</v>
      </c>
      <c r="O1404" t="s">
        <v>10614</v>
      </c>
      <c r="P1404" t="s">
        <v>11222</v>
      </c>
      <c r="Q1404" t="s">
        <v>11223</v>
      </c>
      <c r="R1404" t="s">
        <v>11221</v>
      </c>
      <c r="S1404" s="2">
        <v>45386</v>
      </c>
      <c r="T1404" t="s">
        <v>11031</v>
      </c>
      <c r="U1404" t="s">
        <v>11224</v>
      </c>
      <c r="V1404">
        <v>0</v>
      </c>
      <c r="W1404">
        <v>3</v>
      </c>
      <c r="X1404">
        <v>193039</v>
      </c>
      <c r="Y1404" t="s">
        <v>364</v>
      </c>
      <c r="Z1404" t="s">
        <v>11223</v>
      </c>
      <c r="AA1404" t="s">
        <v>10615</v>
      </c>
      <c r="AB1404" t="s">
        <v>45</v>
      </c>
      <c r="AC1404" t="s">
        <v>10616</v>
      </c>
    </row>
    <row r="1405" spans="1:29">
      <c r="A1405" t="s">
        <v>4462</v>
      </c>
      <c r="B1405" s="1">
        <v>96037</v>
      </c>
      <c r="C1405" t="s">
        <v>2529</v>
      </c>
      <c r="D1405" t="s">
        <v>3029</v>
      </c>
      <c r="E1405" s="1">
        <v>-2906</v>
      </c>
      <c r="F1405" t="s">
        <v>1374</v>
      </c>
      <c r="G1405" t="s">
        <v>2343</v>
      </c>
      <c r="H1405" t="s">
        <v>11225</v>
      </c>
      <c r="I1405">
        <v>4</v>
      </c>
      <c r="J1405" t="s">
        <v>6020</v>
      </c>
      <c r="K1405">
        <v>69</v>
      </c>
      <c r="L1405" t="s">
        <v>11226</v>
      </c>
      <c r="M1405" t="s">
        <v>11227</v>
      </c>
      <c r="N1405" t="s">
        <v>11228</v>
      </c>
      <c r="O1405" t="s">
        <v>10614</v>
      </c>
      <c r="P1405" t="s">
        <v>11229</v>
      </c>
      <c r="Q1405" t="s">
        <v>11230</v>
      </c>
      <c r="R1405" t="s">
        <v>11228</v>
      </c>
      <c r="S1405" s="2">
        <v>45400</v>
      </c>
      <c r="T1405" t="s">
        <v>11231</v>
      </c>
      <c r="U1405" t="s">
        <v>11232</v>
      </c>
      <c r="V1405">
        <v>0</v>
      </c>
      <c r="W1405">
        <v>1</v>
      </c>
      <c r="X1405">
        <v>210788</v>
      </c>
      <c r="Y1405" t="s">
        <v>107</v>
      </c>
      <c r="Z1405" t="s">
        <v>11230</v>
      </c>
      <c r="AA1405" t="s">
        <v>10615</v>
      </c>
      <c r="AB1405" t="s">
        <v>45</v>
      </c>
      <c r="AC1405" t="s">
        <v>10616</v>
      </c>
    </row>
    <row r="1406" spans="1:29">
      <c r="A1406" t="s">
        <v>1394</v>
      </c>
      <c r="B1406" s="1">
        <v>169727</v>
      </c>
      <c r="C1406" t="s">
        <v>4326</v>
      </c>
      <c r="D1406" t="s">
        <v>3029</v>
      </c>
      <c r="E1406" s="1">
        <v>-5119</v>
      </c>
      <c r="F1406" t="s">
        <v>4606</v>
      </c>
      <c r="G1406" t="s">
        <v>1371</v>
      </c>
      <c r="H1406" t="s">
        <v>11233</v>
      </c>
      <c r="I1406">
        <v>4</v>
      </c>
      <c r="J1406" t="s">
        <v>2089</v>
      </c>
      <c r="K1406">
        <v>69</v>
      </c>
      <c r="L1406" t="s">
        <v>11234</v>
      </c>
      <c r="M1406" t="s">
        <v>11235</v>
      </c>
      <c r="N1406" t="s">
        <v>11236</v>
      </c>
      <c r="O1406" t="s">
        <v>10614</v>
      </c>
      <c r="P1406" t="s">
        <v>11237</v>
      </c>
      <c r="Q1406" t="s">
        <v>11238</v>
      </c>
      <c r="R1406" t="s">
        <v>11239</v>
      </c>
      <c r="S1406" s="2">
        <v>43742</v>
      </c>
      <c r="T1406">
        <v>0</v>
      </c>
      <c r="U1406" t="s">
        <v>11240</v>
      </c>
      <c r="V1406">
        <v>1</v>
      </c>
      <c r="W1406">
        <v>5</v>
      </c>
      <c r="X1406">
        <v>229827</v>
      </c>
      <c r="Y1406" t="s">
        <v>5004</v>
      </c>
      <c r="Z1406" t="s">
        <v>11238</v>
      </c>
      <c r="AA1406" t="s">
        <v>10615</v>
      </c>
      <c r="AB1406" t="s">
        <v>45</v>
      </c>
      <c r="AC1406" t="s">
        <v>10616</v>
      </c>
    </row>
    <row r="1407" spans="1:29">
      <c r="A1407" t="s">
        <v>4005</v>
      </c>
      <c r="B1407" t="s">
        <v>11241</v>
      </c>
      <c r="C1407" t="s">
        <v>450</v>
      </c>
      <c r="D1407" t="s">
        <v>3029</v>
      </c>
      <c r="E1407" s="1">
        <v>-5696</v>
      </c>
      <c r="F1407" t="s">
        <v>1370</v>
      </c>
      <c r="G1407" t="s">
        <v>930</v>
      </c>
      <c r="H1407" t="s">
        <v>11242</v>
      </c>
      <c r="I1407">
        <v>4</v>
      </c>
      <c r="J1407" t="s">
        <v>486</v>
      </c>
      <c r="K1407">
        <v>75</v>
      </c>
      <c r="L1407" t="s">
        <v>11243</v>
      </c>
      <c r="M1407" t="s">
        <v>11244</v>
      </c>
      <c r="N1407" t="s">
        <v>11245</v>
      </c>
      <c r="O1407" t="s">
        <v>10614</v>
      </c>
      <c r="P1407" t="s">
        <v>11246</v>
      </c>
      <c r="Q1407" t="s">
        <v>11247</v>
      </c>
      <c r="R1407" t="s">
        <v>11248</v>
      </c>
      <c r="S1407" s="2">
        <v>45378</v>
      </c>
      <c r="T1407" t="s">
        <v>11249</v>
      </c>
      <c r="U1407" t="s">
        <v>11250</v>
      </c>
      <c r="V1407">
        <v>1</v>
      </c>
      <c r="W1407">
        <v>5</v>
      </c>
      <c r="X1407">
        <v>275862</v>
      </c>
      <c r="Y1407" t="s">
        <v>1700</v>
      </c>
      <c r="Z1407" t="s">
        <v>11247</v>
      </c>
      <c r="AA1407" t="s">
        <v>10615</v>
      </c>
      <c r="AB1407" t="s">
        <v>45</v>
      </c>
      <c r="AC1407" t="s">
        <v>10616</v>
      </c>
    </row>
    <row r="1408" spans="1:29">
      <c r="A1408" t="s">
        <v>2386</v>
      </c>
      <c r="B1408" t="s">
        <v>11251</v>
      </c>
      <c r="C1408" t="s">
        <v>1338</v>
      </c>
      <c r="D1408" t="s">
        <v>3029</v>
      </c>
      <c r="E1408" s="1">
        <v>-5637</v>
      </c>
      <c r="F1408" t="s">
        <v>1538</v>
      </c>
      <c r="G1408" t="s">
        <v>3545</v>
      </c>
      <c r="H1408" t="s">
        <v>11252</v>
      </c>
      <c r="I1408">
        <v>4</v>
      </c>
      <c r="J1408" t="s">
        <v>4243</v>
      </c>
      <c r="K1408">
        <v>85</v>
      </c>
      <c r="L1408" t="s">
        <v>11253</v>
      </c>
      <c r="M1408" t="s">
        <v>11254</v>
      </c>
      <c r="N1408" t="s">
        <v>11255</v>
      </c>
      <c r="O1408" t="s">
        <v>10614</v>
      </c>
      <c r="P1408" t="s">
        <v>11256</v>
      </c>
      <c r="Q1408" t="s">
        <v>11257</v>
      </c>
      <c r="R1408" t="s">
        <v>11255</v>
      </c>
      <c r="S1408" s="2">
        <v>45435</v>
      </c>
      <c r="T1408" t="s">
        <v>292</v>
      </c>
      <c r="U1408" t="s">
        <v>11258</v>
      </c>
      <c r="V1408">
        <v>0</v>
      </c>
      <c r="W1408">
        <v>5</v>
      </c>
      <c r="X1408">
        <v>156171</v>
      </c>
      <c r="Y1408" t="s">
        <v>3824</v>
      </c>
      <c r="Z1408" t="s">
        <v>11257</v>
      </c>
      <c r="AA1408" t="s">
        <v>10615</v>
      </c>
      <c r="AB1408" t="s">
        <v>45</v>
      </c>
      <c r="AC1408" t="s">
        <v>10616</v>
      </c>
    </row>
    <row r="1409" spans="1:29">
      <c r="A1409" t="s">
        <v>2960</v>
      </c>
      <c r="B1409" s="1">
        <v>99986</v>
      </c>
      <c r="C1409" t="s">
        <v>3471</v>
      </c>
      <c r="D1409" t="s">
        <v>3029</v>
      </c>
      <c r="E1409" s="1">
        <v>-8472</v>
      </c>
      <c r="F1409" t="s">
        <v>11259</v>
      </c>
      <c r="G1409" t="s">
        <v>119</v>
      </c>
      <c r="H1409" t="s">
        <v>11260</v>
      </c>
      <c r="I1409">
        <v>4</v>
      </c>
      <c r="J1409" t="s">
        <v>7327</v>
      </c>
      <c r="K1409">
        <v>87</v>
      </c>
      <c r="L1409" t="s">
        <v>11261</v>
      </c>
      <c r="M1409" t="s">
        <v>11262</v>
      </c>
      <c r="N1409" t="s">
        <v>11263</v>
      </c>
      <c r="O1409" t="s">
        <v>10614</v>
      </c>
      <c r="P1409" t="s">
        <v>11264</v>
      </c>
      <c r="Q1409" t="s">
        <v>11265</v>
      </c>
      <c r="R1409" t="s">
        <v>11263</v>
      </c>
      <c r="S1409" s="2">
        <v>45324</v>
      </c>
      <c r="T1409" t="s">
        <v>11266</v>
      </c>
      <c r="U1409" t="s">
        <v>11267</v>
      </c>
      <c r="V1409">
        <v>0</v>
      </c>
      <c r="W1409">
        <v>8</v>
      </c>
      <c r="X1409">
        <v>222000</v>
      </c>
      <c r="Y1409" t="s">
        <v>550</v>
      </c>
      <c r="Z1409" t="s">
        <v>11265</v>
      </c>
      <c r="AA1409" t="s">
        <v>10615</v>
      </c>
      <c r="AB1409" t="s">
        <v>45</v>
      </c>
      <c r="AC1409" t="s">
        <v>10616</v>
      </c>
    </row>
    <row r="1410" spans="1:29">
      <c r="A1410" t="s">
        <v>1747</v>
      </c>
      <c r="B1410" s="1">
        <v>129992</v>
      </c>
      <c r="C1410" t="s">
        <v>1153</v>
      </c>
      <c r="D1410" t="s">
        <v>3029</v>
      </c>
      <c r="E1410" s="1">
        <v>-10515</v>
      </c>
      <c r="F1410" t="s">
        <v>1211</v>
      </c>
      <c r="G1410" t="s">
        <v>2098</v>
      </c>
      <c r="H1410" t="s">
        <v>11268</v>
      </c>
      <c r="I1410">
        <v>4</v>
      </c>
      <c r="J1410" t="s">
        <v>6477</v>
      </c>
      <c r="K1410">
        <v>75</v>
      </c>
      <c r="L1410" t="s">
        <v>11269</v>
      </c>
      <c r="M1410" t="s">
        <v>11270</v>
      </c>
      <c r="N1410" t="s">
        <v>11271</v>
      </c>
      <c r="O1410" t="s">
        <v>10614</v>
      </c>
      <c r="P1410" t="s">
        <v>11272</v>
      </c>
      <c r="Q1410" t="s">
        <v>11273</v>
      </c>
      <c r="R1410" t="s">
        <v>11271</v>
      </c>
      <c r="S1410" s="2">
        <v>45156</v>
      </c>
      <c r="T1410">
        <v>0</v>
      </c>
      <c r="U1410" t="s">
        <v>11274</v>
      </c>
      <c r="V1410">
        <v>0</v>
      </c>
      <c r="W1410">
        <v>5</v>
      </c>
      <c r="X1410">
        <v>194769</v>
      </c>
      <c r="Y1410" t="s">
        <v>3808</v>
      </c>
      <c r="Z1410" t="s">
        <v>11273</v>
      </c>
      <c r="AA1410" t="s">
        <v>10615</v>
      </c>
      <c r="AB1410" t="s">
        <v>45</v>
      </c>
      <c r="AC1410" t="s">
        <v>10616</v>
      </c>
    </row>
    <row r="1411" spans="1:29">
      <c r="A1411" t="s">
        <v>2830</v>
      </c>
      <c r="B1411" s="1">
        <v>92009</v>
      </c>
      <c r="C1411" t="s">
        <v>33</v>
      </c>
      <c r="D1411" t="s">
        <v>3029</v>
      </c>
      <c r="E1411" s="1">
        <v>-2978</v>
      </c>
      <c r="F1411" t="s">
        <v>595</v>
      </c>
      <c r="G1411" t="s">
        <v>2832</v>
      </c>
      <c r="H1411" t="s">
        <v>11275</v>
      </c>
      <c r="I1411">
        <v>4</v>
      </c>
      <c r="J1411" t="s">
        <v>1640</v>
      </c>
      <c r="K1411">
        <v>70</v>
      </c>
      <c r="L1411" t="s">
        <v>11276</v>
      </c>
      <c r="M1411" t="s">
        <v>11277</v>
      </c>
      <c r="N1411" t="s">
        <v>11278</v>
      </c>
      <c r="O1411" t="s">
        <v>10614</v>
      </c>
      <c r="P1411" t="s">
        <v>11279</v>
      </c>
      <c r="Q1411" t="s">
        <v>11280</v>
      </c>
      <c r="R1411" t="s">
        <v>11281</v>
      </c>
      <c r="S1411" s="2">
        <v>43749</v>
      </c>
      <c r="T1411">
        <v>0</v>
      </c>
      <c r="U1411" t="s">
        <v>11282</v>
      </c>
      <c r="V1411">
        <v>0</v>
      </c>
      <c r="W1411">
        <v>1</v>
      </c>
      <c r="X1411">
        <v>212653</v>
      </c>
      <c r="Y1411" t="s">
        <v>4017</v>
      </c>
      <c r="Z1411" t="s">
        <v>11280</v>
      </c>
      <c r="AA1411" t="s">
        <v>10615</v>
      </c>
      <c r="AB1411" t="s">
        <v>45</v>
      </c>
      <c r="AC1411" t="s">
        <v>10616</v>
      </c>
    </row>
    <row r="1412" spans="1:29">
      <c r="A1412" t="s">
        <v>527</v>
      </c>
      <c r="B1412" s="1">
        <v>128027</v>
      </c>
      <c r="C1412" t="s">
        <v>539</v>
      </c>
      <c r="D1412" t="s">
        <v>3029</v>
      </c>
      <c r="E1412" s="1">
        <v>-6795</v>
      </c>
      <c r="F1412" t="s">
        <v>540</v>
      </c>
      <c r="G1412" t="s">
        <v>250</v>
      </c>
      <c r="H1412" t="s">
        <v>541</v>
      </c>
      <c r="I1412">
        <v>4</v>
      </c>
      <c r="J1412" t="s">
        <v>542</v>
      </c>
      <c r="K1412">
        <v>93</v>
      </c>
      <c r="L1412" t="s">
        <v>543</v>
      </c>
      <c r="M1412" t="s">
        <v>544</v>
      </c>
      <c r="N1412" t="s">
        <v>545</v>
      </c>
      <c r="O1412" t="s">
        <v>10614</v>
      </c>
      <c r="P1412" t="s">
        <v>546</v>
      </c>
      <c r="Q1412" t="s">
        <v>547</v>
      </c>
      <c r="R1412" t="s">
        <v>545</v>
      </c>
      <c r="S1412" s="2">
        <v>45464</v>
      </c>
      <c r="T1412" t="s">
        <v>548</v>
      </c>
      <c r="U1412" t="s">
        <v>549</v>
      </c>
      <c r="V1412">
        <v>1</v>
      </c>
      <c r="W1412">
        <v>11</v>
      </c>
      <c r="X1412">
        <v>195824</v>
      </c>
      <c r="Y1412" t="s">
        <v>550</v>
      </c>
      <c r="Z1412" t="s">
        <v>547</v>
      </c>
      <c r="AA1412" t="s">
        <v>10615</v>
      </c>
      <c r="AB1412" t="s">
        <v>45</v>
      </c>
      <c r="AC1412" t="s">
        <v>10616</v>
      </c>
    </row>
    <row r="1413" spans="1:29">
      <c r="A1413" t="s">
        <v>1152</v>
      </c>
      <c r="B1413" s="1">
        <v>100029</v>
      </c>
      <c r="C1413" t="s">
        <v>322</v>
      </c>
      <c r="D1413" t="s">
        <v>3029</v>
      </c>
      <c r="E1413" s="1">
        <v>-6335</v>
      </c>
      <c r="F1413" t="s">
        <v>3063</v>
      </c>
      <c r="G1413" t="s">
        <v>997</v>
      </c>
      <c r="H1413" t="s">
        <v>3064</v>
      </c>
      <c r="I1413">
        <v>4</v>
      </c>
      <c r="J1413" t="s">
        <v>61</v>
      </c>
      <c r="K1413">
        <v>88</v>
      </c>
      <c r="L1413" t="s">
        <v>3065</v>
      </c>
      <c r="M1413" t="s">
        <v>3066</v>
      </c>
      <c r="N1413" t="s">
        <v>3067</v>
      </c>
      <c r="O1413" t="s">
        <v>10614</v>
      </c>
      <c r="P1413" t="s">
        <v>3068</v>
      </c>
      <c r="Q1413" t="s">
        <v>3069</v>
      </c>
      <c r="R1413" t="s">
        <v>3070</v>
      </c>
      <c r="S1413" s="2">
        <v>45498</v>
      </c>
      <c r="T1413" t="s">
        <v>3071</v>
      </c>
      <c r="U1413" t="s">
        <v>3072</v>
      </c>
      <c r="V1413">
        <v>0</v>
      </c>
      <c r="W1413">
        <v>7</v>
      </c>
      <c r="X1413">
        <v>149074</v>
      </c>
      <c r="Y1413" t="s">
        <v>2832</v>
      </c>
      <c r="Z1413" t="s">
        <v>3069</v>
      </c>
      <c r="AA1413" t="s">
        <v>10615</v>
      </c>
      <c r="AB1413" t="s">
        <v>45</v>
      </c>
      <c r="AC1413" t="s">
        <v>10616</v>
      </c>
    </row>
    <row r="1414" spans="1:29">
      <c r="A1414" t="s">
        <v>3043</v>
      </c>
      <c r="B1414" s="1">
        <v>128028</v>
      </c>
      <c r="C1414" t="s">
        <v>8728</v>
      </c>
      <c r="D1414" t="s">
        <v>3029</v>
      </c>
      <c r="E1414" s="1">
        <v>-3539</v>
      </c>
      <c r="F1414" t="s">
        <v>1669</v>
      </c>
      <c r="G1414" t="s">
        <v>5029</v>
      </c>
      <c r="H1414" t="s">
        <v>11283</v>
      </c>
      <c r="I1414">
        <v>4</v>
      </c>
      <c r="J1414" t="s">
        <v>1209</v>
      </c>
      <c r="K1414">
        <v>71</v>
      </c>
      <c r="L1414" t="s">
        <v>11284</v>
      </c>
      <c r="M1414" t="s">
        <v>11285</v>
      </c>
      <c r="N1414" t="s">
        <v>11286</v>
      </c>
      <c r="O1414" t="s">
        <v>10614</v>
      </c>
      <c r="P1414" t="s">
        <v>11287</v>
      </c>
      <c r="Q1414" t="s">
        <v>11288</v>
      </c>
      <c r="R1414" t="s">
        <v>11286</v>
      </c>
      <c r="S1414" s="2">
        <v>45416</v>
      </c>
      <c r="T1414" t="s">
        <v>11289</v>
      </c>
      <c r="U1414" t="s">
        <v>11290</v>
      </c>
      <c r="V1414">
        <v>0</v>
      </c>
      <c r="W1414">
        <v>4</v>
      </c>
      <c r="X1414">
        <v>155625</v>
      </c>
      <c r="Y1414" t="s">
        <v>4007</v>
      </c>
      <c r="Z1414" t="s">
        <v>11288</v>
      </c>
      <c r="AA1414" t="s">
        <v>10615</v>
      </c>
      <c r="AB1414" t="s">
        <v>45</v>
      </c>
      <c r="AC1414" t="s">
        <v>10616</v>
      </c>
    </row>
    <row r="1415" spans="1:29">
      <c r="A1415" t="s">
        <v>1431</v>
      </c>
      <c r="B1415" s="1">
        <v>115221</v>
      </c>
      <c r="C1415" t="s">
        <v>119</v>
      </c>
      <c r="D1415" t="s">
        <v>3029</v>
      </c>
      <c r="E1415" s="1">
        <v>-8949</v>
      </c>
      <c r="F1415" t="s">
        <v>984</v>
      </c>
      <c r="G1415" t="s">
        <v>7663</v>
      </c>
      <c r="H1415" t="s">
        <v>11291</v>
      </c>
      <c r="I1415">
        <v>4</v>
      </c>
      <c r="J1415" t="s">
        <v>2031</v>
      </c>
      <c r="K1415">
        <v>83</v>
      </c>
      <c r="L1415" t="s">
        <v>11292</v>
      </c>
      <c r="M1415" t="s">
        <v>11293</v>
      </c>
      <c r="N1415" t="s">
        <v>11294</v>
      </c>
      <c r="O1415" t="s">
        <v>10614</v>
      </c>
      <c r="P1415" t="s">
        <v>11295</v>
      </c>
      <c r="Q1415" t="s">
        <v>11296</v>
      </c>
      <c r="R1415" t="s">
        <v>11294</v>
      </c>
      <c r="S1415" s="2">
        <v>45503</v>
      </c>
      <c r="T1415" t="s">
        <v>11297</v>
      </c>
      <c r="U1415" t="s">
        <v>11298</v>
      </c>
      <c r="V1415">
        <v>1</v>
      </c>
      <c r="W1415">
        <v>1</v>
      </c>
      <c r="X1415">
        <v>234716</v>
      </c>
      <c r="Y1415" t="s">
        <v>852</v>
      </c>
      <c r="Z1415" t="s">
        <v>11296</v>
      </c>
      <c r="AA1415" t="s">
        <v>10615</v>
      </c>
      <c r="AB1415" t="s">
        <v>45</v>
      </c>
      <c r="AC1415" t="s">
        <v>10616</v>
      </c>
    </row>
    <row r="1416" spans="1:29">
      <c r="A1416" t="s">
        <v>434</v>
      </c>
      <c r="B1416" s="1">
        <v>100025</v>
      </c>
      <c r="C1416" t="s">
        <v>2401</v>
      </c>
      <c r="D1416" t="s">
        <v>3029</v>
      </c>
      <c r="E1416" s="1">
        <v>-7532</v>
      </c>
      <c r="F1416" t="s">
        <v>6092</v>
      </c>
      <c r="G1416" t="s">
        <v>1747</v>
      </c>
      <c r="H1416" t="s">
        <v>11299</v>
      </c>
      <c r="I1416">
        <v>4</v>
      </c>
      <c r="J1416" t="s">
        <v>6185</v>
      </c>
      <c r="K1416">
        <v>76</v>
      </c>
      <c r="L1416" t="s">
        <v>11300</v>
      </c>
      <c r="M1416" t="s">
        <v>11301</v>
      </c>
      <c r="N1416" t="s">
        <v>10627</v>
      </c>
      <c r="O1416" t="s">
        <v>10614</v>
      </c>
      <c r="P1416" t="s">
        <v>11302</v>
      </c>
      <c r="Q1416" t="s">
        <v>11303</v>
      </c>
      <c r="R1416" t="s">
        <v>11304</v>
      </c>
      <c r="S1416" s="2">
        <v>45513</v>
      </c>
      <c r="T1416" t="s">
        <v>11305</v>
      </c>
      <c r="U1416" t="s">
        <v>10631</v>
      </c>
      <c r="V1416">
        <v>0</v>
      </c>
      <c r="W1416">
        <v>9</v>
      </c>
      <c r="X1416">
        <v>184806</v>
      </c>
      <c r="Y1416" t="s">
        <v>3106</v>
      </c>
      <c r="Z1416" t="s">
        <v>11303</v>
      </c>
      <c r="AA1416" t="s">
        <v>10615</v>
      </c>
      <c r="AB1416" t="s">
        <v>45</v>
      </c>
      <c r="AC1416" t="s">
        <v>10616</v>
      </c>
    </row>
    <row r="1417" spans="1:29">
      <c r="A1417" t="s">
        <v>2610</v>
      </c>
      <c r="B1417" t="s">
        <v>6836</v>
      </c>
      <c r="C1417" t="s">
        <v>3724</v>
      </c>
      <c r="D1417" t="s">
        <v>3029</v>
      </c>
      <c r="E1417" s="1">
        <v>-4772</v>
      </c>
      <c r="F1417" t="s">
        <v>1483</v>
      </c>
      <c r="G1417" t="s">
        <v>814</v>
      </c>
      <c r="H1417" t="s">
        <v>6837</v>
      </c>
      <c r="I1417">
        <v>4</v>
      </c>
      <c r="J1417" t="s">
        <v>608</v>
      </c>
      <c r="K1417">
        <v>79</v>
      </c>
      <c r="L1417" t="s">
        <v>6838</v>
      </c>
      <c r="M1417" t="s">
        <v>6839</v>
      </c>
      <c r="N1417" t="s">
        <v>6840</v>
      </c>
      <c r="O1417" t="s">
        <v>10614</v>
      </c>
      <c r="P1417" t="s">
        <v>6841</v>
      </c>
      <c r="Q1417" t="s">
        <v>6842</v>
      </c>
      <c r="R1417" t="s">
        <v>6843</v>
      </c>
      <c r="S1417" s="2">
        <v>45261</v>
      </c>
      <c r="T1417">
        <v>0</v>
      </c>
      <c r="U1417" t="s">
        <v>6844</v>
      </c>
      <c r="V1417">
        <v>1</v>
      </c>
      <c r="W1417">
        <v>11</v>
      </c>
      <c r="X1417">
        <v>195587</v>
      </c>
      <c r="Y1417" t="s">
        <v>135</v>
      </c>
      <c r="Z1417" t="s">
        <v>6842</v>
      </c>
      <c r="AA1417" t="s">
        <v>10615</v>
      </c>
      <c r="AB1417" t="s">
        <v>45</v>
      </c>
      <c r="AC1417" t="s">
        <v>10616</v>
      </c>
    </row>
    <row r="1418" spans="1:29">
      <c r="A1418" t="s">
        <v>3257</v>
      </c>
      <c r="B1418" s="1">
        <v>100019</v>
      </c>
      <c r="C1418" t="s">
        <v>1098</v>
      </c>
      <c r="D1418" t="s">
        <v>3029</v>
      </c>
      <c r="E1418" s="1">
        <v>-2888</v>
      </c>
      <c r="F1418" t="s">
        <v>255</v>
      </c>
      <c r="G1418" t="s">
        <v>550</v>
      </c>
      <c r="H1418" t="s">
        <v>11306</v>
      </c>
      <c r="I1418">
        <v>4</v>
      </c>
      <c r="J1418" t="s">
        <v>1241</v>
      </c>
      <c r="K1418">
        <v>88</v>
      </c>
      <c r="L1418" t="s">
        <v>11307</v>
      </c>
      <c r="M1418" t="s">
        <v>11308</v>
      </c>
      <c r="N1418" t="s">
        <v>6840</v>
      </c>
      <c r="O1418" t="s">
        <v>10614</v>
      </c>
      <c r="P1418" t="s">
        <v>11309</v>
      </c>
      <c r="Q1418" t="s">
        <v>11310</v>
      </c>
      <c r="R1418" t="s">
        <v>11311</v>
      </c>
      <c r="S1418" s="2">
        <v>45261</v>
      </c>
      <c r="T1418">
        <v>0</v>
      </c>
      <c r="U1418" t="s">
        <v>6844</v>
      </c>
      <c r="V1418">
        <v>0</v>
      </c>
      <c r="W1418">
        <v>7</v>
      </c>
      <c r="X1418">
        <v>196800</v>
      </c>
      <c r="Y1418" t="s">
        <v>956</v>
      </c>
      <c r="Z1418" t="s">
        <v>11310</v>
      </c>
      <c r="AA1418" t="s">
        <v>10615</v>
      </c>
      <c r="AB1418" t="s">
        <v>45</v>
      </c>
      <c r="AC1418" t="s">
        <v>10616</v>
      </c>
    </row>
    <row r="1419" spans="1:29">
      <c r="A1419" t="s">
        <v>47</v>
      </c>
      <c r="B1419" s="1">
        <v>99994</v>
      </c>
      <c r="C1419" t="s">
        <v>904</v>
      </c>
      <c r="D1419" t="s">
        <v>3029</v>
      </c>
      <c r="E1419" t="s">
        <v>6129</v>
      </c>
      <c r="F1419" t="s">
        <v>2613</v>
      </c>
      <c r="G1419" t="s">
        <v>1786</v>
      </c>
      <c r="H1419" t="s">
        <v>11299</v>
      </c>
      <c r="I1419">
        <v>4</v>
      </c>
      <c r="J1419" t="s">
        <v>5577</v>
      </c>
      <c r="K1419">
        <v>76</v>
      </c>
      <c r="L1419" t="s">
        <v>11312</v>
      </c>
      <c r="M1419" t="s">
        <v>11313</v>
      </c>
      <c r="N1419" t="s">
        <v>10627</v>
      </c>
      <c r="O1419" t="s">
        <v>10614</v>
      </c>
      <c r="P1419" t="s">
        <v>11314</v>
      </c>
      <c r="Q1419" t="s">
        <v>11315</v>
      </c>
      <c r="R1419" t="s">
        <v>11316</v>
      </c>
      <c r="S1419" s="2">
        <v>45513</v>
      </c>
      <c r="T1419" t="s">
        <v>11317</v>
      </c>
      <c r="U1419" t="s">
        <v>10631</v>
      </c>
      <c r="V1419">
        <v>0</v>
      </c>
      <c r="W1419">
        <v>3</v>
      </c>
      <c r="X1419">
        <v>124806</v>
      </c>
      <c r="Y1419" t="s">
        <v>2725</v>
      </c>
      <c r="Z1419" t="s">
        <v>11315</v>
      </c>
      <c r="AA1419" t="s">
        <v>10615</v>
      </c>
      <c r="AB1419" t="s">
        <v>45</v>
      </c>
      <c r="AC1419" t="s">
        <v>10616</v>
      </c>
    </row>
    <row r="1420" spans="1:29">
      <c r="A1420" t="s">
        <v>4781</v>
      </c>
      <c r="B1420" s="1">
        <v>86533</v>
      </c>
      <c r="C1420" t="s">
        <v>784</v>
      </c>
      <c r="D1420" t="s">
        <v>11318</v>
      </c>
      <c r="E1420" s="1">
        <v>-1624</v>
      </c>
      <c r="F1420" t="s">
        <v>1216</v>
      </c>
      <c r="G1420" t="s">
        <v>1324</v>
      </c>
      <c r="H1420" t="s">
        <v>11319</v>
      </c>
      <c r="I1420">
        <v>5</v>
      </c>
      <c r="J1420" t="s">
        <v>2013</v>
      </c>
      <c r="K1420">
        <v>73</v>
      </c>
      <c r="L1420" t="s">
        <v>11320</v>
      </c>
      <c r="M1420" t="s">
        <v>11321</v>
      </c>
      <c r="N1420" t="s">
        <v>11322</v>
      </c>
      <c r="O1420" t="s">
        <v>11323</v>
      </c>
      <c r="P1420" t="s">
        <v>11324</v>
      </c>
      <c r="Q1420" t="s">
        <v>11325</v>
      </c>
      <c r="R1420" t="s">
        <v>11322</v>
      </c>
      <c r="S1420" s="2">
        <v>43304</v>
      </c>
      <c r="T1420">
        <v>0</v>
      </c>
      <c r="U1420" t="s">
        <v>11326</v>
      </c>
      <c r="V1420">
        <v>1</v>
      </c>
      <c r="W1420">
        <v>11</v>
      </c>
      <c r="X1420">
        <v>171692</v>
      </c>
      <c r="Y1420" t="s">
        <v>2002</v>
      </c>
      <c r="Z1420" t="s">
        <v>11325</v>
      </c>
      <c r="AA1420" t="s">
        <v>11327</v>
      </c>
      <c r="AB1420" t="s">
        <v>45</v>
      </c>
      <c r="AC1420" t="s">
        <v>11328</v>
      </c>
    </row>
    <row r="1421" spans="1:29">
      <c r="A1421" t="s">
        <v>6835</v>
      </c>
      <c r="B1421" s="1">
        <v>129949</v>
      </c>
      <c r="C1421" t="s">
        <v>4743</v>
      </c>
      <c r="D1421" t="s">
        <v>11318</v>
      </c>
      <c r="E1421" s="1">
        <v>1295</v>
      </c>
      <c r="F1421" t="s">
        <v>1554</v>
      </c>
      <c r="G1421" t="s">
        <v>3132</v>
      </c>
      <c r="H1421" t="s">
        <v>11329</v>
      </c>
      <c r="I1421">
        <v>4</v>
      </c>
      <c r="J1421" t="s">
        <v>2920</v>
      </c>
      <c r="K1421">
        <v>70</v>
      </c>
      <c r="L1421" t="s">
        <v>11330</v>
      </c>
      <c r="M1421" t="s">
        <v>11331</v>
      </c>
      <c r="N1421" t="s">
        <v>11332</v>
      </c>
      <c r="O1421" t="s">
        <v>11323</v>
      </c>
      <c r="P1421" t="s">
        <v>11333</v>
      </c>
      <c r="Q1421" t="s">
        <v>11334</v>
      </c>
      <c r="R1421" t="s">
        <v>11332</v>
      </c>
      <c r="S1421" s="2">
        <v>44642</v>
      </c>
      <c r="T1421" t="s">
        <v>11335</v>
      </c>
      <c r="U1421" t="s">
        <v>11336</v>
      </c>
      <c r="V1421">
        <v>1</v>
      </c>
      <c r="W1421">
        <v>9</v>
      </c>
      <c r="X1421">
        <v>133846</v>
      </c>
      <c r="Y1421" t="s">
        <v>1812</v>
      </c>
      <c r="Z1421" t="s">
        <v>11334</v>
      </c>
      <c r="AA1421" t="s">
        <v>11327</v>
      </c>
      <c r="AB1421" t="s">
        <v>45</v>
      </c>
      <c r="AC1421" t="s">
        <v>11328</v>
      </c>
    </row>
    <row r="1422" spans="1:29">
      <c r="A1422" t="s">
        <v>11337</v>
      </c>
      <c r="B1422" s="1">
        <v>126015</v>
      </c>
      <c r="C1422" t="s">
        <v>1501</v>
      </c>
      <c r="D1422" t="s">
        <v>11318</v>
      </c>
      <c r="E1422" t="s">
        <v>11338</v>
      </c>
      <c r="F1422" t="s">
        <v>1653</v>
      </c>
      <c r="G1422" t="s">
        <v>565</v>
      </c>
      <c r="H1422" t="s">
        <v>11339</v>
      </c>
      <c r="I1422">
        <v>4</v>
      </c>
      <c r="J1422" t="s">
        <v>486</v>
      </c>
      <c r="K1422">
        <v>72</v>
      </c>
      <c r="L1422" t="s">
        <v>11340</v>
      </c>
      <c r="M1422" t="s">
        <v>11341</v>
      </c>
      <c r="N1422" t="s">
        <v>11342</v>
      </c>
      <c r="O1422" t="s">
        <v>11323</v>
      </c>
      <c r="P1422" t="s">
        <v>11343</v>
      </c>
      <c r="Q1422" t="s">
        <v>11344</v>
      </c>
      <c r="R1422" t="s">
        <v>11342</v>
      </c>
      <c r="S1422" s="2">
        <v>45058</v>
      </c>
      <c r="T1422" t="s">
        <v>3808</v>
      </c>
      <c r="U1422" t="s">
        <v>11345</v>
      </c>
      <c r="V1422">
        <v>1</v>
      </c>
      <c r="W1422">
        <v>1</v>
      </c>
      <c r="X1422">
        <v>118194</v>
      </c>
      <c r="Y1422" t="s">
        <v>6078</v>
      </c>
      <c r="Z1422" t="s">
        <v>11344</v>
      </c>
      <c r="AA1422" t="s">
        <v>11327</v>
      </c>
      <c r="AB1422" t="s">
        <v>45</v>
      </c>
      <c r="AC1422" t="s">
        <v>11328</v>
      </c>
    </row>
    <row r="1423" spans="1:29">
      <c r="A1423" t="s">
        <v>5156</v>
      </c>
      <c r="B1423" s="1">
        <v>130028</v>
      </c>
      <c r="C1423" t="s">
        <v>3578</v>
      </c>
      <c r="D1423" t="s">
        <v>11318</v>
      </c>
      <c r="E1423" s="1">
        <v>-3195</v>
      </c>
      <c r="F1423" t="s">
        <v>3228</v>
      </c>
      <c r="G1423" t="s">
        <v>770</v>
      </c>
      <c r="H1423" t="s">
        <v>5237</v>
      </c>
      <c r="I1423">
        <v>4</v>
      </c>
      <c r="J1423" t="s">
        <v>163</v>
      </c>
      <c r="K1423">
        <v>77</v>
      </c>
      <c r="L1423" t="s">
        <v>5238</v>
      </c>
      <c r="M1423" t="s">
        <v>5239</v>
      </c>
      <c r="N1423" t="s">
        <v>5240</v>
      </c>
      <c r="O1423" t="s">
        <v>11323</v>
      </c>
      <c r="P1423" t="s">
        <v>5241</v>
      </c>
      <c r="Q1423" t="s">
        <v>5242</v>
      </c>
      <c r="R1423" t="s">
        <v>5240</v>
      </c>
      <c r="S1423" s="2">
        <v>45047</v>
      </c>
      <c r="T1423" t="s">
        <v>5243</v>
      </c>
      <c r="U1423" t="s">
        <v>5244</v>
      </c>
      <c r="V1423">
        <v>1</v>
      </c>
      <c r="W1423">
        <v>9</v>
      </c>
      <c r="X1423">
        <v>61673</v>
      </c>
      <c r="Y1423" t="s">
        <v>251</v>
      </c>
      <c r="Z1423" t="s">
        <v>5242</v>
      </c>
      <c r="AA1423" t="s">
        <v>11327</v>
      </c>
      <c r="AB1423" t="s">
        <v>45</v>
      </c>
      <c r="AC1423" t="s">
        <v>11328</v>
      </c>
    </row>
    <row r="1424" spans="1:29">
      <c r="A1424" t="s">
        <v>799</v>
      </c>
      <c r="B1424" s="1">
        <v>130078</v>
      </c>
      <c r="C1424" t="s">
        <v>1810</v>
      </c>
      <c r="D1424" t="s">
        <v>11318</v>
      </c>
      <c r="E1424" s="1">
        <v>-7901</v>
      </c>
      <c r="F1424" t="s">
        <v>279</v>
      </c>
      <c r="G1424" t="s">
        <v>3687</v>
      </c>
      <c r="H1424" t="s">
        <v>11346</v>
      </c>
      <c r="I1424">
        <v>4</v>
      </c>
      <c r="J1424" t="s">
        <v>11347</v>
      </c>
      <c r="K1424">
        <v>72</v>
      </c>
      <c r="L1424" t="s">
        <v>11348</v>
      </c>
      <c r="M1424" t="s">
        <v>11349</v>
      </c>
      <c r="N1424" t="s">
        <v>11350</v>
      </c>
      <c r="O1424" t="s">
        <v>11323</v>
      </c>
      <c r="P1424" t="s">
        <v>11351</v>
      </c>
      <c r="Q1424" t="s">
        <v>11352</v>
      </c>
      <c r="R1424" t="s">
        <v>11350</v>
      </c>
      <c r="S1424" s="2">
        <v>45127</v>
      </c>
      <c r="T1424" t="s">
        <v>1715</v>
      </c>
      <c r="U1424" t="s">
        <v>11353</v>
      </c>
      <c r="V1424">
        <v>0</v>
      </c>
      <c r="W1424">
        <v>7</v>
      </c>
      <c r="X1424">
        <v>138462</v>
      </c>
      <c r="Y1424" t="s">
        <v>566</v>
      </c>
      <c r="Z1424" t="s">
        <v>11352</v>
      </c>
      <c r="AA1424" t="s">
        <v>11327</v>
      </c>
      <c r="AB1424" t="s">
        <v>45</v>
      </c>
      <c r="AC1424" t="s">
        <v>11328</v>
      </c>
    </row>
    <row r="1425" spans="1:29">
      <c r="A1425" t="s">
        <v>786</v>
      </c>
      <c r="B1425" s="1">
        <v>130053</v>
      </c>
      <c r="C1425" t="s">
        <v>684</v>
      </c>
      <c r="D1425" t="s">
        <v>11318</v>
      </c>
      <c r="E1425" s="1">
        <v>-1826</v>
      </c>
      <c r="F1425" t="s">
        <v>2100</v>
      </c>
      <c r="G1425" t="s">
        <v>1300</v>
      </c>
      <c r="H1425" t="s">
        <v>11354</v>
      </c>
      <c r="I1425">
        <v>4</v>
      </c>
      <c r="J1425" t="s">
        <v>4017</v>
      </c>
      <c r="K1425">
        <v>69</v>
      </c>
      <c r="L1425" t="s">
        <v>11355</v>
      </c>
      <c r="M1425" t="s">
        <v>11356</v>
      </c>
      <c r="N1425" t="s">
        <v>11357</v>
      </c>
      <c r="O1425" t="s">
        <v>11323</v>
      </c>
      <c r="P1425" t="s">
        <v>11358</v>
      </c>
      <c r="Q1425" t="s">
        <v>11359</v>
      </c>
      <c r="R1425" t="s">
        <v>11357</v>
      </c>
      <c r="S1425" s="2">
        <v>45426</v>
      </c>
      <c r="T1425">
        <v>0</v>
      </c>
      <c r="U1425" t="s">
        <v>11360</v>
      </c>
      <c r="V1425">
        <v>1</v>
      </c>
      <c r="W1425">
        <v>11</v>
      </c>
      <c r="X1425">
        <v>199615</v>
      </c>
      <c r="Y1425" t="s">
        <v>1252</v>
      </c>
      <c r="Z1425" t="s">
        <v>11359</v>
      </c>
      <c r="AA1425" t="s">
        <v>11327</v>
      </c>
      <c r="AB1425" t="s">
        <v>45</v>
      </c>
      <c r="AC1425" t="s">
        <v>11328</v>
      </c>
    </row>
    <row r="1426" spans="1:29">
      <c r="A1426" t="s">
        <v>2052</v>
      </c>
      <c r="B1426" s="1">
        <v>80492</v>
      </c>
      <c r="C1426" t="s">
        <v>145</v>
      </c>
      <c r="D1426" t="s">
        <v>11318</v>
      </c>
      <c r="E1426" t="s">
        <v>11361</v>
      </c>
      <c r="F1426" t="s">
        <v>278</v>
      </c>
      <c r="G1426" t="s">
        <v>5766</v>
      </c>
      <c r="H1426" t="s">
        <v>11362</v>
      </c>
      <c r="I1426">
        <v>5</v>
      </c>
      <c r="J1426" t="s">
        <v>65</v>
      </c>
      <c r="K1426">
        <v>77</v>
      </c>
      <c r="L1426" t="s">
        <v>11363</v>
      </c>
      <c r="M1426" t="s">
        <v>11364</v>
      </c>
      <c r="N1426" t="s">
        <v>11365</v>
      </c>
      <c r="O1426" t="s">
        <v>11323</v>
      </c>
      <c r="P1426" t="s">
        <v>11366</v>
      </c>
      <c r="Q1426" t="s">
        <v>11367</v>
      </c>
      <c r="R1426" t="s">
        <v>11365</v>
      </c>
      <c r="S1426" s="2">
        <v>45422</v>
      </c>
      <c r="T1426" t="s">
        <v>11368</v>
      </c>
      <c r="U1426" t="s">
        <v>11369</v>
      </c>
      <c r="V1426">
        <v>0</v>
      </c>
      <c r="W1426">
        <v>9</v>
      </c>
      <c r="X1426">
        <v>123692</v>
      </c>
      <c r="Y1426" t="s">
        <v>801</v>
      </c>
      <c r="Z1426" t="s">
        <v>11367</v>
      </c>
      <c r="AA1426" t="s">
        <v>11327</v>
      </c>
      <c r="AB1426" t="s">
        <v>45</v>
      </c>
      <c r="AC1426" t="s">
        <v>11328</v>
      </c>
    </row>
    <row r="1427" spans="1:29">
      <c r="A1427" t="s">
        <v>119</v>
      </c>
      <c r="B1427" t="s">
        <v>11370</v>
      </c>
      <c r="C1427" t="s">
        <v>3174</v>
      </c>
      <c r="D1427" t="s">
        <v>11318</v>
      </c>
      <c r="E1427" s="1">
        <v>-3922</v>
      </c>
      <c r="F1427" t="s">
        <v>1320</v>
      </c>
      <c r="G1427" t="s">
        <v>262</v>
      </c>
      <c r="H1427" t="s">
        <v>11371</v>
      </c>
      <c r="I1427">
        <v>4</v>
      </c>
      <c r="J1427" t="s">
        <v>2920</v>
      </c>
      <c r="K1427">
        <v>78</v>
      </c>
      <c r="L1427" t="s">
        <v>11372</v>
      </c>
      <c r="M1427" t="s">
        <v>11373</v>
      </c>
      <c r="N1427" t="s">
        <v>11374</v>
      </c>
      <c r="O1427" t="s">
        <v>11323</v>
      </c>
      <c r="P1427" t="s">
        <v>11375</v>
      </c>
      <c r="Q1427" t="s">
        <v>11376</v>
      </c>
      <c r="R1427" t="s">
        <v>11374</v>
      </c>
      <c r="S1427" s="2">
        <v>45379</v>
      </c>
      <c r="T1427" t="s">
        <v>11377</v>
      </c>
      <c r="U1427" t="s">
        <v>11378</v>
      </c>
      <c r="V1427">
        <v>0</v>
      </c>
      <c r="W1427">
        <v>2</v>
      </c>
      <c r="X1427">
        <v>132923</v>
      </c>
      <c r="Y1427" t="s">
        <v>5806</v>
      </c>
      <c r="Z1427" t="s">
        <v>11376</v>
      </c>
      <c r="AA1427" t="s">
        <v>11327</v>
      </c>
      <c r="AB1427" t="s">
        <v>45</v>
      </c>
      <c r="AC1427" t="s">
        <v>11328</v>
      </c>
    </row>
    <row r="1428" spans="1:29">
      <c r="A1428" t="s">
        <v>3095</v>
      </c>
      <c r="B1428" s="1">
        <v>117008</v>
      </c>
      <c r="C1428" t="s">
        <v>4626</v>
      </c>
      <c r="D1428" t="s">
        <v>11318</v>
      </c>
      <c r="E1428" s="1">
        <v>-8568</v>
      </c>
      <c r="F1428" t="s">
        <v>997</v>
      </c>
      <c r="G1428" t="s">
        <v>6742</v>
      </c>
      <c r="H1428" t="s">
        <v>11379</v>
      </c>
      <c r="I1428">
        <v>4</v>
      </c>
      <c r="J1428" t="s">
        <v>2580</v>
      </c>
      <c r="K1428">
        <v>78</v>
      </c>
      <c r="L1428" t="s">
        <v>11380</v>
      </c>
      <c r="M1428" t="s">
        <v>11381</v>
      </c>
      <c r="N1428" t="s">
        <v>11382</v>
      </c>
      <c r="O1428" t="s">
        <v>11323</v>
      </c>
      <c r="P1428" t="s">
        <v>11383</v>
      </c>
      <c r="Q1428" t="s">
        <v>11384</v>
      </c>
      <c r="R1428" t="s">
        <v>11382</v>
      </c>
      <c r="S1428" s="2">
        <v>45400</v>
      </c>
      <c r="T1428" t="s">
        <v>6971</v>
      </c>
      <c r="U1428" t="s">
        <v>11385</v>
      </c>
      <c r="V1428">
        <v>0</v>
      </c>
      <c r="W1428">
        <v>11</v>
      </c>
      <c r="X1428">
        <v>266667</v>
      </c>
      <c r="Y1428" t="s">
        <v>2098</v>
      </c>
      <c r="Z1428" t="s">
        <v>11384</v>
      </c>
      <c r="AA1428" t="s">
        <v>11327</v>
      </c>
      <c r="AB1428" t="s">
        <v>45</v>
      </c>
      <c r="AC1428" t="s">
        <v>11328</v>
      </c>
    </row>
    <row r="1429" spans="1:29">
      <c r="A1429" t="s">
        <v>11386</v>
      </c>
      <c r="B1429" s="1">
        <v>130068</v>
      </c>
      <c r="C1429" t="s">
        <v>3687</v>
      </c>
      <c r="D1429" t="s">
        <v>11318</v>
      </c>
      <c r="E1429" s="1">
        <v>-3715</v>
      </c>
      <c r="F1429" t="s">
        <v>2342</v>
      </c>
      <c r="G1429" t="s">
        <v>2683</v>
      </c>
      <c r="H1429" t="s">
        <v>11387</v>
      </c>
      <c r="I1429">
        <v>4</v>
      </c>
      <c r="J1429" t="s">
        <v>8092</v>
      </c>
      <c r="K1429">
        <v>71</v>
      </c>
      <c r="L1429" t="s">
        <v>11388</v>
      </c>
      <c r="M1429" t="s">
        <v>11389</v>
      </c>
      <c r="N1429" t="s">
        <v>11390</v>
      </c>
      <c r="O1429" t="s">
        <v>11323</v>
      </c>
      <c r="P1429" t="s">
        <v>11391</v>
      </c>
      <c r="Q1429" t="s">
        <v>11392</v>
      </c>
      <c r="R1429" t="s">
        <v>11390</v>
      </c>
      <c r="S1429" s="2">
        <v>45212</v>
      </c>
      <c r="T1429" t="s">
        <v>2949</v>
      </c>
      <c r="U1429" t="s">
        <v>11393</v>
      </c>
      <c r="V1429">
        <v>1</v>
      </c>
      <c r="W1429">
        <v>6</v>
      </c>
      <c r="X1429">
        <v>119221</v>
      </c>
      <c r="Y1429" t="s">
        <v>11394</v>
      </c>
      <c r="Z1429" t="s">
        <v>11392</v>
      </c>
      <c r="AA1429" t="s">
        <v>11327</v>
      </c>
      <c r="AB1429" t="s">
        <v>45</v>
      </c>
      <c r="AC1429" t="s">
        <v>11328</v>
      </c>
    </row>
    <row r="1430" spans="1:29">
      <c r="A1430" t="s">
        <v>104</v>
      </c>
      <c r="B1430" s="1">
        <v>84917</v>
      </c>
      <c r="C1430" t="s">
        <v>3420</v>
      </c>
      <c r="D1430" t="s">
        <v>11318</v>
      </c>
      <c r="E1430" t="s">
        <v>11395</v>
      </c>
      <c r="F1430" t="s">
        <v>7394</v>
      </c>
      <c r="G1430" t="s">
        <v>6809</v>
      </c>
      <c r="H1430" t="s">
        <v>11396</v>
      </c>
      <c r="I1430">
        <v>5</v>
      </c>
      <c r="J1430" t="s">
        <v>801</v>
      </c>
      <c r="K1430">
        <v>68</v>
      </c>
      <c r="L1430" t="s">
        <v>11397</v>
      </c>
      <c r="M1430" t="s">
        <v>11398</v>
      </c>
      <c r="N1430" t="s">
        <v>11399</v>
      </c>
      <c r="O1430" t="s">
        <v>11323</v>
      </c>
      <c r="P1430" t="s">
        <v>11400</v>
      </c>
      <c r="Q1430" t="s">
        <v>11401</v>
      </c>
      <c r="R1430" t="s">
        <v>11399</v>
      </c>
      <c r="S1430" s="2">
        <v>45183</v>
      </c>
      <c r="T1430" t="s">
        <v>11402</v>
      </c>
      <c r="U1430" t="s">
        <v>11403</v>
      </c>
      <c r="V1430">
        <v>1</v>
      </c>
      <c r="W1430">
        <v>6</v>
      </c>
      <c r="X1430">
        <v>157216</v>
      </c>
      <c r="Y1430" t="s">
        <v>2031</v>
      </c>
      <c r="Z1430" t="s">
        <v>11401</v>
      </c>
      <c r="AA1430" t="s">
        <v>11327</v>
      </c>
      <c r="AB1430" t="s">
        <v>45</v>
      </c>
      <c r="AC1430" t="s">
        <v>11328</v>
      </c>
    </row>
    <row r="1431" spans="1:29">
      <c r="A1431" t="s">
        <v>6147</v>
      </c>
      <c r="B1431" s="1">
        <v>130118</v>
      </c>
      <c r="C1431" t="s">
        <v>915</v>
      </c>
      <c r="D1431" t="s">
        <v>11318</v>
      </c>
      <c r="E1431" s="1">
        <v>-1458</v>
      </c>
      <c r="F1431" t="s">
        <v>1373</v>
      </c>
      <c r="G1431" t="s">
        <v>188</v>
      </c>
      <c r="H1431" t="s">
        <v>11404</v>
      </c>
      <c r="I1431">
        <v>4</v>
      </c>
      <c r="J1431" t="s">
        <v>6729</v>
      </c>
      <c r="K1431">
        <v>71</v>
      </c>
      <c r="L1431" t="s">
        <v>11405</v>
      </c>
      <c r="M1431" t="s">
        <v>11406</v>
      </c>
      <c r="N1431" t="s">
        <v>11407</v>
      </c>
      <c r="O1431" t="s">
        <v>11323</v>
      </c>
      <c r="P1431" t="s">
        <v>11408</v>
      </c>
      <c r="Q1431" t="s">
        <v>11409</v>
      </c>
      <c r="R1431" t="s">
        <v>11407</v>
      </c>
      <c r="S1431" s="2">
        <v>45050</v>
      </c>
      <c r="T1431" t="s">
        <v>11410</v>
      </c>
      <c r="U1431" t="s">
        <v>11411</v>
      </c>
      <c r="V1431">
        <v>1</v>
      </c>
      <c r="W1431">
        <v>11</v>
      </c>
      <c r="X1431">
        <v>92093</v>
      </c>
      <c r="Y1431" t="s">
        <v>2753</v>
      </c>
      <c r="Z1431" t="s">
        <v>11409</v>
      </c>
      <c r="AA1431" t="s">
        <v>11327</v>
      </c>
      <c r="AB1431" t="s">
        <v>45</v>
      </c>
      <c r="AC1431" t="s">
        <v>11328</v>
      </c>
    </row>
    <row r="1432" spans="1:29">
      <c r="A1432" t="s">
        <v>1620</v>
      </c>
      <c r="B1432" s="1">
        <v>117054</v>
      </c>
      <c r="C1432" t="s">
        <v>915</v>
      </c>
      <c r="D1432" t="s">
        <v>11318</v>
      </c>
      <c r="E1432" s="1">
        <v>-5077</v>
      </c>
      <c r="F1432" t="s">
        <v>1797</v>
      </c>
      <c r="G1432" t="s">
        <v>79</v>
      </c>
      <c r="H1432" t="s">
        <v>11412</v>
      </c>
      <c r="I1432">
        <v>4</v>
      </c>
      <c r="J1432" t="s">
        <v>463</v>
      </c>
      <c r="K1432">
        <v>72</v>
      </c>
      <c r="L1432" t="s">
        <v>11413</v>
      </c>
      <c r="M1432" t="s">
        <v>11414</v>
      </c>
      <c r="N1432" t="s">
        <v>11415</v>
      </c>
      <c r="O1432" t="s">
        <v>11323</v>
      </c>
      <c r="P1432" t="s">
        <v>11416</v>
      </c>
      <c r="Q1432" t="s">
        <v>11417</v>
      </c>
      <c r="R1432" t="s">
        <v>11415</v>
      </c>
      <c r="S1432" s="2">
        <v>45482</v>
      </c>
      <c r="T1432" t="s">
        <v>11418</v>
      </c>
      <c r="U1432" t="s">
        <v>11419</v>
      </c>
      <c r="V1432">
        <v>0</v>
      </c>
      <c r="W1432">
        <v>4</v>
      </c>
      <c r="X1432">
        <v>107971</v>
      </c>
      <c r="Y1432" t="s">
        <v>703</v>
      </c>
      <c r="Z1432" t="s">
        <v>11417</v>
      </c>
      <c r="AA1432" t="s">
        <v>11327</v>
      </c>
      <c r="AB1432" t="s">
        <v>45</v>
      </c>
      <c r="AC1432" t="s">
        <v>11328</v>
      </c>
    </row>
    <row r="1433" spans="1:29">
      <c r="A1433" t="s">
        <v>2641</v>
      </c>
      <c r="B1433" s="1">
        <v>86429</v>
      </c>
      <c r="C1433" t="s">
        <v>605</v>
      </c>
      <c r="D1433" t="s">
        <v>11318</v>
      </c>
      <c r="E1433" s="1">
        <v>-5967</v>
      </c>
      <c r="F1433" t="s">
        <v>11420</v>
      </c>
      <c r="G1433" t="s">
        <v>2251</v>
      </c>
      <c r="H1433" t="s">
        <v>11421</v>
      </c>
      <c r="I1433">
        <v>5</v>
      </c>
      <c r="J1433" t="s">
        <v>7663</v>
      </c>
      <c r="K1433">
        <v>70</v>
      </c>
      <c r="L1433" t="s">
        <v>11422</v>
      </c>
      <c r="M1433" t="s">
        <v>11423</v>
      </c>
      <c r="N1433" t="s">
        <v>11424</v>
      </c>
      <c r="O1433" t="s">
        <v>11323</v>
      </c>
      <c r="P1433" t="s">
        <v>11425</v>
      </c>
      <c r="Q1433" t="s">
        <v>11426</v>
      </c>
      <c r="R1433" t="s">
        <v>11427</v>
      </c>
      <c r="S1433" s="2">
        <v>45282</v>
      </c>
      <c r="T1433" t="s">
        <v>11428</v>
      </c>
      <c r="U1433" t="s">
        <v>11429</v>
      </c>
      <c r="V1433">
        <v>0</v>
      </c>
      <c r="W1433">
        <v>6</v>
      </c>
      <c r="X1433">
        <v>121384</v>
      </c>
      <c r="Y1433" t="s">
        <v>96</v>
      </c>
      <c r="Z1433" t="s">
        <v>11426</v>
      </c>
      <c r="AA1433" t="s">
        <v>11327</v>
      </c>
      <c r="AB1433" t="s">
        <v>45</v>
      </c>
      <c r="AC1433" t="s">
        <v>11328</v>
      </c>
    </row>
    <row r="1434" spans="1:29">
      <c r="A1434" t="s">
        <v>6173</v>
      </c>
      <c r="B1434" s="1">
        <v>90025</v>
      </c>
      <c r="C1434" t="s">
        <v>3143</v>
      </c>
      <c r="D1434" t="s">
        <v>11430</v>
      </c>
      <c r="E1434" s="1">
        <v>-17176</v>
      </c>
      <c r="F1434" t="s">
        <v>1937</v>
      </c>
      <c r="G1434" t="s">
        <v>2884</v>
      </c>
      <c r="H1434" t="s">
        <v>11431</v>
      </c>
      <c r="I1434">
        <v>4</v>
      </c>
      <c r="J1434" t="s">
        <v>4824</v>
      </c>
      <c r="K1434">
        <v>75</v>
      </c>
      <c r="L1434" t="s">
        <v>11432</v>
      </c>
      <c r="M1434" t="s">
        <v>11433</v>
      </c>
      <c r="N1434" t="s">
        <v>11434</v>
      </c>
      <c r="O1434" t="s">
        <v>11435</v>
      </c>
      <c r="P1434" t="s">
        <v>11436</v>
      </c>
      <c r="Q1434" t="s">
        <v>11437</v>
      </c>
      <c r="R1434" t="s">
        <v>11438</v>
      </c>
      <c r="S1434" s="2">
        <v>45513</v>
      </c>
      <c r="T1434" t="s">
        <v>11439</v>
      </c>
      <c r="U1434" t="s">
        <v>11440</v>
      </c>
      <c r="V1434">
        <v>0</v>
      </c>
      <c r="W1434">
        <v>0</v>
      </c>
      <c r="X1434">
        <v>176000</v>
      </c>
      <c r="Y1434" t="s">
        <v>321</v>
      </c>
      <c r="Z1434" t="s">
        <v>11437</v>
      </c>
      <c r="AA1434" t="s">
        <v>31</v>
      </c>
      <c r="AB1434" t="s">
        <v>45</v>
      </c>
      <c r="AC1434" t="s">
        <v>11441</v>
      </c>
    </row>
    <row r="1435" spans="1:29">
      <c r="A1435" t="s">
        <v>2467</v>
      </c>
      <c r="B1435" s="1">
        <v>98022</v>
      </c>
      <c r="C1435" t="s">
        <v>2831</v>
      </c>
      <c r="D1435" t="s">
        <v>11430</v>
      </c>
      <c r="E1435" s="1">
        <v>-5235</v>
      </c>
      <c r="F1435" t="s">
        <v>2220</v>
      </c>
      <c r="G1435" t="s">
        <v>2052</v>
      </c>
      <c r="H1435" t="s">
        <v>11431</v>
      </c>
      <c r="I1435">
        <v>4</v>
      </c>
      <c r="J1435" t="s">
        <v>7571</v>
      </c>
      <c r="K1435">
        <v>75</v>
      </c>
      <c r="L1435" t="s">
        <v>11442</v>
      </c>
      <c r="M1435" t="s">
        <v>11443</v>
      </c>
      <c r="N1435" t="s">
        <v>11434</v>
      </c>
      <c r="O1435" t="s">
        <v>11435</v>
      </c>
      <c r="P1435" t="s">
        <v>11444</v>
      </c>
      <c r="Q1435" t="s">
        <v>11445</v>
      </c>
      <c r="R1435" t="s">
        <v>11434</v>
      </c>
      <c r="S1435" s="2">
        <v>45513</v>
      </c>
      <c r="T1435" t="s">
        <v>994</v>
      </c>
      <c r="U1435" t="s">
        <v>11440</v>
      </c>
      <c r="V1435">
        <v>0</v>
      </c>
      <c r="W1435">
        <v>7</v>
      </c>
      <c r="X1435">
        <v>154286</v>
      </c>
      <c r="Y1435" t="s">
        <v>2559</v>
      </c>
      <c r="Z1435" t="s">
        <v>11445</v>
      </c>
      <c r="AA1435" t="s">
        <v>31</v>
      </c>
      <c r="AB1435" t="s">
        <v>45</v>
      </c>
      <c r="AC1435" t="s">
        <v>11441</v>
      </c>
    </row>
    <row r="1436" spans="1:29">
      <c r="A1436" t="s">
        <v>289</v>
      </c>
      <c r="B1436" s="1">
        <v>120001</v>
      </c>
      <c r="C1436" t="s">
        <v>1457</v>
      </c>
      <c r="D1436" t="s">
        <v>11430</v>
      </c>
      <c r="E1436" s="1">
        <v>-8028</v>
      </c>
      <c r="F1436" t="s">
        <v>1525</v>
      </c>
      <c r="G1436" t="s">
        <v>3115</v>
      </c>
      <c r="H1436" t="s">
        <v>11431</v>
      </c>
      <c r="I1436">
        <v>4</v>
      </c>
      <c r="J1436" t="s">
        <v>123</v>
      </c>
      <c r="K1436">
        <v>70</v>
      </c>
      <c r="L1436" t="s">
        <v>11446</v>
      </c>
      <c r="M1436" t="s">
        <v>11447</v>
      </c>
      <c r="N1436" t="s">
        <v>11434</v>
      </c>
      <c r="O1436" t="s">
        <v>11435</v>
      </c>
      <c r="P1436" t="s">
        <v>11448</v>
      </c>
      <c r="Q1436" t="s">
        <v>11449</v>
      </c>
      <c r="R1436" t="s">
        <v>11450</v>
      </c>
      <c r="S1436" s="2">
        <v>45513</v>
      </c>
      <c r="T1436">
        <v>0</v>
      </c>
      <c r="U1436" t="s">
        <v>11440</v>
      </c>
      <c r="V1436">
        <v>0</v>
      </c>
      <c r="W1436">
        <v>7</v>
      </c>
      <c r="X1436">
        <v>172000</v>
      </c>
      <c r="Y1436" t="s">
        <v>2251</v>
      </c>
      <c r="Z1436" t="s">
        <v>11449</v>
      </c>
      <c r="AA1436" t="s">
        <v>31</v>
      </c>
      <c r="AB1436" t="s">
        <v>45</v>
      </c>
      <c r="AC1436" t="s">
        <v>11441</v>
      </c>
    </row>
    <row r="1437" spans="1:29">
      <c r="A1437" t="s">
        <v>1786</v>
      </c>
      <c r="B1437" s="1">
        <v>95056</v>
      </c>
      <c r="C1437" t="s">
        <v>2030</v>
      </c>
      <c r="D1437" t="s">
        <v>11430</v>
      </c>
      <c r="E1437" t="s">
        <v>11451</v>
      </c>
      <c r="F1437" t="s">
        <v>7605</v>
      </c>
      <c r="G1437" t="s">
        <v>1384</v>
      </c>
      <c r="H1437" t="s">
        <v>11452</v>
      </c>
      <c r="I1437">
        <v>4</v>
      </c>
      <c r="J1437" t="s">
        <v>6092</v>
      </c>
      <c r="K1437">
        <v>72</v>
      </c>
      <c r="L1437" t="s">
        <v>11453</v>
      </c>
      <c r="M1437" t="s">
        <v>11454</v>
      </c>
      <c r="N1437" t="s">
        <v>11455</v>
      </c>
      <c r="O1437" t="s">
        <v>11435</v>
      </c>
      <c r="P1437" t="s">
        <v>11456</v>
      </c>
      <c r="Q1437" t="s">
        <v>11457</v>
      </c>
      <c r="R1437" t="s">
        <v>11455</v>
      </c>
      <c r="S1437" s="2">
        <v>45457</v>
      </c>
      <c r="T1437" t="s">
        <v>11458</v>
      </c>
      <c r="U1437" t="s">
        <v>11459</v>
      </c>
      <c r="V1437">
        <v>0</v>
      </c>
      <c r="W1437">
        <v>8</v>
      </c>
      <c r="X1437">
        <v>146526</v>
      </c>
      <c r="Y1437" t="s">
        <v>1893</v>
      </c>
      <c r="Z1437" t="s">
        <v>11457</v>
      </c>
      <c r="AA1437" t="s">
        <v>31</v>
      </c>
      <c r="AB1437" t="s">
        <v>45</v>
      </c>
      <c r="AC1437" t="s">
        <v>11441</v>
      </c>
    </row>
    <row r="1438" spans="1:29">
      <c r="A1438" t="s">
        <v>7018</v>
      </c>
      <c r="B1438" t="s">
        <v>6718</v>
      </c>
      <c r="C1438" t="s">
        <v>2151</v>
      </c>
      <c r="D1438" t="s">
        <v>11430</v>
      </c>
      <c r="E1438" s="1">
        <v>-4226</v>
      </c>
      <c r="F1438" t="s">
        <v>931</v>
      </c>
      <c r="G1438" t="s">
        <v>6742</v>
      </c>
      <c r="H1438" t="s">
        <v>11460</v>
      </c>
      <c r="I1438">
        <v>4</v>
      </c>
      <c r="J1438" t="s">
        <v>7017</v>
      </c>
      <c r="K1438">
        <v>74</v>
      </c>
      <c r="L1438" t="s">
        <v>11461</v>
      </c>
      <c r="M1438" t="s">
        <v>11462</v>
      </c>
      <c r="N1438" t="s">
        <v>11463</v>
      </c>
      <c r="O1438" t="s">
        <v>11435</v>
      </c>
      <c r="P1438" t="s">
        <v>11464</v>
      </c>
      <c r="Q1438" t="s">
        <v>11465</v>
      </c>
      <c r="R1438" t="s">
        <v>11463</v>
      </c>
      <c r="S1438" s="2">
        <v>45464</v>
      </c>
      <c r="T1438">
        <v>0</v>
      </c>
      <c r="U1438" t="s">
        <v>11466</v>
      </c>
      <c r="V1438">
        <v>1</v>
      </c>
      <c r="W1438">
        <v>7</v>
      </c>
      <c r="X1438">
        <v>181518</v>
      </c>
      <c r="Y1438" t="s">
        <v>9345</v>
      </c>
      <c r="Z1438" t="s">
        <v>11465</v>
      </c>
      <c r="AA1438" t="s">
        <v>31</v>
      </c>
      <c r="AB1438" t="s">
        <v>45</v>
      </c>
      <c r="AC1438" t="s">
        <v>11441</v>
      </c>
    </row>
    <row r="1439" spans="1:29">
      <c r="A1439" t="s">
        <v>3114</v>
      </c>
      <c r="B1439" s="1">
        <v>78753</v>
      </c>
      <c r="C1439" t="s">
        <v>2764</v>
      </c>
      <c r="D1439" t="s">
        <v>11430</v>
      </c>
      <c r="E1439" t="s">
        <v>11467</v>
      </c>
      <c r="F1439" t="s">
        <v>255</v>
      </c>
      <c r="G1439" t="s">
        <v>202</v>
      </c>
      <c r="H1439" t="s">
        <v>11468</v>
      </c>
      <c r="I1439">
        <v>4</v>
      </c>
      <c r="J1439" t="s">
        <v>608</v>
      </c>
      <c r="K1439">
        <v>68</v>
      </c>
      <c r="L1439" t="s">
        <v>11469</v>
      </c>
      <c r="M1439" t="s">
        <v>11470</v>
      </c>
      <c r="N1439" t="s">
        <v>11471</v>
      </c>
      <c r="O1439" t="s">
        <v>11435</v>
      </c>
      <c r="P1439" t="s">
        <v>11472</v>
      </c>
      <c r="Q1439" t="s">
        <v>11473</v>
      </c>
      <c r="R1439" t="s">
        <v>11474</v>
      </c>
      <c r="S1439" s="2">
        <v>45434</v>
      </c>
      <c r="T1439">
        <v>0</v>
      </c>
      <c r="U1439" t="s">
        <v>11475</v>
      </c>
      <c r="V1439">
        <v>0</v>
      </c>
      <c r="W1439">
        <v>9</v>
      </c>
      <c r="X1439">
        <v>142000</v>
      </c>
      <c r="Y1439" t="s">
        <v>1501</v>
      </c>
      <c r="Z1439" t="s">
        <v>11473</v>
      </c>
      <c r="AA1439" t="s">
        <v>31</v>
      </c>
      <c r="AB1439" t="s">
        <v>45</v>
      </c>
      <c r="AC1439" t="s">
        <v>11441</v>
      </c>
    </row>
    <row r="1440" spans="1:29">
      <c r="A1440" t="s">
        <v>1267</v>
      </c>
      <c r="B1440" s="1">
        <v>204028</v>
      </c>
      <c r="C1440" t="s">
        <v>276</v>
      </c>
      <c r="D1440" t="s">
        <v>11430</v>
      </c>
      <c r="E1440" s="1">
        <v>-7647</v>
      </c>
      <c r="F1440" t="s">
        <v>4712</v>
      </c>
      <c r="G1440" t="s">
        <v>2598</v>
      </c>
      <c r="H1440" t="s">
        <v>11476</v>
      </c>
      <c r="I1440">
        <v>4</v>
      </c>
      <c r="J1440" t="s">
        <v>2250</v>
      </c>
      <c r="K1440">
        <v>69</v>
      </c>
      <c r="L1440" t="s">
        <v>11477</v>
      </c>
      <c r="M1440" t="s">
        <v>11478</v>
      </c>
      <c r="N1440" t="s">
        <v>11479</v>
      </c>
      <c r="O1440" t="s">
        <v>11435</v>
      </c>
      <c r="P1440" t="s">
        <v>11480</v>
      </c>
      <c r="Q1440" t="s">
        <v>11481</v>
      </c>
      <c r="R1440" t="s">
        <v>11479</v>
      </c>
      <c r="S1440" s="2">
        <v>45359</v>
      </c>
      <c r="T1440" t="s">
        <v>11482</v>
      </c>
      <c r="U1440" t="s">
        <v>11483</v>
      </c>
      <c r="V1440">
        <v>0</v>
      </c>
      <c r="W1440">
        <v>3</v>
      </c>
      <c r="X1440">
        <v>196075</v>
      </c>
      <c r="Y1440" t="s">
        <v>2753</v>
      </c>
      <c r="Z1440" t="s">
        <v>11481</v>
      </c>
      <c r="AA1440" t="s">
        <v>31</v>
      </c>
      <c r="AB1440" t="s">
        <v>45</v>
      </c>
      <c r="AC1440" t="s">
        <v>11441</v>
      </c>
    </row>
    <row r="1441" spans="1:29">
      <c r="A1441" t="s">
        <v>4122</v>
      </c>
      <c r="B1441" s="1">
        <v>141894</v>
      </c>
      <c r="C1441" t="s">
        <v>4078</v>
      </c>
      <c r="D1441" t="s">
        <v>1851</v>
      </c>
      <c r="E1441" s="1">
        <v>-8109</v>
      </c>
      <c r="F1441" t="s">
        <v>1483</v>
      </c>
      <c r="G1441" t="s">
        <v>4261</v>
      </c>
      <c r="H1441" t="s">
        <v>11484</v>
      </c>
      <c r="I1441">
        <v>4</v>
      </c>
      <c r="J1441" t="s">
        <v>5177</v>
      </c>
      <c r="K1441">
        <v>73</v>
      </c>
      <c r="L1441" t="s">
        <v>11485</v>
      </c>
      <c r="M1441" t="s">
        <v>11486</v>
      </c>
      <c r="N1441" t="s">
        <v>11487</v>
      </c>
      <c r="O1441" t="s">
        <v>11488</v>
      </c>
      <c r="P1441" t="s">
        <v>11489</v>
      </c>
      <c r="Q1441" t="s">
        <v>11490</v>
      </c>
      <c r="R1441" t="s">
        <v>11491</v>
      </c>
      <c r="S1441" s="2">
        <v>43315</v>
      </c>
      <c r="T1441" t="s">
        <v>9198</v>
      </c>
      <c r="U1441" t="s">
        <v>11492</v>
      </c>
      <c r="V1441">
        <v>1</v>
      </c>
      <c r="W1441">
        <v>1</v>
      </c>
      <c r="X1441">
        <v>345133</v>
      </c>
      <c r="Y1441" t="s">
        <v>836</v>
      </c>
      <c r="Z1441" t="s">
        <v>11490</v>
      </c>
      <c r="AA1441" t="s">
        <v>6633</v>
      </c>
      <c r="AB1441" t="s">
        <v>45</v>
      </c>
      <c r="AC1441" t="s">
        <v>11493</v>
      </c>
    </row>
    <row r="1442" spans="1:29">
      <c r="A1442" t="s">
        <v>188</v>
      </c>
      <c r="B1442" s="1">
        <v>130012</v>
      </c>
      <c r="C1442" t="s">
        <v>5673</v>
      </c>
      <c r="D1442" t="s">
        <v>1851</v>
      </c>
      <c r="E1442" s="1">
        <v>-4665</v>
      </c>
      <c r="F1442" t="s">
        <v>4241</v>
      </c>
      <c r="G1442" t="s">
        <v>8483</v>
      </c>
      <c r="H1442" t="s">
        <v>11494</v>
      </c>
      <c r="I1442">
        <v>4</v>
      </c>
      <c r="J1442" t="s">
        <v>211</v>
      </c>
      <c r="K1442">
        <v>75</v>
      </c>
      <c r="L1442" t="s">
        <v>11495</v>
      </c>
      <c r="M1442" t="s">
        <v>11496</v>
      </c>
      <c r="N1442" t="s">
        <v>11497</v>
      </c>
      <c r="O1442" t="s">
        <v>11488</v>
      </c>
      <c r="P1442" t="s">
        <v>11498</v>
      </c>
      <c r="Q1442" t="s">
        <v>11499</v>
      </c>
      <c r="R1442" t="s">
        <v>11500</v>
      </c>
      <c r="S1442" s="2">
        <v>43524</v>
      </c>
      <c r="T1442">
        <v>0</v>
      </c>
      <c r="U1442" t="s">
        <v>11501</v>
      </c>
      <c r="V1442">
        <v>1</v>
      </c>
      <c r="W1442">
        <v>11</v>
      </c>
      <c r="X1442">
        <v>134548</v>
      </c>
      <c r="Y1442" t="s">
        <v>7319</v>
      </c>
      <c r="Z1442" t="s">
        <v>11499</v>
      </c>
      <c r="AA1442" t="s">
        <v>6633</v>
      </c>
      <c r="AB1442" t="s">
        <v>45</v>
      </c>
      <c r="AC1442" t="s">
        <v>11493</v>
      </c>
    </row>
    <row r="1443" spans="1:29">
      <c r="A1443" t="s">
        <v>158</v>
      </c>
      <c r="B1443" s="1">
        <v>119973</v>
      </c>
      <c r="C1443" t="s">
        <v>159</v>
      </c>
      <c r="D1443" t="s">
        <v>1851</v>
      </c>
      <c r="E1443" s="1">
        <v>-5485</v>
      </c>
      <c r="F1443" t="s">
        <v>160</v>
      </c>
      <c r="G1443" t="s">
        <v>161</v>
      </c>
      <c r="H1443" t="s">
        <v>162</v>
      </c>
      <c r="I1443">
        <v>4</v>
      </c>
      <c r="J1443" t="s">
        <v>163</v>
      </c>
      <c r="K1443">
        <v>92</v>
      </c>
      <c r="L1443" t="s">
        <v>164</v>
      </c>
      <c r="M1443" t="s">
        <v>165</v>
      </c>
      <c r="N1443" t="s">
        <v>166</v>
      </c>
      <c r="O1443" t="s">
        <v>11488</v>
      </c>
      <c r="P1443" t="s">
        <v>167</v>
      </c>
      <c r="Q1443" t="s">
        <v>168</v>
      </c>
      <c r="R1443" t="s">
        <v>169</v>
      </c>
      <c r="S1443" s="2">
        <v>45562</v>
      </c>
      <c r="T1443" t="s">
        <v>170</v>
      </c>
      <c r="U1443" t="s">
        <v>171</v>
      </c>
      <c r="V1443">
        <v>0</v>
      </c>
      <c r="W1443">
        <v>11</v>
      </c>
      <c r="X1443">
        <v>256000</v>
      </c>
      <c r="Y1443" t="s">
        <v>172</v>
      </c>
      <c r="Z1443" t="s">
        <v>168</v>
      </c>
      <c r="AA1443" t="s">
        <v>6633</v>
      </c>
      <c r="AB1443" t="s">
        <v>45</v>
      </c>
      <c r="AC1443" t="s">
        <v>11493</v>
      </c>
    </row>
    <row r="1444" spans="1:29">
      <c r="A1444" t="s">
        <v>6765</v>
      </c>
      <c r="B1444" s="1">
        <v>95416</v>
      </c>
      <c r="C1444" t="s">
        <v>2569</v>
      </c>
      <c r="D1444" t="s">
        <v>1851</v>
      </c>
      <c r="E1444" s="1">
        <v>-7736</v>
      </c>
      <c r="F1444" t="s">
        <v>9255</v>
      </c>
      <c r="G1444" t="s">
        <v>2972</v>
      </c>
      <c r="H1444" t="s">
        <v>11502</v>
      </c>
      <c r="I1444">
        <v>4</v>
      </c>
      <c r="J1444" t="s">
        <v>3052</v>
      </c>
      <c r="K1444">
        <v>72</v>
      </c>
      <c r="L1444" t="s">
        <v>11503</v>
      </c>
      <c r="M1444" t="s">
        <v>11504</v>
      </c>
      <c r="N1444" t="s">
        <v>11505</v>
      </c>
      <c r="O1444" t="s">
        <v>11488</v>
      </c>
      <c r="P1444" t="s">
        <v>11506</v>
      </c>
      <c r="Q1444" t="s">
        <v>11507</v>
      </c>
      <c r="R1444" t="s">
        <v>11508</v>
      </c>
      <c r="S1444" s="2">
        <v>36452</v>
      </c>
      <c r="T1444">
        <v>0</v>
      </c>
      <c r="U1444" t="s">
        <v>11509</v>
      </c>
      <c r="V1444">
        <v>0</v>
      </c>
      <c r="W1444">
        <v>6</v>
      </c>
      <c r="X1444">
        <v>298053</v>
      </c>
      <c r="Y1444" t="s">
        <v>7605</v>
      </c>
      <c r="Z1444" t="s">
        <v>11507</v>
      </c>
      <c r="AA1444" t="s">
        <v>6633</v>
      </c>
      <c r="AB1444" t="s">
        <v>45</v>
      </c>
      <c r="AC1444" t="s">
        <v>11493</v>
      </c>
    </row>
    <row r="1445" spans="1:29">
      <c r="A1445" t="s">
        <v>5292</v>
      </c>
      <c r="B1445" s="1">
        <v>97571</v>
      </c>
      <c r="C1445" t="s">
        <v>1393</v>
      </c>
      <c r="D1445" t="s">
        <v>1851</v>
      </c>
      <c r="E1445" t="s">
        <v>11510</v>
      </c>
      <c r="F1445" t="s">
        <v>2557</v>
      </c>
      <c r="G1445" t="s">
        <v>3735</v>
      </c>
      <c r="H1445" t="s">
        <v>11511</v>
      </c>
      <c r="I1445">
        <v>4</v>
      </c>
      <c r="J1445" t="s">
        <v>1643</v>
      </c>
      <c r="K1445">
        <v>87</v>
      </c>
      <c r="L1445" t="s">
        <v>11512</v>
      </c>
      <c r="M1445" t="s">
        <v>11513</v>
      </c>
      <c r="N1445" t="s">
        <v>313</v>
      </c>
      <c r="O1445" t="s">
        <v>11488</v>
      </c>
      <c r="P1445" t="s">
        <v>11514</v>
      </c>
      <c r="Q1445" t="s">
        <v>11515</v>
      </c>
      <c r="R1445" t="s">
        <v>11516</v>
      </c>
      <c r="S1445" s="2">
        <v>45593</v>
      </c>
      <c r="T1445">
        <v>0</v>
      </c>
      <c r="U1445" t="s">
        <v>317</v>
      </c>
      <c r="V1445">
        <v>0</v>
      </c>
      <c r="W1445">
        <v>3</v>
      </c>
      <c r="X1445">
        <v>253834</v>
      </c>
      <c r="Y1445" t="s">
        <v>5806</v>
      </c>
      <c r="Z1445" t="s">
        <v>11515</v>
      </c>
      <c r="AA1445" t="s">
        <v>6633</v>
      </c>
      <c r="AB1445" t="s">
        <v>45</v>
      </c>
      <c r="AC1445" t="s">
        <v>11493</v>
      </c>
    </row>
    <row r="1446" spans="1:29">
      <c r="A1446" t="s">
        <v>5156</v>
      </c>
      <c r="B1446" s="1">
        <v>67536</v>
      </c>
      <c r="C1446" t="s">
        <v>491</v>
      </c>
      <c r="D1446" t="s">
        <v>1851</v>
      </c>
      <c r="E1446" s="1">
        <v>-5293</v>
      </c>
      <c r="F1446" t="s">
        <v>515</v>
      </c>
      <c r="G1446" t="s">
        <v>6212</v>
      </c>
      <c r="H1446" t="s">
        <v>11517</v>
      </c>
      <c r="I1446">
        <v>4</v>
      </c>
      <c r="J1446" t="s">
        <v>1238</v>
      </c>
      <c r="K1446">
        <v>72</v>
      </c>
      <c r="L1446" t="s">
        <v>11518</v>
      </c>
      <c r="M1446" t="s">
        <v>11519</v>
      </c>
      <c r="N1446" t="s">
        <v>11520</v>
      </c>
      <c r="O1446" t="s">
        <v>11488</v>
      </c>
      <c r="P1446" t="s">
        <v>11521</v>
      </c>
      <c r="Q1446" t="s">
        <v>11522</v>
      </c>
      <c r="R1446" t="s">
        <v>11523</v>
      </c>
      <c r="S1446" s="2">
        <v>42150</v>
      </c>
      <c r="T1446">
        <v>0</v>
      </c>
      <c r="U1446" t="s">
        <v>11524</v>
      </c>
      <c r="V1446">
        <v>0</v>
      </c>
      <c r="W1446">
        <v>2</v>
      </c>
      <c r="X1446">
        <v>323960</v>
      </c>
      <c r="Y1446" t="s">
        <v>5370</v>
      </c>
      <c r="Z1446" t="s">
        <v>11522</v>
      </c>
      <c r="AA1446" t="s">
        <v>6633</v>
      </c>
      <c r="AB1446" t="s">
        <v>45</v>
      </c>
      <c r="AC1446" t="s">
        <v>11493</v>
      </c>
    </row>
    <row r="1447" spans="1:29">
      <c r="A1447" t="s">
        <v>3257</v>
      </c>
      <c r="B1447" t="s">
        <v>11525</v>
      </c>
      <c r="C1447" t="s">
        <v>1467</v>
      </c>
      <c r="D1447" t="s">
        <v>1851</v>
      </c>
      <c r="E1447" s="1">
        <v>-3165</v>
      </c>
      <c r="F1447" t="s">
        <v>7605</v>
      </c>
      <c r="G1447" t="s">
        <v>2918</v>
      </c>
      <c r="H1447" t="s">
        <v>2415</v>
      </c>
      <c r="I1447">
        <v>1</v>
      </c>
      <c r="J1447" t="s">
        <v>2498</v>
      </c>
      <c r="K1447">
        <v>72</v>
      </c>
      <c r="L1447" t="s">
        <v>11526</v>
      </c>
      <c r="M1447" t="s">
        <v>11527</v>
      </c>
      <c r="N1447" t="s">
        <v>11528</v>
      </c>
      <c r="O1447" t="s">
        <v>11488</v>
      </c>
      <c r="P1447" t="s">
        <v>11529</v>
      </c>
      <c r="Q1447" t="s">
        <v>11530</v>
      </c>
      <c r="R1447" t="s">
        <v>11528</v>
      </c>
      <c r="S1447" s="2">
        <v>45324</v>
      </c>
      <c r="T1447">
        <v>0</v>
      </c>
      <c r="U1447" t="s">
        <v>11531</v>
      </c>
      <c r="V1447">
        <v>0</v>
      </c>
      <c r="W1447">
        <v>9</v>
      </c>
      <c r="X1447">
        <v>107314</v>
      </c>
      <c r="Y1447" t="s">
        <v>971</v>
      </c>
      <c r="Z1447" t="s">
        <v>11530</v>
      </c>
      <c r="AA1447" t="s">
        <v>6633</v>
      </c>
      <c r="AB1447" t="s">
        <v>45</v>
      </c>
      <c r="AC1447" t="s">
        <v>11493</v>
      </c>
    </row>
    <row r="1448" spans="1:29">
      <c r="A1448" t="s">
        <v>190</v>
      </c>
      <c r="B1448" s="1">
        <v>84143</v>
      </c>
      <c r="C1448" t="s">
        <v>239</v>
      </c>
      <c r="D1448" t="s">
        <v>1851</v>
      </c>
      <c r="E1448" s="1">
        <v>-6788</v>
      </c>
      <c r="F1448" t="s">
        <v>1643</v>
      </c>
      <c r="G1448" t="s">
        <v>1287</v>
      </c>
      <c r="H1448" t="s">
        <v>11532</v>
      </c>
      <c r="I1448">
        <v>4</v>
      </c>
      <c r="J1448" t="s">
        <v>1919</v>
      </c>
      <c r="K1448">
        <v>70</v>
      </c>
      <c r="L1448" t="s">
        <v>11533</v>
      </c>
      <c r="M1448" t="s">
        <v>11534</v>
      </c>
      <c r="N1448" t="s">
        <v>4943</v>
      </c>
      <c r="O1448" t="s">
        <v>11488</v>
      </c>
      <c r="P1448" t="s">
        <v>11535</v>
      </c>
      <c r="Q1448" t="s">
        <v>11536</v>
      </c>
      <c r="R1448" t="s">
        <v>11537</v>
      </c>
      <c r="S1448" s="2">
        <v>43175</v>
      </c>
      <c r="T1448">
        <v>0</v>
      </c>
      <c r="U1448" t="s">
        <v>4948</v>
      </c>
      <c r="V1448">
        <v>0</v>
      </c>
      <c r="W1448">
        <v>10</v>
      </c>
      <c r="X1448">
        <v>176591</v>
      </c>
      <c r="Y1448" t="s">
        <v>198</v>
      </c>
      <c r="Z1448" t="s">
        <v>11536</v>
      </c>
      <c r="AA1448" t="s">
        <v>6633</v>
      </c>
      <c r="AB1448" t="s">
        <v>45</v>
      </c>
      <c r="AC1448" t="s">
        <v>11493</v>
      </c>
    </row>
    <row r="1449" spans="1:29">
      <c r="A1449" t="s">
        <v>3613</v>
      </c>
      <c r="B1449" s="1">
        <v>119043</v>
      </c>
      <c r="C1449" t="s">
        <v>1010</v>
      </c>
      <c r="D1449" t="s">
        <v>1851</v>
      </c>
      <c r="E1449" s="1">
        <v>-7694</v>
      </c>
      <c r="F1449" t="s">
        <v>1723</v>
      </c>
      <c r="G1449" t="s">
        <v>5846</v>
      </c>
      <c r="H1449" t="s">
        <v>2919</v>
      </c>
      <c r="I1449">
        <v>4</v>
      </c>
      <c r="J1449" t="s">
        <v>8889</v>
      </c>
      <c r="K1449">
        <v>82</v>
      </c>
      <c r="L1449" t="s">
        <v>11538</v>
      </c>
      <c r="M1449" t="s">
        <v>11539</v>
      </c>
      <c r="N1449" t="s">
        <v>4819</v>
      </c>
      <c r="O1449" t="s">
        <v>11488</v>
      </c>
      <c r="P1449" t="s">
        <v>11540</v>
      </c>
      <c r="Q1449" t="s">
        <v>11541</v>
      </c>
      <c r="R1449" t="s">
        <v>11542</v>
      </c>
      <c r="S1449" s="2">
        <v>45135</v>
      </c>
      <c r="T1449" t="s">
        <v>11543</v>
      </c>
      <c r="U1449" t="s">
        <v>4823</v>
      </c>
      <c r="V1449">
        <v>0</v>
      </c>
      <c r="W1449">
        <v>0</v>
      </c>
      <c r="X1449">
        <v>251250</v>
      </c>
      <c r="Y1449" t="s">
        <v>421</v>
      </c>
      <c r="Z1449" t="s">
        <v>11541</v>
      </c>
      <c r="AA1449" t="s">
        <v>6633</v>
      </c>
      <c r="AB1449" t="s">
        <v>45</v>
      </c>
      <c r="AC1449" t="s">
        <v>11493</v>
      </c>
    </row>
    <row r="1450" spans="1:29">
      <c r="A1450" t="s">
        <v>319</v>
      </c>
      <c r="B1450" s="1">
        <v>80082</v>
      </c>
      <c r="C1450" t="s">
        <v>1302</v>
      </c>
      <c r="D1450" t="s">
        <v>1851</v>
      </c>
      <c r="E1450" s="1">
        <v>-4935</v>
      </c>
      <c r="F1450" t="s">
        <v>8268</v>
      </c>
      <c r="G1450" t="s">
        <v>5177</v>
      </c>
      <c r="H1450" t="s">
        <v>11544</v>
      </c>
      <c r="I1450">
        <v>4</v>
      </c>
      <c r="J1450" t="s">
        <v>10069</v>
      </c>
      <c r="K1450">
        <v>76</v>
      </c>
      <c r="L1450" t="s">
        <v>11545</v>
      </c>
      <c r="M1450" t="s">
        <v>11546</v>
      </c>
      <c r="N1450" t="s">
        <v>11547</v>
      </c>
      <c r="O1450" t="s">
        <v>11488</v>
      </c>
      <c r="P1450" t="s">
        <v>11548</v>
      </c>
      <c r="Q1450" t="s">
        <v>11549</v>
      </c>
      <c r="R1450" t="s">
        <v>11550</v>
      </c>
      <c r="S1450" s="2">
        <v>40504</v>
      </c>
      <c r="T1450">
        <v>0</v>
      </c>
      <c r="U1450" t="s">
        <v>11551</v>
      </c>
      <c r="V1450">
        <v>0</v>
      </c>
      <c r="W1450">
        <v>8</v>
      </c>
      <c r="X1450">
        <v>351947</v>
      </c>
      <c r="Y1450" t="s">
        <v>11552</v>
      </c>
      <c r="Z1450" t="s">
        <v>11549</v>
      </c>
      <c r="AA1450" t="s">
        <v>6633</v>
      </c>
      <c r="AB1450" t="s">
        <v>45</v>
      </c>
      <c r="AC1450" t="s">
        <v>11493</v>
      </c>
    </row>
    <row r="1451" spans="1:29">
      <c r="A1451" t="s">
        <v>377</v>
      </c>
      <c r="B1451" t="s">
        <v>11553</v>
      </c>
      <c r="C1451" t="s">
        <v>3028</v>
      </c>
      <c r="D1451" t="s">
        <v>1851</v>
      </c>
      <c r="E1451" s="1">
        <v>-8631</v>
      </c>
      <c r="F1451" t="s">
        <v>655</v>
      </c>
      <c r="G1451" t="s">
        <v>1302</v>
      </c>
      <c r="H1451" t="s">
        <v>11554</v>
      </c>
      <c r="I1451">
        <v>4</v>
      </c>
      <c r="J1451" t="s">
        <v>1408</v>
      </c>
      <c r="K1451">
        <v>73</v>
      </c>
      <c r="L1451" t="s">
        <v>11555</v>
      </c>
      <c r="M1451" t="s">
        <v>11556</v>
      </c>
      <c r="N1451" t="s">
        <v>11557</v>
      </c>
      <c r="O1451" t="s">
        <v>11488</v>
      </c>
      <c r="P1451" t="s">
        <v>11558</v>
      </c>
      <c r="Q1451" t="s">
        <v>11559</v>
      </c>
      <c r="R1451" t="s">
        <v>11560</v>
      </c>
      <c r="S1451" s="2">
        <v>41982</v>
      </c>
      <c r="T1451">
        <v>0</v>
      </c>
      <c r="U1451" t="s">
        <v>11561</v>
      </c>
      <c r="V1451">
        <v>1</v>
      </c>
      <c r="W1451">
        <v>8</v>
      </c>
      <c r="X1451">
        <v>211497</v>
      </c>
      <c r="Y1451" t="s">
        <v>1009</v>
      </c>
      <c r="Z1451" t="s">
        <v>11559</v>
      </c>
      <c r="AA1451" t="s">
        <v>6633</v>
      </c>
      <c r="AB1451" t="s">
        <v>45</v>
      </c>
      <c r="AC1451" t="s">
        <v>11493</v>
      </c>
    </row>
    <row r="1452" spans="1:29">
      <c r="A1452" t="s">
        <v>3798</v>
      </c>
      <c r="B1452" s="1">
        <v>81958</v>
      </c>
      <c r="C1452" t="s">
        <v>2610</v>
      </c>
      <c r="D1452" t="s">
        <v>1851</v>
      </c>
      <c r="E1452" s="1">
        <v>-8185</v>
      </c>
      <c r="F1452" t="s">
        <v>2364</v>
      </c>
      <c r="G1452" t="s">
        <v>743</v>
      </c>
      <c r="H1452" t="s">
        <v>7220</v>
      </c>
      <c r="I1452">
        <v>4</v>
      </c>
      <c r="J1452" t="s">
        <v>6908</v>
      </c>
      <c r="K1452">
        <v>72</v>
      </c>
      <c r="L1452" t="s">
        <v>11562</v>
      </c>
      <c r="M1452" t="s">
        <v>11563</v>
      </c>
      <c r="N1452" t="s">
        <v>11564</v>
      </c>
      <c r="O1452" t="s">
        <v>11488</v>
      </c>
      <c r="P1452" t="s">
        <v>11565</v>
      </c>
      <c r="Q1452" t="s">
        <v>11566</v>
      </c>
      <c r="R1452" t="s">
        <v>11567</v>
      </c>
      <c r="S1452" s="2">
        <v>42713</v>
      </c>
      <c r="T1452">
        <v>0</v>
      </c>
      <c r="U1452" t="s">
        <v>11568</v>
      </c>
      <c r="V1452">
        <v>1</v>
      </c>
      <c r="W1452">
        <v>5</v>
      </c>
      <c r="X1452">
        <v>179613</v>
      </c>
      <c r="Y1452" t="s">
        <v>2498</v>
      </c>
      <c r="Z1452" t="s">
        <v>11566</v>
      </c>
      <c r="AA1452" t="s">
        <v>6633</v>
      </c>
      <c r="AB1452" t="s">
        <v>45</v>
      </c>
      <c r="AC1452" t="s">
        <v>11493</v>
      </c>
    </row>
    <row r="1453" spans="1:29">
      <c r="A1453" t="s">
        <v>1176</v>
      </c>
      <c r="B1453" s="1">
        <v>135028</v>
      </c>
      <c r="C1453" t="s">
        <v>1050</v>
      </c>
      <c r="D1453" t="s">
        <v>1851</v>
      </c>
      <c r="E1453" s="1">
        <v>-11448</v>
      </c>
      <c r="F1453" t="s">
        <v>2280</v>
      </c>
      <c r="G1453" t="s">
        <v>4958</v>
      </c>
      <c r="H1453" t="s">
        <v>11569</v>
      </c>
      <c r="I1453">
        <v>4</v>
      </c>
      <c r="J1453" t="s">
        <v>4575</v>
      </c>
      <c r="K1453">
        <v>68</v>
      </c>
      <c r="L1453" t="s">
        <v>11570</v>
      </c>
      <c r="M1453" t="s">
        <v>11571</v>
      </c>
      <c r="N1453" t="s">
        <v>11572</v>
      </c>
      <c r="O1453" t="s">
        <v>11488</v>
      </c>
      <c r="P1453" t="s">
        <v>11573</v>
      </c>
      <c r="Q1453" t="s">
        <v>11574</v>
      </c>
      <c r="R1453" t="s">
        <v>11575</v>
      </c>
      <c r="S1453" s="2">
        <v>44202</v>
      </c>
      <c r="T1453">
        <v>0</v>
      </c>
      <c r="U1453" t="s">
        <v>11576</v>
      </c>
      <c r="V1453">
        <v>1</v>
      </c>
      <c r="W1453">
        <v>11</v>
      </c>
      <c r="X1453">
        <v>144000</v>
      </c>
      <c r="Y1453" t="s">
        <v>4033</v>
      </c>
      <c r="Z1453" t="s">
        <v>11574</v>
      </c>
      <c r="AA1453" t="s">
        <v>6633</v>
      </c>
      <c r="AB1453" t="s">
        <v>45</v>
      </c>
      <c r="AC1453" t="s">
        <v>11493</v>
      </c>
    </row>
    <row r="1454" spans="1:29">
      <c r="A1454" t="s">
        <v>1082</v>
      </c>
      <c r="B1454" s="1">
        <v>95977</v>
      </c>
      <c r="C1454" t="s">
        <v>11577</v>
      </c>
      <c r="D1454" t="s">
        <v>1851</v>
      </c>
      <c r="E1454" s="1">
        <v>-9153</v>
      </c>
      <c r="F1454" t="s">
        <v>582</v>
      </c>
      <c r="G1454" t="s">
        <v>409</v>
      </c>
      <c r="H1454" t="s">
        <v>596</v>
      </c>
      <c r="I1454">
        <v>4</v>
      </c>
      <c r="J1454" t="s">
        <v>3154</v>
      </c>
      <c r="K1454">
        <v>73</v>
      </c>
      <c r="L1454" t="s">
        <v>11578</v>
      </c>
      <c r="M1454" t="s">
        <v>11579</v>
      </c>
      <c r="N1454" t="s">
        <v>2583</v>
      </c>
      <c r="O1454" t="s">
        <v>11488</v>
      </c>
      <c r="P1454" t="s">
        <v>11580</v>
      </c>
      <c r="Q1454" t="s">
        <v>11581</v>
      </c>
      <c r="R1454" t="s">
        <v>11582</v>
      </c>
      <c r="S1454" s="2">
        <v>44694</v>
      </c>
      <c r="T1454" t="s">
        <v>8027</v>
      </c>
      <c r="U1454" t="s">
        <v>2588</v>
      </c>
      <c r="V1454">
        <v>0</v>
      </c>
      <c r="W1454">
        <v>10</v>
      </c>
      <c r="X1454">
        <v>202285</v>
      </c>
      <c r="Y1454" t="s">
        <v>4017</v>
      </c>
      <c r="Z1454" t="s">
        <v>11581</v>
      </c>
      <c r="AA1454" t="s">
        <v>6633</v>
      </c>
      <c r="AB1454" t="s">
        <v>45</v>
      </c>
      <c r="AC1454" t="s">
        <v>11493</v>
      </c>
    </row>
    <row r="1455" spans="1:29">
      <c r="A1455" t="s">
        <v>1335</v>
      </c>
      <c r="B1455" s="1">
        <v>141981</v>
      </c>
      <c r="C1455" t="s">
        <v>3097</v>
      </c>
      <c r="D1455" t="s">
        <v>1851</v>
      </c>
      <c r="E1455" s="1">
        <v>-9629</v>
      </c>
      <c r="F1455" t="s">
        <v>2457</v>
      </c>
      <c r="G1455" t="s">
        <v>189</v>
      </c>
      <c r="H1455" t="s">
        <v>11583</v>
      </c>
      <c r="I1455">
        <v>4</v>
      </c>
      <c r="J1455" t="s">
        <v>4714</v>
      </c>
      <c r="K1455">
        <v>84</v>
      </c>
      <c r="L1455" t="s">
        <v>11584</v>
      </c>
      <c r="M1455" t="s">
        <v>11585</v>
      </c>
      <c r="N1455" t="s">
        <v>11586</v>
      </c>
      <c r="O1455" t="s">
        <v>11488</v>
      </c>
      <c r="P1455" t="s">
        <v>11587</v>
      </c>
      <c r="Q1455" t="s">
        <v>11588</v>
      </c>
      <c r="R1455" t="s">
        <v>11586</v>
      </c>
      <c r="S1455" s="2">
        <v>45156</v>
      </c>
      <c r="T1455" t="s">
        <v>11589</v>
      </c>
      <c r="U1455" t="s">
        <v>11590</v>
      </c>
      <c r="V1455">
        <v>1</v>
      </c>
      <c r="W1455">
        <v>2</v>
      </c>
      <c r="X1455">
        <v>190286</v>
      </c>
      <c r="Y1455" t="s">
        <v>10977</v>
      </c>
      <c r="Z1455" t="s">
        <v>11588</v>
      </c>
      <c r="AA1455" t="s">
        <v>6633</v>
      </c>
      <c r="AB1455" t="s">
        <v>45</v>
      </c>
      <c r="AC1455" t="s">
        <v>11493</v>
      </c>
    </row>
    <row r="1456" spans="1:29">
      <c r="A1456" t="s">
        <v>1552</v>
      </c>
      <c r="B1456" s="1">
        <v>120013</v>
      </c>
      <c r="C1456" t="s">
        <v>119</v>
      </c>
      <c r="D1456" t="s">
        <v>1851</v>
      </c>
      <c r="E1456" s="1">
        <v>-6442</v>
      </c>
      <c r="F1456" t="s">
        <v>2795</v>
      </c>
      <c r="G1456" t="s">
        <v>3106</v>
      </c>
      <c r="H1456" t="s">
        <v>11591</v>
      </c>
      <c r="I1456">
        <v>4</v>
      </c>
      <c r="J1456" t="s">
        <v>1361</v>
      </c>
      <c r="K1456">
        <v>84</v>
      </c>
      <c r="L1456" t="s">
        <v>11592</v>
      </c>
      <c r="M1456" t="s">
        <v>11593</v>
      </c>
      <c r="N1456" t="s">
        <v>11594</v>
      </c>
      <c r="O1456" t="s">
        <v>11488</v>
      </c>
      <c r="P1456" t="s">
        <v>11595</v>
      </c>
      <c r="Q1456" t="s">
        <v>11596</v>
      </c>
      <c r="R1456" t="s">
        <v>11597</v>
      </c>
      <c r="S1456" s="2">
        <v>43413</v>
      </c>
      <c r="T1456" t="s">
        <v>11598</v>
      </c>
      <c r="U1456" t="s">
        <v>11599</v>
      </c>
      <c r="V1456">
        <v>0</v>
      </c>
      <c r="W1456">
        <v>4</v>
      </c>
      <c r="X1456">
        <v>196400</v>
      </c>
      <c r="Y1456" t="s">
        <v>11552</v>
      </c>
      <c r="Z1456" t="s">
        <v>11596</v>
      </c>
      <c r="AA1456" t="s">
        <v>6633</v>
      </c>
      <c r="AB1456" t="s">
        <v>45</v>
      </c>
      <c r="AC1456" t="s">
        <v>11493</v>
      </c>
    </row>
    <row r="1457" spans="1:29">
      <c r="A1457" t="s">
        <v>377</v>
      </c>
      <c r="B1457" s="1">
        <v>94893</v>
      </c>
      <c r="C1457" t="s">
        <v>3347</v>
      </c>
      <c r="D1457" t="s">
        <v>1851</v>
      </c>
      <c r="E1457" s="1">
        <v>-5646</v>
      </c>
      <c r="F1457" t="s">
        <v>4858</v>
      </c>
      <c r="G1457" t="s">
        <v>200</v>
      </c>
      <c r="H1457" t="s">
        <v>11600</v>
      </c>
      <c r="I1457">
        <v>4</v>
      </c>
      <c r="J1457" t="s">
        <v>5846</v>
      </c>
      <c r="K1457">
        <v>68</v>
      </c>
      <c r="L1457" t="s">
        <v>11601</v>
      </c>
      <c r="M1457" t="s">
        <v>11602</v>
      </c>
      <c r="N1457">
        <v>1999</v>
      </c>
      <c r="O1457" t="s">
        <v>11488</v>
      </c>
      <c r="P1457" t="s">
        <v>11603</v>
      </c>
      <c r="Q1457" t="s">
        <v>11604</v>
      </c>
      <c r="R1457" t="s">
        <v>11605</v>
      </c>
      <c r="S1457" s="2">
        <v>41072</v>
      </c>
      <c r="T1457">
        <v>0</v>
      </c>
      <c r="U1457" t="s">
        <v>11606</v>
      </c>
      <c r="V1457">
        <v>0</v>
      </c>
      <c r="W1457">
        <v>8</v>
      </c>
      <c r="X1457">
        <v>224043</v>
      </c>
      <c r="Y1457" t="s">
        <v>1667</v>
      </c>
      <c r="Z1457" t="s">
        <v>11604</v>
      </c>
      <c r="AA1457" t="s">
        <v>6633</v>
      </c>
      <c r="AB1457" t="s">
        <v>45</v>
      </c>
      <c r="AC1457" t="s">
        <v>11493</v>
      </c>
    </row>
    <row r="1458" spans="1:29">
      <c r="A1458" t="s">
        <v>161</v>
      </c>
      <c r="B1458" s="1">
        <v>129953</v>
      </c>
      <c r="C1458" t="s">
        <v>251</v>
      </c>
      <c r="D1458" t="s">
        <v>1851</v>
      </c>
      <c r="E1458" s="1">
        <v>-7066</v>
      </c>
      <c r="F1458" t="s">
        <v>757</v>
      </c>
      <c r="G1458" t="s">
        <v>552</v>
      </c>
      <c r="H1458" t="s">
        <v>4940</v>
      </c>
      <c r="I1458">
        <v>4</v>
      </c>
      <c r="J1458" t="s">
        <v>279</v>
      </c>
      <c r="K1458">
        <v>81</v>
      </c>
      <c r="L1458" t="s">
        <v>11607</v>
      </c>
      <c r="M1458" t="s">
        <v>11608</v>
      </c>
      <c r="N1458">
        <v>17</v>
      </c>
      <c r="O1458" t="s">
        <v>11488</v>
      </c>
      <c r="P1458" t="s">
        <v>11609</v>
      </c>
      <c r="Q1458" t="s">
        <v>11610</v>
      </c>
      <c r="R1458" t="s">
        <v>11611</v>
      </c>
      <c r="S1458" s="2">
        <v>42972</v>
      </c>
      <c r="T1458" t="s">
        <v>9763</v>
      </c>
      <c r="U1458" t="s">
        <v>11612</v>
      </c>
      <c r="V1458">
        <v>0</v>
      </c>
      <c r="W1458">
        <v>7</v>
      </c>
      <c r="X1458">
        <v>95467</v>
      </c>
      <c r="Y1458" t="s">
        <v>2509</v>
      </c>
      <c r="Z1458" t="s">
        <v>11610</v>
      </c>
      <c r="AA1458" t="s">
        <v>6633</v>
      </c>
      <c r="AB1458" t="s">
        <v>45</v>
      </c>
      <c r="AC1458" t="s">
        <v>11493</v>
      </c>
    </row>
    <row r="1459" spans="1:29">
      <c r="A1459" t="s">
        <v>487</v>
      </c>
      <c r="B1459" s="1">
        <v>82356</v>
      </c>
      <c r="C1459" t="s">
        <v>3657</v>
      </c>
      <c r="D1459" t="s">
        <v>1851</v>
      </c>
      <c r="E1459" s="1">
        <v>-5328</v>
      </c>
      <c r="F1459" t="s">
        <v>5004</v>
      </c>
      <c r="G1459" t="s">
        <v>1881</v>
      </c>
      <c r="H1459" t="s">
        <v>11613</v>
      </c>
      <c r="I1459">
        <v>4</v>
      </c>
      <c r="J1459" t="s">
        <v>1812</v>
      </c>
      <c r="K1459">
        <v>78</v>
      </c>
      <c r="L1459" t="s">
        <v>11614</v>
      </c>
      <c r="M1459" t="s">
        <v>11615</v>
      </c>
      <c r="N1459" t="s">
        <v>11616</v>
      </c>
      <c r="O1459" t="s">
        <v>11488</v>
      </c>
      <c r="P1459" t="s">
        <v>11617</v>
      </c>
      <c r="Q1459" t="s">
        <v>11618</v>
      </c>
      <c r="R1459" t="s">
        <v>11619</v>
      </c>
      <c r="S1459" s="2">
        <v>33925</v>
      </c>
      <c r="T1459" t="s">
        <v>10840</v>
      </c>
      <c r="U1459" t="s">
        <v>11620</v>
      </c>
      <c r="V1459">
        <v>0</v>
      </c>
      <c r="W1459">
        <v>7</v>
      </c>
      <c r="X1459">
        <v>260000</v>
      </c>
      <c r="Y1459" t="s">
        <v>2500</v>
      </c>
      <c r="Z1459" t="s">
        <v>11618</v>
      </c>
      <c r="AA1459" t="s">
        <v>6633</v>
      </c>
      <c r="AB1459" t="s">
        <v>45</v>
      </c>
      <c r="AC1459" t="s">
        <v>11493</v>
      </c>
    </row>
    <row r="1460" spans="1:29">
      <c r="A1460" t="s">
        <v>1226</v>
      </c>
      <c r="B1460" s="1">
        <v>142347</v>
      </c>
      <c r="C1460" t="s">
        <v>4033</v>
      </c>
      <c r="D1460" t="s">
        <v>1851</v>
      </c>
      <c r="E1460" s="1">
        <v>-5666</v>
      </c>
      <c r="F1460" t="s">
        <v>6138</v>
      </c>
      <c r="G1460" t="s">
        <v>11577</v>
      </c>
      <c r="H1460" t="s">
        <v>11621</v>
      </c>
      <c r="I1460">
        <v>4</v>
      </c>
      <c r="J1460" t="s">
        <v>1692</v>
      </c>
      <c r="K1460">
        <v>73</v>
      </c>
      <c r="L1460" t="s">
        <v>11622</v>
      </c>
      <c r="M1460" t="s">
        <v>11623</v>
      </c>
      <c r="N1460" t="s">
        <v>11624</v>
      </c>
      <c r="O1460" t="s">
        <v>11488</v>
      </c>
      <c r="P1460" t="s">
        <v>11625</v>
      </c>
      <c r="Q1460" t="s">
        <v>11626</v>
      </c>
      <c r="R1460" t="s">
        <v>11627</v>
      </c>
      <c r="S1460" s="2">
        <v>44372</v>
      </c>
      <c r="T1460">
        <v>0</v>
      </c>
      <c r="U1460" t="s">
        <v>11628</v>
      </c>
      <c r="V1460">
        <v>0</v>
      </c>
      <c r="W1460">
        <v>0</v>
      </c>
      <c r="X1460">
        <v>121573</v>
      </c>
      <c r="Y1460" t="s">
        <v>2031</v>
      </c>
      <c r="Z1460" t="s">
        <v>11626</v>
      </c>
      <c r="AA1460" t="s">
        <v>6633</v>
      </c>
      <c r="AB1460" t="s">
        <v>45</v>
      </c>
      <c r="AC1460" t="s">
        <v>11493</v>
      </c>
    </row>
    <row r="1461" spans="1:29">
      <c r="A1461" t="s">
        <v>1302</v>
      </c>
      <c r="B1461" s="1">
        <v>120058</v>
      </c>
      <c r="C1461" t="s">
        <v>262</v>
      </c>
      <c r="D1461" t="s">
        <v>1851</v>
      </c>
      <c r="E1461" s="1">
        <v>-8442</v>
      </c>
      <c r="F1461" t="s">
        <v>1252</v>
      </c>
      <c r="G1461" t="s">
        <v>2488</v>
      </c>
      <c r="H1461" t="s">
        <v>11629</v>
      </c>
      <c r="I1461">
        <v>4</v>
      </c>
      <c r="J1461" t="s">
        <v>1800</v>
      </c>
      <c r="K1461">
        <v>72</v>
      </c>
      <c r="L1461" t="s">
        <v>11630</v>
      </c>
      <c r="M1461" t="s">
        <v>11631</v>
      </c>
      <c r="N1461" t="s">
        <v>11632</v>
      </c>
      <c r="O1461" t="s">
        <v>11488</v>
      </c>
      <c r="P1461" t="s">
        <v>11633</v>
      </c>
      <c r="Q1461" t="s">
        <v>11634</v>
      </c>
      <c r="R1461" t="s">
        <v>11635</v>
      </c>
      <c r="S1461" s="2">
        <v>42265</v>
      </c>
      <c r="T1461">
        <v>0</v>
      </c>
      <c r="U1461" t="s">
        <v>11636</v>
      </c>
      <c r="V1461">
        <v>1</v>
      </c>
      <c r="W1461">
        <v>8</v>
      </c>
      <c r="X1461">
        <v>208080</v>
      </c>
      <c r="Y1461" t="s">
        <v>3097</v>
      </c>
      <c r="Z1461" t="s">
        <v>11634</v>
      </c>
      <c r="AA1461" t="s">
        <v>6633</v>
      </c>
      <c r="AB1461" t="s">
        <v>45</v>
      </c>
      <c r="AC1461" t="s">
        <v>11493</v>
      </c>
    </row>
    <row r="1462" spans="1:29">
      <c r="A1462" t="s">
        <v>3634</v>
      </c>
      <c r="B1462" s="1">
        <v>145972</v>
      </c>
      <c r="C1462" t="s">
        <v>3995</v>
      </c>
      <c r="D1462" t="s">
        <v>1851</v>
      </c>
      <c r="E1462" s="1">
        <v>-7643</v>
      </c>
      <c r="F1462" t="s">
        <v>1359</v>
      </c>
      <c r="G1462" t="s">
        <v>198</v>
      </c>
      <c r="H1462" t="s">
        <v>4975</v>
      </c>
      <c r="I1462">
        <v>4</v>
      </c>
      <c r="J1462" t="s">
        <v>1606</v>
      </c>
      <c r="K1462">
        <v>77</v>
      </c>
      <c r="L1462" t="s">
        <v>11637</v>
      </c>
      <c r="M1462" t="s">
        <v>11638</v>
      </c>
      <c r="N1462" t="s">
        <v>11639</v>
      </c>
      <c r="O1462" t="s">
        <v>11488</v>
      </c>
      <c r="P1462" t="s">
        <v>11640</v>
      </c>
      <c r="Q1462" t="s">
        <v>11641</v>
      </c>
      <c r="R1462" t="s">
        <v>11642</v>
      </c>
      <c r="S1462" s="2">
        <v>43455</v>
      </c>
      <c r="T1462" t="s">
        <v>1522</v>
      </c>
      <c r="U1462" t="s">
        <v>11643</v>
      </c>
      <c r="V1462">
        <v>1</v>
      </c>
      <c r="W1462">
        <v>1</v>
      </c>
      <c r="X1462">
        <v>288624</v>
      </c>
      <c r="Y1462" t="s">
        <v>3146</v>
      </c>
      <c r="Z1462" t="s">
        <v>11641</v>
      </c>
      <c r="AA1462" t="s">
        <v>6633</v>
      </c>
      <c r="AB1462" t="s">
        <v>45</v>
      </c>
      <c r="AC1462" t="s">
        <v>11493</v>
      </c>
    </row>
    <row r="1463" spans="1:29">
      <c r="A1463" t="s">
        <v>361</v>
      </c>
      <c r="B1463" s="1">
        <v>90482</v>
      </c>
      <c r="C1463" t="s">
        <v>5560</v>
      </c>
      <c r="D1463" t="s">
        <v>1851</v>
      </c>
      <c r="E1463" s="1">
        <v>-7578</v>
      </c>
      <c r="F1463" t="s">
        <v>565</v>
      </c>
      <c r="G1463" t="s">
        <v>713</v>
      </c>
      <c r="H1463" t="s">
        <v>11644</v>
      </c>
      <c r="I1463">
        <v>4</v>
      </c>
      <c r="J1463" t="s">
        <v>393</v>
      </c>
      <c r="K1463">
        <v>83</v>
      </c>
      <c r="L1463" t="s">
        <v>11645</v>
      </c>
      <c r="M1463" t="s">
        <v>11646</v>
      </c>
      <c r="N1463" t="s">
        <v>11647</v>
      </c>
      <c r="O1463" t="s">
        <v>11488</v>
      </c>
      <c r="P1463" t="s">
        <v>11648</v>
      </c>
      <c r="Q1463" t="s">
        <v>11649</v>
      </c>
      <c r="R1463" t="s">
        <v>11650</v>
      </c>
      <c r="S1463" s="2">
        <v>39336</v>
      </c>
      <c r="T1463">
        <v>0</v>
      </c>
      <c r="U1463" t="s">
        <v>11651</v>
      </c>
      <c r="V1463">
        <v>0</v>
      </c>
      <c r="W1463">
        <v>6</v>
      </c>
      <c r="X1463">
        <v>237507</v>
      </c>
      <c r="Y1463" t="s">
        <v>6587</v>
      </c>
      <c r="Z1463" t="s">
        <v>11649</v>
      </c>
      <c r="AA1463" t="s">
        <v>6633</v>
      </c>
      <c r="AB1463" t="s">
        <v>45</v>
      </c>
      <c r="AC1463" t="s">
        <v>11493</v>
      </c>
    </row>
    <row r="1464" spans="1:29">
      <c r="A1464" t="s">
        <v>2198</v>
      </c>
      <c r="B1464" s="1">
        <v>160037</v>
      </c>
      <c r="C1464" t="s">
        <v>392</v>
      </c>
      <c r="D1464" t="s">
        <v>1851</v>
      </c>
      <c r="E1464" s="1">
        <v>-10603</v>
      </c>
      <c r="F1464" t="s">
        <v>710</v>
      </c>
      <c r="G1464" t="s">
        <v>1431</v>
      </c>
      <c r="H1464" t="s">
        <v>11652</v>
      </c>
      <c r="I1464">
        <v>4</v>
      </c>
      <c r="J1464" t="s">
        <v>1435</v>
      </c>
      <c r="K1464">
        <v>78</v>
      </c>
      <c r="L1464" t="s">
        <v>11653</v>
      </c>
      <c r="M1464" t="s">
        <v>11654</v>
      </c>
      <c r="N1464" t="s">
        <v>11655</v>
      </c>
      <c r="O1464" t="s">
        <v>11488</v>
      </c>
      <c r="P1464" t="s">
        <v>11656</v>
      </c>
      <c r="Q1464" t="s">
        <v>11657</v>
      </c>
      <c r="R1464" t="s">
        <v>11658</v>
      </c>
      <c r="S1464" s="2">
        <v>42706</v>
      </c>
      <c r="T1464" t="s">
        <v>11659</v>
      </c>
      <c r="U1464" t="s">
        <v>11660</v>
      </c>
      <c r="V1464">
        <v>1</v>
      </c>
      <c r="W1464">
        <v>1</v>
      </c>
      <c r="X1464">
        <v>326933</v>
      </c>
      <c r="Y1464" t="s">
        <v>2884</v>
      </c>
      <c r="Z1464" t="s">
        <v>11657</v>
      </c>
      <c r="AA1464" t="s">
        <v>6633</v>
      </c>
      <c r="AB1464" t="s">
        <v>45</v>
      </c>
      <c r="AC1464" t="s">
        <v>11493</v>
      </c>
    </row>
    <row r="1465" spans="1:29">
      <c r="A1465" t="s">
        <v>2611</v>
      </c>
      <c r="B1465" t="s">
        <v>11661</v>
      </c>
      <c r="C1465" t="s">
        <v>3347</v>
      </c>
      <c r="D1465" t="s">
        <v>1851</v>
      </c>
      <c r="E1465" s="1">
        <v>-11377</v>
      </c>
      <c r="F1465" t="s">
        <v>1528</v>
      </c>
      <c r="G1465" t="s">
        <v>801</v>
      </c>
      <c r="H1465" t="s">
        <v>1940</v>
      </c>
      <c r="I1465">
        <v>4</v>
      </c>
      <c r="J1465" t="s">
        <v>7221</v>
      </c>
      <c r="K1465">
        <v>80</v>
      </c>
      <c r="L1465" t="s">
        <v>11662</v>
      </c>
      <c r="M1465" t="s">
        <v>11663</v>
      </c>
      <c r="N1465" t="s">
        <v>11664</v>
      </c>
      <c r="O1465" t="s">
        <v>11488</v>
      </c>
      <c r="P1465" t="s">
        <v>11665</v>
      </c>
      <c r="Q1465" t="s">
        <v>11666</v>
      </c>
      <c r="R1465" t="s">
        <v>11667</v>
      </c>
      <c r="S1465" s="2">
        <v>42812</v>
      </c>
      <c r="T1465" t="s">
        <v>5083</v>
      </c>
      <c r="U1465" t="s">
        <v>11668</v>
      </c>
      <c r="V1465">
        <v>1</v>
      </c>
      <c r="W1465">
        <v>11</v>
      </c>
      <c r="X1465">
        <v>298941</v>
      </c>
      <c r="Y1465" t="s">
        <v>1372</v>
      </c>
      <c r="Z1465" t="s">
        <v>11666</v>
      </c>
      <c r="AA1465" t="s">
        <v>6633</v>
      </c>
      <c r="AB1465" t="s">
        <v>45</v>
      </c>
      <c r="AC1465" t="s">
        <v>11493</v>
      </c>
    </row>
    <row r="1466" spans="1:29">
      <c r="A1466" t="s">
        <v>215</v>
      </c>
      <c r="B1466" s="1">
        <v>49305</v>
      </c>
      <c r="C1466" t="s">
        <v>1431</v>
      </c>
      <c r="D1466" t="s">
        <v>1851</v>
      </c>
      <c r="E1466" s="1">
        <v>-8437</v>
      </c>
      <c r="F1466" t="s">
        <v>3114</v>
      </c>
      <c r="G1466" t="s">
        <v>447</v>
      </c>
      <c r="H1466" t="s">
        <v>11669</v>
      </c>
      <c r="I1466">
        <v>5</v>
      </c>
      <c r="J1466" t="s">
        <v>7033</v>
      </c>
      <c r="K1466">
        <v>68</v>
      </c>
      <c r="L1466" t="s">
        <v>11670</v>
      </c>
      <c r="M1466" t="s">
        <v>11671</v>
      </c>
      <c r="N1466" t="s">
        <v>11672</v>
      </c>
      <c r="O1466" t="s">
        <v>11488</v>
      </c>
      <c r="P1466" t="s">
        <v>11673</v>
      </c>
      <c r="Q1466" t="s">
        <v>11674</v>
      </c>
      <c r="R1466" t="s">
        <v>11675</v>
      </c>
      <c r="S1466" s="2">
        <v>43707</v>
      </c>
      <c r="T1466">
        <v>0</v>
      </c>
      <c r="U1466" t="s">
        <v>11676</v>
      </c>
      <c r="V1466">
        <v>1</v>
      </c>
      <c r="W1466">
        <v>2</v>
      </c>
      <c r="X1466">
        <v>99907</v>
      </c>
      <c r="Y1466" t="s">
        <v>1279</v>
      </c>
      <c r="Z1466" t="s">
        <v>11674</v>
      </c>
      <c r="AA1466" t="s">
        <v>6633</v>
      </c>
      <c r="AB1466" t="s">
        <v>45</v>
      </c>
      <c r="AC1466" t="s">
        <v>11493</v>
      </c>
    </row>
    <row r="1467" spans="1:29">
      <c r="A1467" t="s">
        <v>460</v>
      </c>
      <c r="B1467" s="1">
        <v>176153</v>
      </c>
      <c r="C1467" t="s">
        <v>4781</v>
      </c>
      <c r="D1467" t="s">
        <v>1851</v>
      </c>
      <c r="E1467" s="1">
        <v>-6326</v>
      </c>
      <c r="F1467" t="s">
        <v>785</v>
      </c>
      <c r="G1467" t="s">
        <v>377</v>
      </c>
      <c r="H1467" t="s">
        <v>11600</v>
      </c>
      <c r="I1467">
        <v>4</v>
      </c>
      <c r="J1467" t="s">
        <v>700</v>
      </c>
      <c r="K1467">
        <v>68</v>
      </c>
      <c r="L1467" t="s">
        <v>11677</v>
      </c>
      <c r="M1467" t="s">
        <v>11678</v>
      </c>
      <c r="N1467">
        <v>2000</v>
      </c>
      <c r="O1467" t="s">
        <v>11488</v>
      </c>
      <c r="P1467" t="s">
        <v>11679</v>
      </c>
      <c r="Q1467" t="s">
        <v>11680</v>
      </c>
      <c r="R1467" t="s">
        <v>11681</v>
      </c>
      <c r="S1467" s="2">
        <v>44764</v>
      </c>
      <c r="T1467" t="s">
        <v>11682</v>
      </c>
      <c r="U1467" t="s">
        <v>11683</v>
      </c>
      <c r="V1467">
        <v>1</v>
      </c>
      <c r="W1467">
        <v>6</v>
      </c>
      <c r="X1467">
        <v>220387</v>
      </c>
      <c r="Y1467" t="s">
        <v>2920</v>
      </c>
      <c r="Z1467" t="s">
        <v>11680</v>
      </c>
      <c r="AA1467" t="s">
        <v>6633</v>
      </c>
      <c r="AB1467" t="s">
        <v>45</v>
      </c>
      <c r="AC1467" t="s">
        <v>11493</v>
      </c>
    </row>
    <row r="1468" spans="1:29">
      <c r="A1468" t="s">
        <v>3390</v>
      </c>
      <c r="B1468" s="1">
        <v>139999</v>
      </c>
      <c r="C1468" t="s">
        <v>265</v>
      </c>
      <c r="D1468" t="s">
        <v>1851</v>
      </c>
      <c r="E1468" s="1">
        <v>-16169</v>
      </c>
      <c r="F1468" t="s">
        <v>582</v>
      </c>
      <c r="G1468" t="s">
        <v>2613</v>
      </c>
      <c r="H1468" t="s">
        <v>4940</v>
      </c>
      <c r="I1468">
        <v>4</v>
      </c>
      <c r="J1468" t="s">
        <v>687</v>
      </c>
      <c r="K1468">
        <v>84</v>
      </c>
      <c r="L1468" t="s">
        <v>11684</v>
      </c>
      <c r="M1468" t="s">
        <v>11685</v>
      </c>
      <c r="N1468">
        <v>17</v>
      </c>
      <c r="O1468" t="s">
        <v>11488</v>
      </c>
      <c r="P1468" t="s">
        <v>11686</v>
      </c>
      <c r="Q1468" t="s">
        <v>11687</v>
      </c>
      <c r="R1468" t="s">
        <v>11688</v>
      </c>
      <c r="S1468" s="2">
        <v>42972</v>
      </c>
      <c r="T1468" t="s">
        <v>11689</v>
      </c>
      <c r="U1468" t="s">
        <v>11612</v>
      </c>
      <c r="V1468">
        <v>0</v>
      </c>
      <c r="W1468">
        <v>11</v>
      </c>
      <c r="X1468">
        <v>120027</v>
      </c>
      <c r="Y1468" t="s">
        <v>290</v>
      </c>
      <c r="Z1468" t="s">
        <v>11687</v>
      </c>
      <c r="AA1468" t="s">
        <v>6633</v>
      </c>
      <c r="AB1468" t="s">
        <v>45</v>
      </c>
      <c r="AC1468" t="s">
        <v>11493</v>
      </c>
    </row>
    <row r="1469" spans="1:29">
      <c r="A1469" t="s">
        <v>251</v>
      </c>
      <c r="B1469" s="1">
        <v>97044</v>
      </c>
      <c r="C1469" t="s">
        <v>1165</v>
      </c>
      <c r="D1469" t="s">
        <v>1851</v>
      </c>
      <c r="E1469" s="1">
        <v>-2832</v>
      </c>
      <c r="F1469" t="s">
        <v>201</v>
      </c>
      <c r="G1469" t="s">
        <v>200</v>
      </c>
      <c r="H1469" t="s">
        <v>5923</v>
      </c>
      <c r="I1469">
        <v>4</v>
      </c>
      <c r="J1469" t="s">
        <v>2031</v>
      </c>
      <c r="K1469">
        <v>70</v>
      </c>
      <c r="L1469" t="s">
        <v>5924</v>
      </c>
      <c r="M1469" t="s">
        <v>5925</v>
      </c>
      <c r="N1469" t="s">
        <v>5926</v>
      </c>
      <c r="O1469" t="s">
        <v>11488</v>
      </c>
      <c r="P1469" t="s">
        <v>5927</v>
      </c>
      <c r="Q1469" t="s">
        <v>5928</v>
      </c>
      <c r="R1469" t="s">
        <v>5926</v>
      </c>
      <c r="S1469" s="2">
        <v>35304</v>
      </c>
      <c r="T1469" t="s">
        <v>5929</v>
      </c>
      <c r="U1469" t="s">
        <v>5930</v>
      </c>
      <c r="V1469">
        <v>0</v>
      </c>
      <c r="W1469">
        <v>11</v>
      </c>
      <c r="X1469">
        <v>230693</v>
      </c>
      <c r="Y1469" t="s">
        <v>1587</v>
      </c>
      <c r="Z1469" t="s">
        <v>5928</v>
      </c>
      <c r="AA1469" t="s">
        <v>6633</v>
      </c>
      <c r="AB1469" t="s">
        <v>45</v>
      </c>
      <c r="AC1469" t="s">
        <v>11493</v>
      </c>
    </row>
    <row r="1470" spans="1:29">
      <c r="A1470" t="s">
        <v>3409</v>
      </c>
      <c r="B1470" t="s">
        <v>5862</v>
      </c>
      <c r="C1470" t="s">
        <v>2963</v>
      </c>
      <c r="D1470" t="s">
        <v>1851</v>
      </c>
      <c r="E1470" s="1">
        <v>-3585</v>
      </c>
      <c r="F1470" t="s">
        <v>5045</v>
      </c>
      <c r="G1470" t="s">
        <v>4424</v>
      </c>
      <c r="H1470" t="s">
        <v>5863</v>
      </c>
      <c r="I1470">
        <v>4</v>
      </c>
      <c r="J1470" t="s">
        <v>971</v>
      </c>
      <c r="K1470">
        <v>74</v>
      </c>
      <c r="L1470" t="s">
        <v>5864</v>
      </c>
      <c r="M1470" t="s">
        <v>5865</v>
      </c>
      <c r="N1470" t="s">
        <v>5866</v>
      </c>
      <c r="O1470" t="s">
        <v>11488</v>
      </c>
      <c r="P1470" t="s">
        <v>5867</v>
      </c>
      <c r="Q1470" t="s">
        <v>5868</v>
      </c>
      <c r="R1470" t="s">
        <v>5869</v>
      </c>
      <c r="S1470" s="2">
        <v>35431</v>
      </c>
      <c r="T1470" t="s">
        <v>5870</v>
      </c>
      <c r="U1470" t="s">
        <v>5871</v>
      </c>
      <c r="V1470">
        <v>1</v>
      </c>
      <c r="W1470">
        <v>1</v>
      </c>
      <c r="X1470">
        <v>281600</v>
      </c>
      <c r="Y1470" t="s">
        <v>5872</v>
      </c>
      <c r="Z1470" t="s">
        <v>5868</v>
      </c>
      <c r="AA1470" t="s">
        <v>6633</v>
      </c>
      <c r="AB1470" t="s">
        <v>45</v>
      </c>
      <c r="AC1470" t="s">
        <v>11493</v>
      </c>
    </row>
    <row r="1471" spans="1:29">
      <c r="A1471" t="s">
        <v>1855</v>
      </c>
      <c r="B1471" s="1">
        <v>115994</v>
      </c>
      <c r="C1471" t="s">
        <v>621</v>
      </c>
      <c r="D1471" t="s">
        <v>1851</v>
      </c>
      <c r="E1471" s="1">
        <v>-5105</v>
      </c>
      <c r="F1471" t="s">
        <v>1643</v>
      </c>
      <c r="G1471" t="s">
        <v>3555</v>
      </c>
      <c r="H1471" t="s">
        <v>11690</v>
      </c>
      <c r="I1471">
        <v>4</v>
      </c>
      <c r="J1471" t="s">
        <v>645</v>
      </c>
      <c r="K1471">
        <v>69</v>
      </c>
      <c r="L1471" t="s">
        <v>11691</v>
      </c>
      <c r="M1471" t="s">
        <v>11692</v>
      </c>
      <c r="N1471" t="s">
        <v>11693</v>
      </c>
      <c r="O1471" t="s">
        <v>11488</v>
      </c>
      <c r="P1471" t="s">
        <v>11694</v>
      </c>
      <c r="Q1471" t="s">
        <v>11695</v>
      </c>
      <c r="R1471" t="s">
        <v>11696</v>
      </c>
      <c r="S1471" s="2">
        <v>44985</v>
      </c>
      <c r="T1471">
        <v>0</v>
      </c>
      <c r="U1471" t="s">
        <v>11697</v>
      </c>
      <c r="V1471">
        <v>0</v>
      </c>
      <c r="W1471">
        <v>4</v>
      </c>
      <c r="X1471">
        <v>192693</v>
      </c>
      <c r="Y1471" t="s">
        <v>1141</v>
      </c>
      <c r="Z1471" t="s">
        <v>11695</v>
      </c>
      <c r="AA1471" t="s">
        <v>6633</v>
      </c>
      <c r="AB1471" t="s">
        <v>45</v>
      </c>
      <c r="AC1471" t="s">
        <v>11493</v>
      </c>
    </row>
    <row r="1472" spans="1:29">
      <c r="A1472" t="s">
        <v>48</v>
      </c>
      <c r="B1472" s="1">
        <v>86918</v>
      </c>
      <c r="C1472" t="s">
        <v>77</v>
      </c>
      <c r="D1472" t="s">
        <v>1851</v>
      </c>
      <c r="E1472" s="1">
        <v>-7059</v>
      </c>
      <c r="F1472" t="s">
        <v>1211</v>
      </c>
      <c r="G1472" t="s">
        <v>1165</v>
      </c>
      <c r="H1472" t="s">
        <v>11698</v>
      </c>
      <c r="I1472">
        <v>4</v>
      </c>
      <c r="J1472" t="s">
        <v>375</v>
      </c>
      <c r="K1472">
        <v>79</v>
      </c>
      <c r="L1472" t="s">
        <v>11699</v>
      </c>
      <c r="M1472" t="s">
        <v>11700</v>
      </c>
      <c r="N1472" t="s">
        <v>11647</v>
      </c>
      <c r="O1472" t="s">
        <v>11488</v>
      </c>
      <c r="P1472" t="s">
        <v>11701</v>
      </c>
      <c r="Q1472" t="s">
        <v>11702</v>
      </c>
      <c r="R1472" t="s">
        <v>11703</v>
      </c>
      <c r="S1472" s="2">
        <v>39336</v>
      </c>
      <c r="T1472">
        <v>0</v>
      </c>
      <c r="U1472" t="s">
        <v>11651</v>
      </c>
      <c r="V1472">
        <v>1</v>
      </c>
      <c r="W1472">
        <v>1</v>
      </c>
      <c r="X1472">
        <v>203493</v>
      </c>
      <c r="Y1472" t="s">
        <v>700</v>
      </c>
      <c r="Z1472" t="s">
        <v>11702</v>
      </c>
      <c r="AA1472" t="s">
        <v>6633</v>
      </c>
      <c r="AB1472" t="s">
        <v>45</v>
      </c>
      <c r="AC1472" t="s">
        <v>11493</v>
      </c>
    </row>
    <row r="1473" spans="1:29">
      <c r="A1473" t="s">
        <v>6773</v>
      </c>
      <c r="B1473" s="1">
        <v>117067</v>
      </c>
      <c r="C1473" t="s">
        <v>1574</v>
      </c>
      <c r="D1473" t="s">
        <v>1851</v>
      </c>
      <c r="E1473" t="s">
        <v>11704</v>
      </c>
      <c r="F1473" t="s">
        <v>3950</v>
      </c>
      <c r="G1473" t="s">
        <v>687</v>
      </c>
      <c r="H1473" t="s">
        <v>11705</v>
      </c>
      <c r="I1473">
        <v>4</v>
      </c>
      <c r="J1473" t="s">
        <v>1008</v>
      </c>
      <c r="K1473">
        <v>83</v>
      </c>
      <c r="L1473" t="s">
        <v>11706</v>
      </c>
      <c r="M1473" t="s">
        <v>11707</v>
      </c>
      <c r="N1473" t="s">
        <v>11705</v>
      </c>
      <c r="O1473" t="s">
        <v>11488</v>
      </c>
      <c r="P1473" t="s">
        <v>11708</v>
      </c>
      <c r="Q1473" t="s">
        <v>11709</v>
      </c>
      <c r="R1473" t="s">
        <v>11710</v>
      </c>
      <c r="S1473" s="2">
        <v>41456</v>
      </c>
      <c r="T1473" t="s">
        <v>6000</v>
      </c>
      <c r="U1473" t="s">
        <v>11711</v>
      </c>
      <c r="V1473">
        <v>1</v>
      </c>
      <c r="W1473">
        <v>9</v>
      </c>
      <c r="X1473">
        <v>99213</v>
      </c>
      <c r="Y1473" t="s">
        <v>11712</v>
      </c>
      <c r="Z1473" t="s">
        <v>11709</v>
      </c>
      <c r="AA1473" t="s">
        <v>6633</v>
      </c>
      <c r="AB1473" t="s">
        <v>45</v>
      </c>
      <c r="AC1473" t="s">
        <v>11493</v>
      </c>
    </row>
    <row r="1474" spans="1:29">
      <c r="A1474" t="s">
        <v>4078</v>
      </c>
      <c r="B1474" s="1">
        <v>92869</v>
      </c>
      <c r="C1474" t="s">
        <v>48</v>
      </c>
      <c r="D1474" t="s">
        <v>1851</v>
      </c>
      <c r="E1474" s="1">
        <v>-10523</v>
      </c>
      <c r="F1474" t="s">
        <v>2117</v>
      </c>
      <c r="G1474" t="s">
        <v>435</v>
      </c>
      <c r="H1474" t="s">
        <v>11613</v>
      </c>
      <c r="I1474">
        <v>4</v>
      </c>
      <c r="J1474" t="s">
        <v>4125</v>
      </c>
      <c r="K1474">
        <v>76</v>
      </c>
      <c r="L1474" t="s">
        <v>11713</v>
      </c>
      <c r="M1474" t="s">
        <v>11714</v>
      </c>
      <c r="N1474" t="s">
        <v>11715</v>
      </c>
      <c r="O1474" t="s">
        <v>11488</v>
      </c>
      <c r="P1474" t="s">
        <v>11716</v>
      </c>
      <c r="Q1474" t="s">
        <v>11717</v>
      </c>
      <c r="R1474" t="s">
        <v>11718</v>
      </c>
      <c r="S1474" s="2">
        <v>34310</v>
      </c>
      <c r="T1474" t="s">
        <v>11719</v>
      </c>
      <c r="U1474" t="s">
        <v>11720</v>
      </c>
      <c r="V1474">
        <v>0</v>
      </c>
      <c r="W1474">
        <v>10</v>
      </c>
      <c r="X1474">
        <v>232773</v>
      </c>
      <c r="Y1474" t="s">
        <v>11721</v>
      </c>
      <c r="Z1474" t="s">
        <v>11717</v>
      </c>
      <c r="AA1474" t="s">
        <v>6633</v>
      </c>
      <c r="AB1474" t="s">
        <v>45</v>
      </c>
      <c r="AC1474" t="s">
        <v>11493</v>
      </c>
    </row>
    <row r="1475" spans="1:29">
      <c r="A1475" t="s">
        <v>1880</v>
      </c>
      <c r="B1475" s="1">
        <v>131036</v>
      </c>
      <c r="C1475" t="s">
        <v>2631</v>
      </c>
      <c r="D1475" t="s">
        <v>1851</v>
      </c>
      <c r="E1475" t="s">
        <v>11722</v>
      </c>
      <c r="F1475" t="s">
        <v>593</v>
      </c>
      <c r="G1475" t="s">
        <v>1209</v>
      </c>
      <c r="H1475" t="s">
        <v>11723</v>
      </c>
      <c r="I1475">
        <v>4</v>
      </c>
      <c r="J1475" t="s">
        <v>396</v>
      </c>
      <c r="K1475">
        <v>84</v>
      </c>
      <c r="L1475" t="s">
        <v>11724</v>
      </c>
      <c r="M1475" t="s">
        <v>11725</v>
      </c>
      <c r="N1475">
        <v>17</v>
      </c>
      <c r="O1475" t="s">
        <v>11488</v>
      </c>
      <c r="P1475" t="s">
        <v>11726</v>
      </c>
      <c r="Q1475" t="s">
        <v>11727</v>
      </c>
      <c r="R1475" t="s">
        <v>11728</v>
      </c>
      <c r="S1475" s="2">
        <v>42972</v>
      </c>
      <c r="T1475" t="s">
        <v>9580</v>
      </c>
      <c r="U1475" t="s">
        <v>11612</v>
      </c>
      <c r="V1475">
        <v>0</v>
      </c>
      <c r="W1475">
        <v>0</v>
      </c>
      <c r="X1475">
        <v>146520</v>
      </c>
      <c r="Y1475" t="s">
        <v>4896</v>
      </c>
      <c r="Z1475" t="s">
        <v>11727</v>
      </c>
      <c r="AA1475" t="s">
        <v>6633</v>
      </c>
      <c r="AB1475" t="s">
        <v>45</v>
      </c>
      <c r="AC1475" t="s">
        <v>11493</v>
      </c>
    </row>
    <row r="1476" spans="1:29">
      <c r="A1476" t="s">
        <v>380</v>
      </c>
      <c r="B1476" s="1">
        <v>174516</v>
      </c>
      <c r="C1476" t="s">
        <v>420</v>
      </c>
      <c r="D1476" t="s">
        <v>1851</v>
      </c>
      <c r="E1476" s="1">
        <v>-6873</v>
      </c>
      <c r="F1476" t="s">
        <v>1096</v>
      </c>
      <c r="G1476" t="s">
        <v>2219</v>
      </c>
      <c r="H1476" t="s">
        <v>596</v>
      </c>
      <c r="I1476">
        <v>4</v>
      </c>
      <c r="J1476" t="s">
        <v>3420</v>
      </c>
      <c r="K1476">
        <v>72</v>
      </c>
      <c r="L1476" t="s">
        <v>11729</v>
      </c>
      <c r="M1476" t="s">
        <v>11730</v>
      </c>
      <c r="N1476" t="s">
        <v>11731</v>
      </c>
      <c r="O1476" t="s">
        <v>11488</v>
      </c>
      <c r="P1476" t="s">
        <v>11732</v>
      </c>
      <c r="Q1476" t="s">
        <v>11733</v>
      </c>
      <c r="R1476" t="s">
        <v>11734</v>
      </c>
      <c r="S1476" s="2">
        <v>42839</v>
      </c>
      <c r="T1476">
        <v>0</v>
      </c>
      <c r="U1476" t="s">
        <v>11735</v>
      </c>
      <c r="V1476">
        <v>1</v>
      </c>
      <c r="W1476">
        <v>7</v>
      </c>
      <c r="X1476">
        <v>248613</v>
      </c>
      <c r="Y1476" t="s">
        <v>3242</v>
      </c>
      <c r="Z1476" t="s">
        <v>11733</v>
      </c>
      <c r="AA1476" t="s">
        <v>6633</v>
      </c>
      <c r="AB1476" t="s">
        <v>45</v>
      </c>
      <c r="AC1476" t="s">
        <v>11493</v>
      </c>
    </row>
    <row r="1477" spans="1:29">
      <c r="A1477" t="s">
        <v>879</v>
      </c>
      <c r="B1477" s="1">
        <v>78558</v>
      </c>
      <c r="C1477" t="s">
        <v>5062</v>
      </c>
      <c r="D1477" t="s">
        <v>1851</v>
      </c>
      <c r="E1477" s="1">
        <v>-9222</v>
      </c>
      <c r="F1477" t="s">
        <v>1528</v>
      </c>
      <c r="G1477" t="s">
        <v>391</v>
      </c>
      <c r="H1477" t="s">
        <v>6455</v>
      </c>
      <c r="I1477">
        <v>4</v>
      </c>
      <c r="J1477" t="s">
        <v>6456</v>
      </c>
      <c r="K1477">
        <v>90</v>
      </c>
      <c r="L1477" t="s">
        <v>6457</v>
      </c>
      <c r="M1477" t="s">
        <v>6458</v>
      </c>
      <c r="N1477" t="s">
        <v>6459</v>
      </c>
      <c r="O1477" t="s">
        <v>11488</v>
      </c>
      <c r="P1477" t="s">
        <v>6460</v>
      </c>
      <c r="Q1477" t="s">
        <v>6461</v>
      </c>
      <c r="R1477" t="s">
        <v>6462</v>
      </c>
      <c r="S1477" s="2">
        <v>42937</v>
      </c>
      <c r="T1477" t="s">
        <v>6463</v>
      </c>
      <c r="U1477" t="s">
        <v>6464</v>
      </c>
      <c r="V1477">
        <v>1</v>
      </c>
      <c r="W1477">
        <v>6</v>
      </c>
      <c r="X1477">
        <v>180387</v>
      </c>
      <c r="Y1477" t="s">
        <v>3144</v>
      </c>
      <c r="Z1477" t="s">
        <v>6461</v>
      </c>
      <c r="AA1477" t="s">
        <v>6633</v>
      </c>
      <c r="AB1477" t="s">
        <v>45</v>
      </c>
      <c r="AC1477" t="s">
        <v>11493</v>
      </c>
    </row>
    <row r="1478" spans="1:29">
      <c r="A1478" t="s">
        <v>2240</v>
      </c>
      <c r="B1478" s="1">
        <v>84166</v>
      </c>
      <c r="C1478" t="s">
        <v>2517</v>
      </c>
      <c r="D1478" t="s">
        <v>1851</v>
      </c>
      <c r="E1478" s="1">
        <v>-5488</v>
      </c>
      <c r="F1478" t="s">
        <v>2013</v>
      </c>
      <c r="G1478" t="s">
        <v>714</v>
      </c>
      <c r="H1478" t="s">
        <v>11736</v>
      </c>
      <c r="I1478">
        <v>4</v>
      </c>
      <c r="J1478" t="s">
        <v>255</v>
      </c>
      <c r="K1478">
        <v>70</v>
      </c>
      <c r="L1478" t="s">
        <v>11737</v>
      </c>
      <c r="M1478" t="s">
        <v>11738</v>
      </c>
      <c r="N1478" t="s">
        <v>11647</v>
      </c>
      <c r="O1478" t="s">
        <v>11488</v>
      </c>
      <c r="P1478" t="s">
        <v>11739</v>
      </c>
      <c r="Q1478" t="s">
        <v>11740</v>
      </c>
      <c r="R1478" t="s">
        <v>11741</v>
      </c>
      <c r="S1478" s="2">
        <v>39336</v>
      </c>
      <c r="T1478" t="s">
        <v>888</v>
      </c>
      <c r="U1478" t="s">
        <v>11651</v>
      </c>
      <c r="V1478">
        <v>1</v>
      </c>
      <c r="W1478">
        <v>7</v>
      </c>
      <c r="X1478">
        <v>195093</v>
      </c>
      <c r="Y1478" t="s">
        <v>7394</v>
      </c>
      <c r="Z1478" t="s">
        <v>11740</v>
      </c>
      <c r="AA1478" t="s">
        <v>6633</v>
      </c>
      <c r="AB1478" t="s">
        <v>45</v>
      </c>
      <c r="AC1478" t="s">
        <v>11493</v>
      </c>
    </row>
    <row r="1479" spans="1:29">
      <c r="A1479" t="s">
        <v>1654</v>
      </c>
      <c r="B1479" t="s">
        <v>11742</v>
      </c>
      <c r="C1479" t="s">
        <v>594</v>
      </c>
      <c r="D1479" t="s">
        <v>1851</v>
      </c>
      <c r="E1479" s="1">
        <v>-12335</v>
      </c>
      <c r="F1479" t="s">
        <v>437</v>
      </c>
      <c r="G1479" t="s">
        <v>4575</v>
      </c>
      <c r="H1479" t="s">
        <v>11554</v>
      </c>
      <c r="I1479">
        <v>4</v>
      </c>
      <c r="J1479" t="s">
        <v>997</v>
      </c>
      <c r="K1479">
        <v>68</v>
      </c>
      <c r="L1479" t="s">
        <v>11743</v>
      </c>
      <c r="M1479" t="s">
        <v>11744</v>
      </c>
      <c r="N1479" t="s">
        <v>11745</v>
      </c>
      <c r="O1479" t="s">
        <v>11488</v>
      </c>
      <c r="P1479" t="s">
        <v>11746</v>
      </c>
      <c r="Q1479" t="s">
        <v>11747</v>
      </c>
      <c r="R1479" t="s">
        <v>11748</v>
      </c>
      <c r="S1479" s="2">
        <v>42713</v>
      </c>
      <c r="T1479" t="s">
        <v>11749</v>
      </c>
      <c r="U1479" t="s">
        <v>11750</v>
      </c>
      <c r="V1479">
        <v>0</v>
      </c>
      <c r="W1479">
        <v>6</v>
      </c>
      <c r="X1479">
        <v>216520</v>
      </c>
      <c r="Y1479" t="s">
        <v>2403</v>
      </c>
      <c r="Z1479" t="s">
        <v>11747</v>
      </c>
      <c r="AA1479" t="s">
        <v>6633</v>
      </c>
      <c r="AB1479" t="s">
        <v>45</v>
      </c>
      <c r="AC1479" t="s">
        <v>11493</v>
      </c>
    </row>
    <row r="1480" spans="1:29">
      <c r="A1480" t="s">
        <v>1654</v>
      </c>
      <c r="B1480" t="s">
        <v>11751</v>
      </c>
      <c r="C1480" t="s">
        <v>4462</v>
      </c>
      <c r="D1480" t="s">
        <v>1851</v>
      </c>
      <c r="E1480" t="s">
        <v>11752</v>
      </c>
      <c r="F1480" t="s">
        <v>1211</v>
      </c>
      <c r="G1480" t="s">
        <v>1347</v>
      </c>
      <c r="H1480" t="s">
        <v>1940</v>
      </c>
      <c r="I1480">
        <v>4</v>
      </c>
      <c r="J1480" t="s">
        <v>11753</v>
      </c>
      <c r="K1480">
        <v>77</v>
      </c>
      <c r="L1480" t="s">
        <v>11754</v>
      </c>
      <c r="M1480" t="s">
        <v>11755</v>
      </c>
      <c r="N1480" t="s">
        <v>11664</v>
      </c>
      <c r="O1480" t="s">
        <v>11488</v>
      </c>
      <c r="P1480" t="s">
        <v>11756</v>
      </c>
      <c r="Q1480" t="s">
        <v>11757</v>
      </c>
      <c r="R1480" t="s">
        <v>11758</v>
      </c>
      <c r="S1480" s="2">
        <v>42812</v>
      </c>
      <c r="T1480" t="s">
        <v>4896</v>
      </c>
      <c r="U1480" t="s">
        <v>11668</v>
      </c>
      <c r="V1480">
        <v>0</v>
      </c>
      <c r="W1480">
        <v>8</v>
      </c>
      <c r="X1480">
        <v>219692</v>
      </c>
      <c r="Y1480" t="s">
        <v>160</v>
      </c>
      <c r="Z1480" t="s">
        <v>11757</v>
      </c>
      <c r="AA1480" t="s">
        <v>6633</v>
      </c>
      <c r="AB1480" t="s">
        <v>45</v>
      </c>
      <c r="AC1480" t="s">
        <v>11493</v>
      </c>
    </row>
    <row r="1481" spans="1:29">
      <c r="A1481" t="s">
        <v>1608</v>
      </c>
      <c r="B1481" t="s">
        <v>2992</v>
      </c>
      <c r="C1481" t="s">
        <v>1583</v>
      </c>
      <c r="D1481" t="s">
        <v>11759</v>
      </c>
      <c r="E1481" s="1">
        <v>-5493</v>
      </c>
      <c r="F1481" t="s">
        <v>2580</v>
      </c>
      <c r="G1481" t="s">
        <v>265</v>
      </c>
      <c r="H1481" t="s">
        <v>2993</v>
      </c>
      <c r="I1481">
        <v>4</v>
      </c>
      <c r="J1481" t="s">
        <v>2280</v>
      </c>
      <c r="K1481">
        <v>77</v>
      </c>
      <c r="L1481" t="s">
        <v>2994</v>
      </c>
      <c r="M1481" t="s">
        <v>2995</v>
      </c>
      <c r="N1481" t="s">
        <v>2996</v>
      </c>
      <c r="O1481" t="s">
        <v>11760</v>
      </c>
      <c r="P1481" t="s">
        <v>2997</v>
      </c>
      <c r="Q1481" t="s">
        <v>2998</v>
      </c>
      <c r="R1481" t="s">
        <v>2996</v>
      </c>
      <c r="S1481" s="2">
        <v>45583</v>
      </c>
      <c r="T1481" t="s">
        <v>2999</v>
      </c>
      <c r="U1481" t="s">
        <v>3000</v>
      </c>
      <c r="V1481">
        <v>1</v>
      </c>
      <c r="W1481">
        <v>1</v>
      </c>
      <c r="X1481">
        <v>259354</v>
      </c>
      <c r="Y1481" t="s">
        <v>2802</v>
      </c>
      <c r="Z1481" t="s">
        <v>2998</v>
      </c>
      <c r="AA1481" t="s">
        <v>11761</v>
      </c>
      <c r="AB1481" t="s">
        <v>45</v>
      </c>
      <c r="AC1481" t="s">
        <v>11762</v>
      </c>
    </row>
    <row r="1482" spans="1:29">
      <c r="A1482" t="s">
        <v>2814</v>
      </c>
      <c r="B1482" s="1">
        <v>101837</v>
      </c>
      <c r="C1482" t="s">
        <v>579</v>
      </c>
      <c r="D1482" t="s">
        <v>11759</v>
      </c>
      <c r="E1482" s="1">
        <v>-3367</v>
      </c>
      <c r="F1482" t="s">
        <v>1142</v>
      </c>
      <c r="G1482" t="s">
        <v>461</v>
      </c>
      <c r="H1482" t="s">
        <v>3019</v>
      </c>
      <c r="I1482">
        <v>3</v>
      </c>
      <c r="J1482" t="s">
        <v>1347</v>
      </c>
      <c r="K1482">
        <v>72</v>
      </c>
      <c r="L1482" t="s">
        <v>3020</v>
      </c>
      <c r="M1482" t="s">
        <v>3021</v>
      </c>
      <c r="N1482" t="s">
        <v>3022</v>
      </c>
      <c r="O1482" t="s">
        <v>11760</v>
      </c>
      <c r="P1482" t="s">
        <v>3023</v>
      </c>
      <c r="Q1482" t="s">
        <v>3024</v>
      </c>
      <c r="R1482" t="s">
        <v>3025</v>
      </c>
      <c r="S1482" s="2">
        <v>45512</v>
      </c>
      <c r="T1482" t="s">
        <v>3026</v>
      </c>
      <c r="U1482" t="s">
        <v>3027</v>
      </c>
      <c r="V1482">
        <v>0</v>
      </c>
      <c r="W1482">
        <v>8</v>
      </c>
      <c r="X1482">
        <v>219628</v>
      </c>
      <c r="Y1482" t="s">
        <v>3028</v>
      </c>
      <c r="Z1482" t="s">
        <v>3024</v>
      </c>
      <c r="AA1482" t="s">
        <v>11761</v>
      </c>
      <c r="AB1482" t="s">
        <v>45</v>
      </c>
      <c r="AC1482" t="s">
        <v>11762</v>
      </c>
    </row>
    <row r="1483" spans="1:29">
      <c r="A1483" t="s">
        <v>1410</v>
      </c>
      <c r="B1483" s="1">
        <v>106312</v>
      </c>
      <c r="C1483" t="s">
        <v>263</v>
      </c>
      <c r="D1483" t="s">
        <v>11759</v>
      </c>
      <c r="E1483" s="1">
        <v>-11272</v>
      </c>
      <c r="F1483" t="s">
        <v>2776</v>
      </c>
      <c r="G1483" t="s">
        <v>2020</v>
      </c>
      <c r="H1483" t="s">
        <v>11763</v>
      </c>
      <c r="I1483">
        <v>5</v>
      </c>
      <c r="J1483" t="s">
        <v>710</v>
      </c>
      <c r="K1483">
        <v>71</v>
      </c>
      <c r="L1483" t="s">
        <v>11764</v>
      </c>
      <c r="M1483" t="s">
        <v>11765</v>
      </c>
      <c r="N1483" t="s">
        <v>11766</v>
      </c>
      <c r="O1483" t="s">
        <v>11760</v>
      </c>
      <c r="P1483" t="s">
        <v>11767</v>
      </c>
      <c r="Q1483" t="s">
        <v>11768</v>
      </c>
      <c r="R1483" t="s">
        <v>11766</v>
      </c>
      <c r="S1483" s="2">
        <v>45511</v>
      </c>
      <c r="T1483" t="s">
        <v>11769</v>
      </c>
      <c r="U1483" t="s">
        <v>11770</v>
      </c>
      <c r="V1483">
        <v>0</v>
      </c>
      <c r="W1483">
        <v>0</v>
      </c>
      <c r="X1483">
        <v>135577</v>
      </c>
      <c r="Y1483" t="s">
        <v>715</v>
      </c>
      <c r="Z1483" t="s">
        <v>11768</v>
      </c>
      <c r="AA1483" t="s">
        <v>11761</v>
      </c>
      <c r="AB1483" t="s">
        <v>45</v>
      </c>
      <c r="AC1483" t="s">
        <v>11762</v>
      </c>
    </row>
    <row r="1484" spans="1:29">
      <c r="A1484" t="s">
        <v>421</v>
      </c>
      <c r="B1484" s="1">
        <v>67813</v>
      </c>
      <c r="C1484" t="s">
        <v>1310</v>
      </c>
      <c r="D1484" t="s">
        <v>11759</v>
      </c>
      <c r="E1484" s="1">
        <v>-6259</v>
      </c>
      <c r="F1484" t="s">
        <v>1596</v>
      </c>
      <c r="G1484" t="s">
        <v>2598</v>
      </c>
      <c r="H1484" t="s">
        <v>5519</v>
      </c>
      <c r="I1484">
        <v>5</v>
      </c>
      <c r="J1484" t="s">
        <v>2280</v>
      </c>
      <c r="K1484">
        <v>68</v>
      </c>
      <c r="L1484" t="s">
        <v>5520</v>
      </c>
      <c r="M1484" t="s">
        <v>5521</v>
      </c>
      <c r="N1484" t="s">
        <v>5522</v>
      </c>
      <c r="O1484" t="s">
        <v>11760</v>
      </c>
      <c r="P1484" t="s">
        <v>5523</v>
      </c>
      <c r="Q1484" t="s">
        <v>5524</v>
      </c>
      <c r="R1484" t="s">
        <v>5522</v>
      </c>
      <c r="S1484" s="2">
        <v>45398</v>
      </c>
      <c r="T1484" t="s">
        <v>5525</v>
      </c>
      <c r="U1484" t="s">
        <v>5526</v>
      </c>
      <c r="V1484">
        <v>1</v>
      </c>
      <c r="W1484">
        <v>11</v>
      </c>
      <c r="X1484">
        <v>180594</v>
      </c>
      <c r="Y1484" t="s">
        <v>4326</v>
      </c>
      <c r="Z1484" t="s">
        <v>5524</v>
      </c>
      <c r="AA1484" t="s">
        <v>11761</v>
      </c>
      <c r="AB1484" t="s">
        <v>45</v>
      </c>
      <c r="AC1484" t="s">
        <v>11762</v>
      </c>
    </row>
    <row r="1485" spans="1:29">
      <c r="A1485" t="s">
        <v>2390</v>
      </c>
      <c r="B1485" s="1">
        <v>113976</v>
      </c>
      <c r="C1485" t="s">
        <v>2984</v>
      </c>
      <c r="D1485" t="s">
        <v>11759</v>
      </c>
      <c r="E1485" s="1">
        <v>-10845</v>
      </c>
      <c r="F1485" t="s">
        <v>785</v>
      </c>
      <c r="G1485" t="s">
        <v>240</v>
      </c>
      <c r="H1485" t="s">
        <v>11771</v>
      </c>
      <c r="I1485">
        <v>4</v>
      </c>
      <c r="J1485" t="s">
        <v>854</v>
      </c>
      <c r="K1485">
        <v>70</v>
      </c>
      <c r="L1485" t="s">
        <v>11772</v>
      </c>
      <c r="M1485" t="s">
        <v>11773</v>
      </c>
      <c r="N1485" t="s">
        <v>11774</v>
      </c>
      <c r="O1485" t="s">
        <v>11760</v>
      </c>
      <c r="P1485" t="s">
        <v>11775</v>
      </c>
      <c r="Q1485" t="s">
        <v>11776</v>
      </c>
      <c r="R1485" t="s">
        <v>11774</v>
      </c>
      <c r="S1485" s="2">
        <v>45239</v>
      </c>
      <c r="T1485" t="s">
        <v>1040</v>
      </c>
      <c r="U1485" t="s">
        <v>11777</v>
      </c>
      <c r="V1485">
        <v>0</v>
      </c>
      <c r="W1485">
        <v>5</v>
      </c>
      <c r="X1485">
        <v>186154</v>
      </c>
      <c r="Y1485" t="s">
        <v>424</v>
      </c>
      <c r="Z1485" t="s">
        <v>11776</v>
      </c>
      <c r="AA1485" t="s">
        <v>11761</v>
      </c>
      <c r="AB1485" t="s">
        <v>45</v>
      </c>
      <c r="AC1485" t="s">
        <v>11762</v>
      </c>
    </row>
    <row r="1486" spans="1:29">
      <c r="A1486" t="s">
        <v>1712</v>
      </c>
      <c r="B1486" s="1">
        <v>104986</v>
      </c>
      <c r="C1486" t="s">
        <v>4626</v>
      </c>
      <c r="D1486" t="s">
        <v>11759</v>
      </c>
      <c r="E1486" s="1">
        <v>-7326</v>
      </c>
      <c r="F1486" t="s">
        <v>2253</v>
      </c>
      <c r="G1486" t="s">
        <v>7018</v>
      </c>
      <c r="H1486" t="s">
        <v>7019</v>
      </c>
      <c r="I1486">
        <v>4</v>
      </c>
      <c r="J1486" t="s">
        <v>582</v>
      </c>
      <c r="K1486">
        <v>70</v>
      </c>
      <c r="L1486" t="s">
        <v>7020</v>
      </c>
      <c r="M1486" t="s">
        <v>7021</v>
      </c>
      <c r="N1486" t="s">
        <v>7022</v>
      </c>
      <c r="O1486" t="s">
        <v>11760</v>
      </c>
      <c r="P1486" t="s">
        <v>7023</v>
      </c>
      <c r="Q1486" t="s">
        <v>7024</v>
      </c>
      <c r="R1486" t="s">
        <v>7025</v>
      </c>
      <c r="S1486" s="2">
        <v>45092</v>
      </c>
      <c r="T1486" t="s">
        <v>5662</v>
      </c>
      <c r="U1486" t="s">
        <v>7026</v>
      </c>
      <c r="V1486">
        <v>0</v>
      </c>
      <c r="W1486">
        <v>6</v>
      </c>
      <c r="X1486">
        <v>157714</v>
      </c>
      <c r="Y1486" t="s">
        <v>622</v>
      </c>
      <c r="Z1486" t="s">
        <v>7024</v>
      </c>
      <c r="AA1486" t="s">
        <v>11761</v>
      </c>
      <c r="AB1486" t="s">
        <v>45</v>
      </c>
      <c r="AC1486" t="s">
        <v>11762</v>
      </c>
    </row>
    <row r="1487" spans="1:29">
      <c r="A1487" t="s">
        <v>580</v>
      </c>
      <c r="B1487" s="1">
        <v>139057</v>
      </c>
      <c r="C1487" t="s">
        <v>1165</v>
      </c>
      <c r="D1487" t="s">
        <v>11759</v>
      </c>
      <c r="E1487" s="1">
        <v>-4705</v>
      </c>
      <c r="F1487" t="s">
        <v>474</v>
      </c>
      <c r="G1487" t="s">
        <v>1537</v>
      </c>
      <c r="H1487" t="s">
        <v>5124</v>
      </c>
      <c r="I1487">
        <v>4</v>
      </c>
      <c r="J1487" t="s">
        <v>4814</v>
      </c>
      <c r="K1487">
        <v>79</v>
      </c>
      <c r="L1487" t="s">
        <v>5125</v>
      </c>
      <c r="M1487" t="s">
        <v>5126</v>
      </c>
      <c r="N1487" t="s">
        <v>5127</v>
      </c>
      <c r="O1487" t="s">
        <v>11760</v>
      </c>
      <c r="P1487" t="s">
        <v>5128</v>
      </c>
      <c r="Q1487" t="s">
        <v>5129</v>
      </c>
      <c r="R1487" t="s">
        <v>5127</v>
      </c>
      <c r="S1487" s="2">
        <v>45078</v>
      </c>
      <c r="T1487">
        <v>0</v>
      </c>
      <c r="U1487" t="s">
        <v>5130</v>
      </c>
      <c r="V1487">
        <v>1</v>
      </c>
      <c r="W1487">
        <v>1</v>
      </c>
      <c r="X1487">
        <v>229133</v>
      </c>
      <c r="Y1487" t="s">
        <v>3906</v>
      </c>
      <c r="Z1487" t="s">
        <v>5129</v>
      </c>
      <c r="AA1487" t="s">
        <v>11761</v>
      </c>
      <c r="AB1487" t="s">
        <v>45</v>
      </c>
      <c r="AC1487" t="s">
        <v>11762</v>
      </c>
    </row>
    <row r="1488" spans="1:29">
      <c r="A1488" t="s">
        <v>653</v>
      </c>
      <c r="B1488" s="1">
        <v>105024</v>
      </c>
      <c r="C1488" t="s">
        <v>3142</v>
      </c>
      <c r="D1488" t="s">
        <v>11759</v>
      </c>
      <c r="E1488" s="1">
        <v>-5392</v>
      </c>
      <c r="F1488" t="s">
        <v>1528</v>
      </c>
      <c r="G1488" t="s">
        <v>1239</v>
      </c>
      <c r="H1488" t="s">
        <v>11778</v>
      </c>
      <c r="I1488">
        <v>4</v>
      </c>
      <c r="J1488" t="s">
        <v>175</v>
      </c>
      <c r="K1488">
        <v>72</v>
      </c>
      <c r="L1488" t="s">
        <v>11779</v>
      </c>
      <c r="M1488" t="s">
        <v>11780</v>
      </c>
      <c r="N1488" t="s">
        <v>11781</v>
      </c>
      <c r="O1488" t="s">
        <v>11760</v>
      </c>
      <c r="P1488" t="s">
        <v>11782</v>
      </c>
      <c r="Q1488" t="s">
        <v>11783</v>
      </c>
      <c r="R1488" t="s">
        <v>11784</v>
      </c>
      <c r="S1488" s="2">
        <v>45007</v>
      </c>
      <c r="T1488">
        <v>0</v>
      </c>
      <c r="U1488" t="s">
        <v>11785</v>
      </c>
      <c r="V1488">
        <v>0</v>
      </c>
      <c r="W1488">
        <v>5</v>
      </c>
      <c r="X1488">
        <v>219500</v>
      </c>
      <c r="Y1488" t="s">
        <v>6757</v>
      </c>
      <c r="Z1488" t="s">
        <v>11783</v>
      </c>
      <c r="AA1488" t="s">
        <v>11761</v>
      </c>
      <c r="AB1488" t="s">
        <v>45</v>
      </c>
      <c r="AC1488" t="s">
        <v>11762</v>
      </c>
    </row>
    <row r="1489" spans="1:29">
      <c r="A1489" t="s">
        <v>2886</v>
      </c>
      <c r="B1489" t="s">
        <v>11786</v>
      </c>
      <c r="C1489" t="s">
        <v>2972</v>
      </c>
      <c r="D1489" t="s">
        <v>11759</v>
      </c>
      <c r="E1489" s="1">
        <v>-8044</v>
      </c>
      <c r="F1489" t="s">
        <v>6456</v>
      </c>
      <c r="G1489" t="s">
        <v>2002</v>
      </c>
      <c r="H1489" t="s">
        <v>11787</v>
      </c>
      <c r="I1489">
        <v>4</v>
      </c>
      <c r="J1489" t="s">
        <v>6092</v>
      </c>
      <c r="K1489">
        <v>68</v>
      </c>
      <c r="L1489" t="s">
        <v>11788</v>
      </c>
      <c r="M1489" t="s">
        <v>11789</v>
      </c>
      <c r="N1489" t="s">
        <v>11790</v>
      </c>
      <c r="O1489" t="s">
        <v>11760</v>
      </c>
      <c r="P1489" t="s">
        <v>11791</v>
      </c>
      <c r="Q1489" t="s">
        <v>11792</v>
      </c>
      <c r="R1489" t="s">
        <v>11790</v>
      </c>
      <c r="S1489" s="2">
        <v>44820</v>
      </c>
      <c r="T1489" t="s">
        <v>11793</v>
      </c>
      <c r="U1489" t="s">
        <v>11794</v>
      </c>
      <c r="V1489">
        <v>1</v>
      </c>
      <c r="W1489">
        <v>1</v>
      </c>
      <c r="X1489">
        <v>185093</v>
      </c>
      <c r="Y1489" t="s">
        <v>1349</v>
      </c>
      <c r="Z1489" t="s">
        <v>11792</v>
      </c>
      <c r="AA1489" t="s">
        <v>11761</v>
      </c>
      <c r="AB1489" t="s">
        <v>45</v>
      </c>
      <c r="AC1489" t="s">
        <v>11762</v>
      </c>
    </row>
    <row r="1490" spans="1:29">
      <c r="A1490" t="s">
        <v>2611</v>
      </c>
      <c r="B1490" t="s">
        <v>11795</v>
      </c>
      <c r="C1490" t="s">
        <v>239</v>
      </c>
      <c r="D1490" t="s">
        <v>11759</v>
      </c>
      <c r="E1490" s="1">
        <v>-7478</v>
      </c>
      <c r="F1490" t="s">
        <v>2436</v>
      </c>
      <c r="G1490" t="s">
        <v>144</v>
      </c>
      <c r="H1490" t="s">
        <v>11796</v>
      </c>
      <c r="I1490">
        <v>5</v>
      </c>
      <c r="J1490" t="s">
        <v>423</v>
      </c>
      <c r="K1490">
        <v>72</v>
      </c>
      <c r="L1490" t="s">
        <v>11797</v>
      </c>
      <c r="M1490" t="s">
        <v>11798</v>
      </c>
      <c r="N1490" t="s">
        <v>11799</v>
      </c>
      <c r="O1490" t="s">
        <v>11760</v>
      </c>
      <c r="P1490" t="s">
        <v>11800</v>
      </c>
      <c r="Q1490" t="s">
        <v>11801</v>
      </c>
      <c r="R1490" t="s">
        <v>11802</v>
      </c>
      <c r="S1490" s="2">
        <v>44099</v>
      </c>
      <c r="T1490" t="s">
        <v>11803</v>
      </c>
      <c r="U1490" t="s">
        <v>11804</v>
      </c>
      <c r="V1490">
        <v>1</v>
      </c>
      <c r="W1490">
        <v>6</v>
      </c>
      <c r="X1490">
        <v>247579</v>
      </c>
      <c r="Y1490" t="s">
        <v>864</v>
      </c>
      <c r="Z1490" t="s">
        <v>11801</v>
      </c>
      <c r="AA1490" t="s">
        <v>11761</v>
      </c>
      <c r="AB1490" t="s">
        <v>45</v>
      </c>
      <c r="AC1490" t="s">
        <v>11762</v>
      </c>
    </row>
    <row r="1491" spans="1:29">
      <c r="A1491" t="s">
        <v>3143</v>
      </c>
      <c r="B1491" s="1">
        <v>104027</v>
      </c>
      <c r="C1491" t="s">
        <v>9093</v>
      </c>
      <c r="D1491" t="s">
        <v>11759</v>
      </c>
      <c r="E1491" s="1">
        <v>-6002</v>
      </c>
      <c r="F1491" t="s">
        <v>176</v>
      </c>
      <c r="G1491" t="s">
        <v>1213</v>
      </c>
      <c r="H1491" t="s">
        <v>11805</v>
      </c>
      <c r="I1491">
        <v>4</v>
      </c>
      <c r="J1491" t="s">
        <v>2099</v>
      </c>
      <c r="K1491">
        <v>70</v>
      </c>
      <c r="L1491" t="s">
        <v>11806</v>
      </c>
      <c r="M1491" t="s">
        <v>11807</v>
      </c>
      <c r="N1491" t="s">
        <v>11808</v>
      </c>
      <c r="O1491" t="s">
        <v>11760</v>
      </c>
      <c r="P1491" t="s">
        <v>11809</v>
      </c>
      <c r="Q1491" t="s">
        <v>11810</v>
      </c>
      <c r="R1491" t="s">
        <v>11811</v>
      </c>
      <c r="S1491" s="2">
        <v>44133</v>
      </c>
      <c r="T1491" t="s">
        <v>11812</v>
      </c>
      <c r="U1491" t="s">
        <v>11813</v>
      </c>
      <c r="V1491">
        <v>1</v>
      </c>
      <c r="W1491">
        <v>0</v>
      </c>
      <c r="X1491">
        <v>248040</v>
      </c>
      <c r="Y1491" t="s">
        <v>1140</v>
      </c>
      <c r="Z1491" t="s">
        <v>11810</v>
      </c>
      <c r="AA1491" t="s">
        <v>11761</v>
      </c>
      <c r="AB1491" t="s">
        <v>45</v>
      </c>
      <c r="AC1491" t="s">
        <v>11762</v>
      </c>
    </row>
    <row r="1492" spans="1:29">
      <c r="A1492" t="s">
        <v>241</v>
      </c>
      <c r="B1492" s="1">
        <v>103993</v>
      </c>
      <c r="C1492" t="s">
        <v>2125</v>
      </c>
      <c r="D1492" t="s">
        <v>11759</v>
      </c>
      <c r="E1492" s="1">
        <v>-6148</v>
      </c>
      <c r="F1492" t="s">
        <v>2843</v>
      </c>
      <c r="G1492" t="s">
        <v>2559</v>
      </c>
      <c r="H1492" t="s">
        <v>11814</v>
      </c>
      <c r="I1492">
        <v>4</v>
      </c>
      <c r="J1492" t="s">
        <v>4161</v>
      </c>
      <c r="K1492">
        <v>68</v>
      </c>
      <c r="L1492" t="s">
        <v>11815</v>
      </c>
      <c r="M1492" t="s">
        <v>11816</v>
      </c>
      <c r="N1492" t="s">
        <v>11817</v>
      </c>
      <c r="O1492" t="s">
        <v>11760</v>
      </c>
      <c r="P1492" t="s">
        <v>11818</v>
      </c>
      <c r="Q1492" t="s">
        <v>11819</v>
      </c>
      <c r="R1492" t="s">
        <v>11820</v>
      </c>
      <c r="S1492" s="2">
        <v>43812</v>
      </c>
      <c r="T1492" t="s">
        <v>11821</v>
      </c>
      <c r="U1492" t="s">
        <v>11822</v>
      </c>
      <c r="V1492">
        <v>0</v>
      </c>
      <c r="W1492">
        <v>0</v>
      </c>
      <c r="X1492">
        <v>185461</v>
      </c>
      <c r="Y1492" t="s">
        <v>1894</v>
      </c>
      <c r="Z1492" t="s">
        <v>11819</v>
      </c>
      <c r="AA1492" t="s">
        <v>11761</v>
      </c>
      <c r="AB1492" t="s">
        <v>45</v>
      </c>
      <c r="AC1492" t="s">
        <v>11762</v>
      </c>
    </row>
    <row r="1493" spans="1:29">
      <c r="A1493" t="s">
        <v>434</v>
      </c>
      <c r="B1493" s="1">
        <v>109979</v>
      </c>
      <c r="C1493" t="s">
        <v>304</v>
      </c>
      <c r="D1493" t="s">
        <v>11759</v>
      </c>
      <c r="E1493" s="1">
        <v>-5969</v>
      </c>
      <c r="F1493" t="s">
        <v>6654</v>
      </c>
      <c r="G1493" t="s">
        <v>959</v>
      </c>
      <c r="H1493" t="s">
        <v>11823</v>
      </c>
      <c r="I1493">
        <v>4</v>
      </c>
      <c r="J1493" t="s">
        <v>147</v>
      </c>
      <c r="K1493">
        <v>73</v>
      </c>
      <c r="L1493" t="s">
        <v>11824</v>
      </c>
      <c r="M1493" t="s">
        <v>11825</v>
      </c>
      <c r="N1493" t="s">
        <v>11826</v>
      </c>
      <c r="O1493" t="s">
        <v>11760</v>
      </c>
      <c r="P1493" t="s">
        <v>11827</v>
      </c>
      <c r="Q1493" t="s">
        <v>11828</v>
      </c>
      <c r="R1493" t="s">
        <v>11829</v>
      </c>
      <c r="S1493" s="2">
        <v>43532</v>
      </c>
      <c r="T1493">
        <v>0</v>
      </c>
      <c r="U1493" t="s">
        <v>11830</v>
      </c>
      <c r="V1493">
        <v>0</v>
      </c>
      <c r="W1493">
        <v>9</v>
      </c>
      <c r="X1493">
        <v>241293</v>
      </c>
      <c r="Y1493" t="s">
        <v>7663</v>
      </c>
      <c r="Z1493" t="s">
        <v>11828</v>
      </c>
      <c r="AA1493" t="s">
        <v>11761</v>
      </c>
      <c r="AB1493" t="s">
        <v>45</v>
      </c>
      <c r="AC1493" t="s">
        <v>11762</v>
      </c>
    </row>
    <row r="1494" spans="1:29">
      <c r="A1494" t="s">
        <v>3032</v>
      </c>
      <c r="B1494" s="1">
        <v>102964</v>
      </c>
      <c r="C1494" t="s">
        <v>669</v>
      </c>
      <c r="D1494" t="s">
        <v>11759</v>
      </c>
      <c r="E1494" s="1">
        <v>-10854</v>
      </c>
      <c r="F1494" t="s">
        <v>1654</v>
      </c>
      <c r="G1494" t="s">
        <v>360</v>
      </c>
      <c r="H1494" t="s">
        <v>11796</v>
      </c>
      <c r="I1494">
        <v>3</v>
      </c>
      <c r="J1494" t="s">
        <v>2012</v>
      </c>
      <c r="K1494">
        <v>72</v>
      </c>
      <c r="L1494" t="s">
        <v>11831</v>
      </c>
      <c r="M1494" t="s">
        <v>11832</v>
      </c>
      <c r="N1494" t="s">
        <v>11799</v>
      </c>
      <c r="O1494" t="s">
        <v>11760</v>
      </c>
      <c r="P1494" t="s">
        <v>11833</v>
      </c>
      <c r="Q1494" t="s">
        <v>11834</v>
      </c>
      <c r="R1494" t="s">
        <v>11835</v>
      </c>
      <c r="S1494" s="2">
        <v>44099</v>
      </c>
      <c r="T1494">
        <v>0</v>
      </c>
      <c r="U1494" t="s">
        <v>11804</v>
      </c>
      <c r="V1494">
        <v>1</v>
      </c>
      <c r="W1494">
        <v>2</v>
      </c>
      <c r="X1494">
        <v>196204</v>
      </c>
      <c r="Y1494" t="s">
        <v>1456</v>
      </c>
      <c r="Z1494" t="s">
        <v>11834</v>
      </c>
      <c r="AA1494" t="s">
        <v>11761</v>
      </c>
      <c r="AB1494" t="s">
        <v>45</v>
      </c>
      <c r="AC1494" t="s">
        <v>11762</v>
      </c>
    </row>
    <row r="1495" spans="1:29">
      <c r="A1495" t="s">
        <v>1905</v>
      </c>
      <c r="B1495" s="1">
        <v>83389</v>
      </c>
      <c r="C1495" t="s">
        <v>2611</v>
      </c>
      <c r="D1495" t="s">
        <v>11759</v>
      </c>
      <c r="E1495" s="1">
        <v>-4474</v>
      </c>
      <c r="F1495" t="s">
        <v>4647</v>
      </c>
      <c r="G1495" t="s">
        <v>406</v>
      </c>
      <c r="H1495" t="s">
        <v>4983</v>
      </c>
      <c r="I1495">
        <v>4</v>
      </c>
      <c r="J1495" t="s">
        <v>2970</v>
      </c>
      <c r="K1495">
        <v>82</v>
      </c>
      <c r="L1495" t="s">
        <v>4984</v>
      </c>
      <c r="M1495" t="s">
        <v>4985</v>
      </c>
      <c r="N1495" t="s">
        <v>2789</v>
      </c>
      <c r="O1495" t="s">
        <v>11760</v>
      </c>
      <c r="P1495" t="s">
        <v>4986</v>
      </c>
      <c r="Q1495" t="s">
        <v>4987</v>
      </c>
      <c r="R1495" t="s">
        <v>4988</v>
      </c>
      <c r="S1495" s="2">
        <v>44680</v>
      </c>
      <c r="T1495">
        <v>0</v>
      </c>
      <c r="U1495" t="s">
        <v>2793</v>
      </c>
      <c r="V1495">
        <v>1</v>
      </c>
      <c r="W1495">
        <v>1</v>
      </c>
      <c r="X1495">
        <v>189893</v>
      </c>
      <c r="Y1495" t="s">
        <v>2620</v>
      </c>
      <c r="Z1495" t="s">
        <v>4987</v>
      </c>
      <c r="AA1495" t="s">
        <v>11761</v>
      </c>
      <c r="AB1495" t="s">
        <v>45</v>
      </c>
      <c r="AC1495" t="s">
        <v>11762</v>
      </c>
    </row>
    <row r="1496" spans="1:29">
      <c r="A1496" t="s">
        <v>293</v>
      </c>
      <c r="B1496" t="s">
        <v>11836</v>
      </c>
      <c r="C1496" t="s">
        <v>1990</v>
      </c>
      <c r="D1496" t="s">
        <v>11759</v>
      </c>
      <c r="E1496" s="1">
        <v>-5534</v>
      </c>
      <c r="F1496" t="s">
        <v>4007</v>
      </c>
      <c r="G1496" t="s">
        <v>1153</v>
      </c>
      <c r="H1496" t="s">
        <v>11837</v>
      </c>
      <c r="I1496">
        <v>4</v>
      </c>
      <c r="J1496" t="s">
        <v>6608</v>
      </c>
      <c r="K1496">
        <v>70</v>
      </c>
      <c r="L1496" t="s">
        <v>11838</v>
      </c>
      <c r="M1496" t="s">
        <v>11839</v>
      </c>
      <c r="N1496" t="s">
        <v>11840</v>
      </c>
      <c r="O1496" t="s">
        <v>11760</v>
      </c>
      <c r="P1496" t="s">
        <v>11841</v>
      </c>
      <c r="Q1496" t="s">
        <v>11842</v>
      </c>
      <c r="R1496" t="s">
        <v>11840</v>
      </c>
      <c r="S1496" s="2">
        <v>44722</v>
      </c>
      <c r="T1496">
        <v>0</v>
      </c>
      <c r="U1496" t="s">
        <v>11843</v>
      </c>
      <c r="V1496">
        <v>0</v>
      </c>
      <c r="W1496">
        <v>10</v>
      </c>
      <c r="X1496">
        <v>147581</v>
      </c>
      <c r="Y1496" t="s">
        <v>3053</v>
      </c>
      <c r="Z1496" t="s">
        <v>11842</v>
      </c>
      <c r="AA1496" t="s">
        <v>11761</v>
      </c>
      <c r="AB1496" t="s">
        <v>45</v>
      </c>
      <c r="AC1496" t="s">
        <v>11762</v>
      </c>
    </row>
    <row r="1497" spans="1:29">
      <c r="A1497" t="s">
        <v>513</v>
      </c>
      <c r="B1497" s="1">
        <v>123879</v>
      </c>
      <c r="C1497" t="s">
        <v>4347</v>
      </c>
      <c r="D1497" t="s">
        <v>11759</v>
      </c>
      <c r="E1497" s="1">
        <v>-8187</v>
      </c>
      <c r="F1497" t="s">
        <v>255</v>
      </c>
      <c r="G1497" t="s">
        <v>3545</v>
      </c>
      <c r="H1497" t="s">
        <v>11796</v>
      </c>
      <c r="I1497">
        <v>5</v>
      </c>
      <c r="J1497" t="s">
        <v>2702</v>
      </c>
      <c r="K1497">
        <v>71</v>
      </c>
      <c r="L1497" t="s">
        <v>11844</v>
      </c>
      <c r="M1497" t="s">
        <v>11845</v>
      </c>
      <c r="N1497" t="s">
        <v>11846</v>
      </c>
      <c r="O1497" t="s">
        <v>11760</v>
      </c>
      <c r="P1497" t="s">
        <v>11847</v>
      </c>
      <c r="Q1497" t="s">
        <v>11848</v>
      </c>
      <c r="R1497" t="s">
        <v>8412</v>
      </c>
      <c r="S1497" s="2">
        <v>44453</v>
      </c>
      <c r="T1497">
        <v>0</v>
      </c>
      <c r="U1497" t="s">
        <v>11849</v>
      </c>
      <c r="V1497">
        <v>1</v>
      </c>
      <c r="W1497">
        <v>9</v>
      </c>
      <c r="X1497">
        <v>180000</v>
      </c>
      <c r="Y1497" t="s">
        <v>5356</v>
      </c>
      <c r="Z1497" t="s">
        <v>11848</v>
      </c>
      <c r="AA1497" t="s">
        <v>11761</v>
      </c>
      <c r="AB1497" t="s">
        <v>45</v>
      </c>
      <c r="AC1497" t="s">
        <v>11762</v>
      </c>
    </row>
    <row r="1498" spans="1:29">
      <c r="A1498" t="s">
        <v>1492</v>
      </c>
      <c r="B1498" s="1">
        <v>112014</v>
      </c>
      <c r="C1498" t="s">
        <v>290</v>
      </c>
      <c r="D1498" t="s">
        <v>11759</v>
      </c>
      <c r="E1498" s="1">
        <v>-8626</v>
      </c>
      <c r="F1498" t="s">
        <v>799</v>
      </c>
      <c r="G1498" t="s">
        <v>5472</v>
      </c>
      <c r="H1498" t="s">
        <v>5473</v>
      </c>
      <c r="I1498">
        <v>4</v>
      </c>
      <c r="J1498" t="s">
        <v>5474</v>
      </c>
      <c r="K1498">
        <v>69</v>
      </c>
      <c r="L1498" t="s">
        <v>5475</v>
      </c>
      <c r="M1498" t="s">
        <v>5476</v>
      </c>
      <c r="N1498" t="s">
        <v>5477</v>
      </c>
      <c r="O1498" t="s">
        <v>11760</v>
      </c>
      <c r="P1498" t="s">
        <v>5478</v>
      </c>
      <c r="Q1498" t="s">
        <v>5479</v>
      </c>
      <c r="R1498" t="s">
        <v>5480</v>
      </c>
      <c r="S1498" s="2">
        <v>45519</v>
      </c>
      <c r="T1498" t="s">
        <v>5481</v>
      </c>
      <c r="U1498" t="s">
        <v>5482</v>
      </c>
      <c r="V1498">
        <v>1</v>
      </c>
      <c r="W1498">
        <v>0</v>
      </c>
      <c r="X1498">
        <v>156429</v>
      </c>
      <c r="Y1498" t="s">
        <v>1456</v>
      </c>
      <c r="Z1498" t="s">
        <v>5479</v>
      </c>
      <c r="AA1498" t="s">
        <v>11761</v>
      </c>
      <c r="AB1498" t="s">
        <v>45</v>
      </c>
      <c r="AC1498" t="s">
        <v>11762</v>
      </c>
    </row>
    <row r="1499" spans="1:29">
      <c r="A1499" t="s">
        <v>739</v>
      </c>
      <c r="B1499" s="1">
        <v>140997</v>
      </c>
      <c r="C1499" t="s">
        <v>2280</v>
      </c>
      <c r="D1499" t="s">
        <v>11759</v>
      </c>
      <c r="E1499" s="1">
        <v>-43643</v>
      </c>
      <c r="F1499" t="s">
        <v>4124</v>
      </c>
      <c r="G1499" t="s">
        <v>1937</v>
      </c>
      <c r="H1499" t="s">
        <v>11850</v>
      </c>
      <c r="I1499">
        <v>1</v>
      </c>
      <c r="J1499" t="s">
        <v>3369</v>
      </c>
      <c r="K1499">
        <v>72</v>
      </c>
      <c r="L1499" t="s">
        <v>11851</v>
      </c>
      <c r="M1499" t="s">
        <v>11852</v>
      </c>
      <c r="N1499" t="s">
        <v>11853</v>
      </c>
      <c r="O1499" t="s">
        <v>11854</v>
      </c>
      <c r="P1499" t="s">
        <v>11855</v>
      </c>
      <c r="Q1499" t="s">
        <v>11856</v>
      </c>
      <c r="R1499" t="s">
        <v>11853</v>
      </c>
      <c r="S1499" s="2">
        <v>45310</v>
      </c>
      <c r="T1499" t="s">
        <v>6050</v>
      </c>
      <c r="U1499" t="s">
        <v>11857</v>
      </c>
      <c r="V1499">
        <v>1</v>
      </c>
      <c r="W1499">
        <v>5</v>
      </c>
      <c r="X1499">
        <v>144750</v>
      </c>
      <c r="Y1499" t="s">
        <v>11858</v>
      </c>
      <c r="Z1499" t="s">
        <v>11856</v>
      </c>
      <c r="AA1499" t="s">
        <v>6633</v>
      </c>
      <c r="AB1499" t="s">
        <v>45</v>
      </c>
      <c r="AC1499" t="s">
        <v>11859</v>
      </c>
    </row>
    <row r="1500" spans="1:29">
      <c r="A1500" t="s">
        <v>2012</v>
      </c>
      <c r="B1500" s="1">
        <v>159719</v>
      </c>
      <c r="C1500" t="s">
        <v>1209</v>
      </c>
      <c r="D1500" t="s">
        <v>11759</v>
      </c>
      <c r="E1500" s="1">
        <v>-13111</v>
      </c>
      <c r="F1500" t="s">
        <v>3423</v>
      </c>
      <c r="G1500" t="s">
        <v>211</v>
      </c>
      <c r="H1500" t="s">
        <v>11860</v>
      </c>
      <c r="I1500">
        <v>3</v>
      </c>
      <c r="J1500" t="s">
        <v>1609</v>
      </c>
      <c r="K1500">
        <v>75</v>
      </c>
      <c r="L1500" t="s">
        <v>11861</v>
      </c>
      <c r="M1500" t="s">
        <v>11862</v>
      </c>
      <c r="N1500" t="s">
        <v>11863</v>
      </c>
      <c r="O1500" t="s">
        <v>11864</v>
      </c>
      <c r="P1500" t="s">
        <v>11865</v>
      </c>
      <c r="Q1500" t="s">
        <v>11866</v>
      </c>
      <c r="R1500" t="s">
        <v>11867</v>
      </c>
      <c r="S1500" s="2">
        <v>40102</v>
      </c>
      <c r="T1500" t="s">
        <v>9688</v>
      </c>
      <c r="U1500" t="s">
        <v>11868</v>
      </c>
      <c r="V1500">
        <v>0</v>
      </c>
      <c r="W1500">
        <v>10</v>
      </c>
      <c r="X1500">
        <v>289560</v>
      </c>
      <c r="Y1500" t="s">
        <v>6050</v>
      </c>
      <c r="Z1500" t="s">
        <v>11866</v>
      </c>
      <c r="AA1500" t="s">
        <v>11869</v>
      </c>
      <c r="AB1500" t="s">
        <v>45</v>
      </c>
      <c r="AC1500" t="s">
        <v>11870</v>
      </c>
    </row>
    <row r="1501" spans="1:29">
      <c r="A1501" t="s">
        <v>1144</v>
      </c>
      <c r="B1501" s="1">
        <v>135965</v>
      </c>
      <c r="C1501" t="s">
        <v>5472</v>
      </c>
      <c r="D1501" t="s">
        <v>11759</v>
      </c>
      <c r="E1501" s="1">
        <v>-16887</v>
      </c>
      <c r="F1501" t="s">
        <v>160</v>
      </c>
      <c r="G1501" t="s">
        <v>3878</v>
      </c>
      <c r="H1501" t="s">
        <v>11871</v>
      </c>
      <c r="I1501">
        <v>4</v>
      </c>
      <c r="J1501" t="s">
        <v>611</v>
      </c>
      <c r="K1501">
        <v>77</v>
      </c>
      <c r="L1501" t="s">
        <v>11872</v>
      </c>
      <c r="M1501" t="s">
        <v>11873</v>
      </c>
      <c r="N1501" t="s">
        <v>11874</v>
      </c>
      <c r="O1501" t="s">
        <v>11864</v>
      </c>
      <c r="P1501" t="s">
        <v>11875</v>
      </c>
      <c r="Q1501" t="s">
        <v>11876</v>
      </c>
      <c r="R1501" t="s">
        <v>11877</v>
      </c>
      <c r="S1501" s="2">
        <v>43399</v>
      </c>
      <c r="T1501" t="s">
        <v>1666</v>
      </c>
      <c r="U1501" t="s">
        <v>11878</v>
      </c>
      <c r="V1501">
        <v>1</v>
      </c>
      <c r="W1501">
        <v>3</v>
      </c>
      <c r="X1501">
        <v>193749</v>
      </c>
      <c r="Y1501" t="s">
        <v>11879</v>
      </c>
      <c r="Z1501" t="s">
        <v>11876</v>
      </c>
      <c r="AA1501" t="s">
        <v>11869</v>
      </c>
      <c r="AB1501" t="s">
        <v>45</v>
      </c>
      <c r="AC1501" t="s">
        <v>11870</v>
      </c>
    </row>
    <row r="1502" spans="1:29">
      <c r="A1502" t="s">
        <v>308</v>
      </c>
      <c r="B1502" s="1">
        <v>129071</v>
      </c>
      <c r="C1502" t="s">
        <v>1467</v>
      </c>
      <c r="D1502" t="s">
        <v>11759</v>
      </c>
      <c r="E1502" s="1">
        <v>-5303</v>
      </c>
      <c r="F1502" t="s">
        <v>255</v>
      </c>
      <c r="G1502" t="s">
        <v>1444</v>
      </c>
      <c r="H1502" t="s">
        <v>395</v>
      </c>
      <c r="I1502">
        <v>4</v>
      </c>
      <c r="J1502" t="s">
        <v>1395</v>
      </c>
      <c r="K1502">
        <v>81</v>
      </c>
      <c r="L1502" t="s">
        <v>11880</v>
      </c>
      <c r="M1502" t="s">
        <v>11881</v>
      </c>
      <c r="N1502" t="s">
        <v>395</v>
      </c>
      <c r="O1502" t="s">
        <v>11864</v>
      </c>
      <c r="P1502" t="s">
        <v>11882</v>
      </c>
      <c r="Q1502" t="s">
        <v>11883</v>
      </c>
      <c r="R1502" t="s">
        <v>11884</v>
      </c>
      <c r="S1502" s="2">
        <v>41901</v>
      </c>
      <c r="T1502">
        <v>0</v>
      </c>
      <c r="U1502" t="s">
        <v>11885</v>
      </c>
      <c r="V1502">
        <v>0</v>
      </c>
      <c r="W1502">
        <v>4</v>
      </c>
      <c r="X1502">
        <v>241688</v>
      </c>
      <c r="Y1502" t="s">
        <v>2125</v>
      </c>
      <c r="Z1502" t="s">
        <v>11883</v>
      </c>
      <c r="AA1502" t="s">
        <v>11869</v>
      </c>
      <c r="AB1502" t="s">
        <v>45</v>
      </c>
      <c r="AC1502" t="s">
        <v>11870</v>
      </c>
    </row>
    <row r="1503" spans="1:29">
      <c r="A1503" t="s">
        <v>3032</v>
      </c>
      <c r="B1503" s="1">
        <v>130033</v>
      </c>
      <c r="C1503" t="s">
        <v>4347</v>
      </c>
      <c r="D1503" t="s">
        <v>11759</v>
      </c>
      <c r="E1503" s="1">
        <v>-8588</v>
      </c>
      <c r="F1503" t="s">
        <v>969</v>
      </c>
      <c r="G1503" t="s">
        <v>1049</v>
      </c>
      <c r="H1503" t="s">
        <v>4924</v>
      </c>
      <c r="I1503">
        <v>4</v>
      </c>
      <c r="J1503" t="s">
        <v>5257</v>
      </c>
      <c r="K1503">
        <v>83</v>
      </c>
      <c r="L1503" t="s">
        <v>11886</v>
      </c>
      <c r="M1503" t="s">
        <v>11887</v>
      </c>
      <c r="N1503" t="s">
        <v>11888</v>
      </c>
      <c r="O1503" t="s">
        <v>11864</v>
      </c>
      <c r="P1503" t="s">
        <v>11889</v>
      </c>
      <c r="Q1503" t="s">
        <v>11890</v>
      </c>
      <c r="R1503" t="s">
        <v>11891</v>
      </c>
      <c r="S1503" s="2">
        <v>44036</v>
      </c>
      <c r="T1503" t="s">
        <v>11892</v>
      </c>
      <c r="U1503" t="s">
        <v>11893</v>
      </c>
      <c r="V1503">
        <v>0</v>
      </c>
      <c r="W1503">
        <v>0</v>
      </c>
      <c r="X1503">
        <v>239560</v>
      </c>
      <c r="Y1503" t="s">
        <v>1668</v>
      </c>
      <c r="Z1503" t="s">
        <v>11890</v>
      </c>
      <c r="AA1503" t="s">
        <v>11869</v>
      </c>
      <c r="AB1503" t="s">
        <v>45</v>
      </c>
      <c r="AC1503" t="s">
        <v>11870</v>
      </c>
    </row>
    <row r="1504" spans="1:29">
      <c r="A1504" t="s">
        <v>144</v>
      </c>
      <c r="B1504" s="1">
        <v>113986</v>
      </c>
      <c r="C1504" t="s">
        <v>1640</v>
      </c>
      <c r="D1504" t="s">
        <v>11759</v>
      </c>
      <c r="E1504" t="s">
        <v>11894</v>
      </c>
      <c r="F1504" t="s">
        <v>437</v>
      </c>
      <c r="G1504" t="s">
        <v>486</v>
      </c>
      <c r="H1504" t="s">
        <v>11895</v>
      </c>
      <c r="I1504">
        <v>4</v>
      </c>
      <c r="J1504" t="s">
        <v>67</v>
      </c>
      <c r="K1504">
        <v>83</v>
      </c>
      <c r="L1504" t="s">
        <v>11896</v>
      </c>
      <c r="M1504" t="s">
        <v>11897</v>
      </c>
      <c r="N1504" t="s">
        <v>11898</v>
      </c>
      <c r="O1504" t="s">
        <v>11864</v>
      </c>
      <c r="P1504" t="s">
        <v>11899</v>
      </c>
      <c r="Q1504" t="s">
        <v>11900</v>
      </c>
      <c r="R1504" t="s">
        <v>11898</v>
      </c>
      <c r="S1504" s="2">
        <v>41275</v>
      </c>
      <c r="T1504" t="s">
        <v>11901</v>
      </c>
      <c r="U1504" t="s">
        <v>11902</v>
      </c>
      <c r="V1504">
        <v>0</v>
      </c>
      <c r="W1504">
        <v>11</v>
      </c>
      <c r="X1504">
        <v>236053</v>
      </c>
      <c r="Y1504" t="s">
        <v>1667</v>
      </c>
      <c r="Z1504" t="s">
        <v>11900</v>
      </c>
      <c r="AA1504" t="s">
        <v>11869</v>
      </c>
      <c r="AB1504" t="s">
        <v>45</v>
      </c>
      <c r="AC1504" t="s">
        <v>11870</v>
      </c>
    </row>
    <row r="1505" spans="1:29">
      <c r="A1505" t="s">
        <v>452</v>
      </c>
      <c r="B1505" s="1">
        <v>121412</v>
      </c>
      <c r="C1505" t="s">
        <v>2774</v>
      </c>
      <c r="D1505" t="s">
        <v>11759</v>
      </c>
      <c r="E1505" s="1">
        <v>-7672</v>
      </c>
      <c r="F1505" t="s">
        <v>757</v>
      </c>
      <c r="G1505" t="s">
        <v>687</v>
      </c>
      <c r="H1505" t="s">
        <v>395</v>
      </c>
      <c r="I1505">
        <v>4</v>
      </c>
      <c r="J1505" t="s">
        <v>59</v>
      </c>
      <c r="K1505">
        <v>77</v>
      </c>
      <c r="L1505" t="s">
        <v>10087</v>
      </c>
      <c r="M1505" t="s">
        <v>10088</v>
      </c>
      <c r="N1505" t="s">
        <v>10089</v>
      </c>
      <c r="O1505" t="s">
        <v>11864</v>
      </c>
      <c r="P1505" t="s">
        <v>10090</v>
      </c>
      <c r="Q1505" t="s">
        <v>10091</v>
      </c>
      <c r="R1505" t="s">
        <v>10092</v>
      </c>
      <c r="S1505" s="2">
        <v>41901</v>
      </c>
      <c r="T1505">
        <v>0</v>
      </c>
      <c r="U1505" t="s">
        <v>10093</v>
      </c>
      <c r="V1505">
        <v>1</v>
      </c>
      <c r="W1505">
        <v>10</v>
      </c>
      <c r="X1505">
        <v>229720</v>
      </c>
      <c r="Y1505" t="s">
        <v>1445</v>
      </c>
      <c r="Z1505" t="s">
        <v>10091</v>
      </c>
      <c r="AA1505" t="s">
        <v>11869</v>
      </c>
      <c r="AB1505" t="s">
        <v>45</v>
      </c>
      <c r="AC1505" t="s">
        <v>11870</v>
      </c>
    </row>
    <row r="1506" spans="1:29">
      <c r="A1506" t="s">
        <v>837</v>
      </c>
      <c r="B1506" s="1">
        <v>96192</v>
      </c>
      <c r="C1506" t="s">
        <v>1082</v>
      </c>
      <c r="D1506" t="s">
        <v>11759</v>
      </c>
      <c r="E1506" s="1">
        <v>-8312</v>
      </c>
      <c r="F1506" t="s">
        <v>3258</v>
      </c>
      <c r="G1506" t="s">
        <v>772</v>
      </c>
      <c r="H1506" t="s">
        <v>8862</v>
      </c>
      <c r="I1506">
        <v>3</v>
      </c>
      <c r="J1506" t="s">
        <v>1100</v>
      </c>
      <c r="K1506">
        <v>78</v>
      </c>
      <c r="L1506" t="s">
        <v>8863</v>
      </c>
      <c r="M1506" t="s">
        <v>8864</v>
      </c>
      <c r="N1506" t="s">
        <v>8865</v>
      </c>
      <c r="O1506" t="s">
        <v>11864</v>
      </c>
      <c r="P1506" t="s">
        <v>8866</v>
      </c>
      <c r="Q1506" t="s">
        <v>8867</v>
      </c>
      <c r="R1506" t="s">
        <v>8868</v>
      </c>
      <c r="S1506" s="2">
        <v>44827</v>
      </c>
      <c r="T1506" t="s">
        <v>8869</v>
      </c>
      <c r="U1506" t="s">
        <v>8870</v>
      </c>
      <c r="V1506">
        <v>1</v>
      </c>
      <c r="W1506">
        <v>11</v>
      </c>
      <c r="X1506">
        <v>211000</v>
      </c>
      <c r="Y1506" t="s">
        <v>915</v>
      </c>
      <c r="Z1506" t="s">
        <v>8867</v>
      </c>
      <c r="AA1506" t="s">
        <v>11869</v>
      </c>
      <c r="AB1506" t="s">
        <v>45</v>
      </c>
      <c r="AC1506" t="s">
        <v>11870</v>
      </c>
    </row>
    <row r="1507" spans="1:29">
      <c r="A1507" t="s">
        <v>43</v>
      </c>
      <c r="B1507" t="s">
        <v>11903</v>
      </c>
      <c r="C1507" t="s">
        <v>566</v>
      </c>
      <c r="D1507" t="s">
        <v>11759</v>
      </c>
      <c r="E1507" s="1">
        <v>-14958</v>
      </c>
      <c r="F1507" t="s">
        <v>8268</v>
      </c>
      <c r="G1507" t="s">
        <v>211</v>
      </c>
      <c r="H1507" t="s">
        <v>11904</v>
      </c>
      <c r="I1507">
        <v>4</v>
      </c>
      <c r="J1507" t="s">
        <v>1650</v>
      </c>
      <c r="K1507">
        <v>88</v>
      </c>
      <c r="L1507" t="s">
        <v>11905</v>
      </c>
      <c r="M1507" t="s">
        <v>11906</v>
      </c>
      <c r="N1507" t="s">
        <v>11907</v>
      </c>
      <c r="O1507" t="s">
        <v>11864</v>
      </c>
      <c r="P1507" t="s">
        <v>11908</v>
      </c>
      <c r="Q1507" t="s">
        <v>11909</v>
      </c>
      <c r="R1507" t="s">
        <v>11910</v>
      </c>
      <c r="S1507" s="2">
        <v>45184</v>
      </c>
      <c r="T1507" t="s">
        <v>2022</v>
      </c>
      <c r="U1507" t="s">
        <v>11911</v>
      </c>
      <c r="V1507">
        <v>1</v>
      </c>
      <c r="W1507">
        <v>9</v>
      </c>
      <c r="X1507">
        <v>137773</v>
      </c>
      <c r="Y1507" t="s">
        <v>8709</v>
      </c>
      <c r="Z1507" t="s">
        <v>11909</v>
      </c>
      <c r="AA1507" t="s">
        <v>11869</v>
      </c>
      <c r="AB1507" t="s">
        <v>45</v>
      </c>
      <c r="AC1507" t="s">
        <v>11870</v>
      </c>
    </row>
    <row r="1508" spans="1:29">
      <c r="A1508" t="s">
        <v>948</v>
      </c>
      <c r="B1508" s="1">
        <v>144678</v>
      </c>
      <c r="C1508" t="s">
        <v>2740</v>
      </c>
      <c r="D1508" t="s">
        <v>11759</v>
      </c>
      <c r="E1508" s="1">
        <v>-9115</v>
      </c>
      <c r="F1508" t="s">
        <v>134</v>
      </c>
      <c r="G1508" t="s">
        <v>1010</v>
      </c>
      <c r="H1508" t="s">
        <v>11912</v>
      </c>
      <c r="I1508">
        <v>4</v>
      </c>
      <c r="J1508" t="s">
        <v>11913</v>
      </c>
      <c r="K1508">
        <v>71</v>
      </c>
      <c r="L1508" t="s">
        <v>11914</v>
      </c>
      <c r="M1508" t="s">
        <v>11915</v>
      </c>
      <c r="N1508" t="s">
        <v>11916</v>
      </c>
      <c r="O1508" t="s">
        <v>11864</v>
      </c>
      <c r="P1508" t="s">
        <v>11917</v>
      </c>
      <c r="Q1508" t="s">
        <v>11918</v>
      </c>
      <c r="R1508" t="s">
        <v>11919</v>
      </c>
      <c r="S1508" s="2">
        <v>42157</v>
      </c>
      <c r="T1508">
        <v>0</v>
      </c>
      <c r="U1508" t="s">
        <v>11920</v>
      </c>
      <c r="V1508">
        <v>0</v>
      </c>
      <c r="W1508">
        <v>4</v>
      </c>
      <c r="X1508">
        <v>207027</v>
      </c>
      <c r="Y1508" t="s">
        <v>11921</v>
      </c>
      <c r="Z1508" t="s">
        <v>11918</v>
      </c>
      <c r="AA1508" t="s">
        <v>11869</v>
      </c>
      <c r="AB1508" t="s">
        <v>45</v>
      </c>
      <c r="AC1508" t="s">
        <v>11870</v>
      </c>
    </row>
    <row r="1509" spans="1:29">
      <c r="A1509" t="s">
        <v>929</v>
      </c>
      <c r="B1509" s="1">
        <v>123969</v>
      </c>
      <c r="C1509" t="s">
        <v>6173</v>
      </c>
      <c r="D1509" t="s">
        <v>11759</v>
      </c>
      <c r="E1509" s="1">
        <v>-5362</v>
      </c>
      <c r="F1509" t="s">
        <v>4007</v>
      </c>
      <c r="G1509" t="s">
        <v>2776</v>
      </c>
      <c r="H1509" t="s">
        <v>11922</v>
      </c>
      <c r="I1509">
        <v>4</v>
      </c>
      <c r="J1509" t="s">
        <v>4406</v>
      </c>
      <c r="K1509">
        <v>68</v>
      </c>
      <c r="L1509" t="s">
        <v>11923</v>
      </c>
      <c r="M1509" t="s">
        <v>11924</v>
      </c>
      <c r="N1509" t="s">
        <v>11925</v>
      </c>
      <c r="O1509" t="s">
        <v>11864</v>
      </c>
      <c r="P1509" t="s">
        <v>11926</v>
      </c>
      <c r="Q1509" t="s">
        <v>11927</v>
      </c>
      <c r="R1509" t="s">
        <v>11928</v>
      </c>
      <c r="S1509" s="2">
        <v>43259</v>
      </c>
      <c r="T1509" t="s">
        <v>11929</v>
      </c>
      <c r="U1509" t="s">
        <v>11930</v>
      </c>
      <c r="V1509">
        <v>1</v>
      </c>
      <c r="W1509">
        <v>10</v>
      </c>
      <c r="X1509">
        <v>218755</v>
      </c>
      <c r="Y1509" t="s">
        <v>6425</v>
      </c>
      <c r="Z1509" t="s">
        <v>11927</v>
      </c>
      <c r="AA1509" t="s">
        <v>11869</v>
      </c>
      <c r="AB1509" t="s">
        <v>45</v>
      </c>
      <c r="AC1509" t="s">
        <v>11870</v>
      </c>
    </row>
    <row r="1510" spans="1:29">
      <c r="A1510" t="s">
        <v>2022</v>
      </c>
      <c r="B1510" s="1">
        <v>82987</v>
      </c>
      <c r="C1510" t="s">
        <v>826</v>
      </c>
      <c r="D1510" t="s">
        <v>11759</v>
      </c>
      <c r="E1510" s="1">
        <v>-14398</v>
      </c>
      <c r="F1510" t="s">
        <v>502</v>
      </c>
      <c r="G1510" t="s">
        <v>3055</v>
      </c>
      <c r="H1510" t="s">
        <v>51</v>
      </c>
      <c r="I1510">
        <v>4</v>
      </c>
      <c r="J1510" t="s">
        <v>11931</v>
      </c>
      <c r="K1510">
        <v>72</v>
      </c>
      <c r="L1510" t="s">
        <v>11932</v>
      </c>
      <c r="M1510" t="s">
        <v>11933</v>
      </c>
      <c r="N1510" t="s">
        <v>11934</v>
      </c>
      <c r="O1510" t="s">
        <v>11864</v>
      </c>
      <c r="P1510" t="s">
        <v>11935</v>
      </c>
      <c r="Q1510" t="s">
        <v>11936</v>
      </c>
      <c r="R1510" t="s">
        <v>11937</v>
      </c>
      <c r="S1510" s="2">
        <v>44763</v>
      </c>
      <c r="T1510">
        <v>0</v>
      </c>
      <c r="U1510" t="s">
        <v>11938</v>
      </c>
      <c r="V1510">
        <v>1</v>
      </c>
      <c r="W1510">
        <v>7</v>
      </c>
      <c r="X1510">
        <v>216448</v>
      </c>
      <c r="Y1510" t="s">
        <v>3301</v>
      </c>
      <c r="Z1510" t="s">
        <v>11936</v>
      </c>
      <c r="AA1510" t="s">
        <v>11869</v>
      </c>
      <c r="AB1510" t="s">
        <v>45</v>
      </c>
      <c r="AC1510" t="s">
        <v>11870</v>
      </c>
    </row>
    <row r="1511" spans="1:29">
      <c r="A1511" t="s">
        <v>2776</v>
      </c>
      <c r="B1511" t="s">
        <v>11939</v>
      </c>
      <c r="C1511" t="s">
        <v>730</v>
      </c>
      <c r="D1511" t="s">
        <v>11759</v>
      </c>
      <c r="E1511" t="s">
        <v>11940</v>
      </c>
      <c r="F1511" t="s">
        <v>582</v>
      </c>
      <c r="G1511" t="s">
        <v>2929</v>
      </c>
      <c r="H1511" t="s">
        <v>395</v>
      </c>
      <c r="I1511">
        <v>3</v>
      </c>
      <c r="J1511" t="s">
        <v>4264</v>
      </c>
      <c r="K1511">
        <v>72</v>
      </c>
      <c r="L1511" t="s">
        <v>11941</v>
      </c>
      <c r="M1511" t="s">
        <v>11942</v>
      </c>
      <c r="N1511" t="s">
        <v>10089</v>
      </c>
      <c r="O1511" t="s">
        <v>11864</v>
      </c>
      <c r="P1511" t="s">
        <v>11943</v>
      </c>
      <c r="Q1511" t="s">
        <v>11944</v>
      </c>
      <c r="R1511" t="s">
        <v>11945</v>
      </c>
      <c r="S1511" s="2">
        <v>41901</v>
      </c>
      <c r="T1511" t="s">
        <v>4532</v>
      </c>
      <c r="U1511" t="s">
        <v>10093</v>
      </c>
      <c r="V1511">
        <v>1</v>
      </c>
      <c r="W1511">
        <v>7</v>
      </c>
      <c r="X1511">
        <v>198027</v>
      </c>
      <c r="Y1511" t="s">
        <v>4734</v>
      </c>
      <c r="Z1511" t="s">
        <v>11944</v>
      </c>
      <c r="AA1511" t="s">
        <v>11869</v>
      </c>
      <c r="AB1511" t="s">
        <v>45</v>
      </c>
      <c r="AC1511" t="s">
        <v>11870</v>
      </c>
    </row>
    <row r="1512" spans="1:29">
      <c r="A1512" t="s">
        <v>1483</v>
      </c>
      <c r="B1512" s="1">
        <v>70499</v>
      </c>
      <c r="C1512" t="s">
        <v>133</v>
      </c>
      <c r="D1512" t="s">
        <v>11759</v>
      </c>
      <c r="E1512" t="s">
        <v>11946</v>
      </c>
      <c r="F1512" t="s">
        <v>7605</v>
      </c>
      <c r="G1512" t="s">
        <v>1553</v>
      </c>
      <c r="H1512" t="s">
        <v>11895</v>
      </c>
      <c r="I1512">
        <v>4</v>
      </c>
      <c r="J1512" t="s">
        <v>8257</v>
      </c>
      <c r="K1512">
        <v>73</v>
      </c>
      <c r="L1512" t="s">
        <v>11947</v>
      </c>
      <c r="M1512" t="s">
        <v>11948</v>
      </c>
      <c r="N1512" t="s">
        <v>11949</v>
      </c>
      <c r="O1512" t="s">
        <v>11864</v>
      </c>
      <c r="P1512" t="s">
        <v>11950</v>
      </c>
      <c r="Q1512" t="s">
        <v>11951</v>
      </c>
      <c r="R1512" t="s">
        <v>11952</v>
      </c>
      <c r="S1512" s="2">
        <v>43707</v>
      </c>
      <c r="T1512" t="s">
        <v>11953</v>
      </c>
      <c r="U1512" t="s">
        <v>11954</v>
      </c>
      <c r="V1512">
        <v>1</v>
      </c>
      <c r="W1512">
        <v>2</v>
      </c>
      <c r="X1512">
        <v>272485</v>
      </c>
      <c r="Y1512" t="s">
        <v>3835</v>
      </c>
      <c r="Z1512" t="s">
        <v>11951</v>
      </c>
      <c r="AA1512" t="s">
        <v>11869</v>
      </c>
      <c r="AB1512" t="s">
        <v>45</v>
      </c>
      <c r="AC1512" t="s">
        <v>11870</v>
      </c>
    </row>
    <row r="1513" spans="1:29">
      <c r="A1513" t="s">
        <v>4714</v>
      </c>
      <c r="B1513" s="1">
        <v>79764</v>
      </c>
      <c r="C1513" t="s">
        <v>2403</v>
      </c>
      <c r="D1513" t="s">
        <v>11759</v>
      </c>
      <c r="E1513" s="1">
        <v>-23023</v>
      </c>
      <c r="F1513" t="s">
        <v>583</v>
      </c>
      <c r="G1513" t="s">
        <v>2109</v>
      </c>
      <c r="H1513" t="s">
        <v>51</v>
      </c>
      <c r="I1513">
        <v>3</v>
      </c>
      <c r="J1513" t="s">
        <v>3837</v>
      </c>
      <c r="K1513">
        <v>74</v>
      </c>
      <c r="L1513" t="s">
        <v>11955</v>
      </c>
      <c r="M1513" t="s">
        <v>11956</v>
      </c>
      <c r="N1513" t="s">
        <v>11957</v>
      </c>
      <c r="O1513" t="s">
        <v>11864</v>
      </c>
      <c r="P1513" t="s">
        <v>11958</v>
      </c>
      <c r="Q1513" t="s">
        <v>11959</v>
      </c>
      <c r="R1513" t="s">
        <v>11960</v>
      </c>
      <c r="S1513" s="2">
        <v>43553</v>
      </c>
      <c r="T1513" t="s">
        <v>11961</v>
      </c>
      <c r="U1513" t="s">
        <v>11962</v>
      </c>
      <c r="V1513">
        <v>1</v>
      </c>
      <c r="W1513">
        <v>0</v>
      </c>
      <c r="X1513">
        <v>242652</v>
      </c>
      <c r="Y1513" t="s">
        <v>5527</v>
      </c>
      <c r="Z1513" t="s">
        <v>11959</v>
      </c>
      <c r="AA1513" t="s">
        <v>11869</v>
      </c>
      <c r="AB1513" t="s">
        <v>45</v>
      </c>
      <c r="AC1513" t="s">
        <v>11870</v>
      </c>
    </row>
    <row r="1514" spans="1:29">
      <c r="A1514" t="s">
        <v>349</v>
      </c>
      <c r="B1514" s="1">
        <v>145115</v>
      </c>
      <c r="C1514" t="s">
        <v>7091</v>
      </c>
      <c r="D1514" t="s">
        <v>11759</v>
      </c>
      <c r="E1514" s="1">
        <v>-8571</v>
      </c>
      <c r="F1514" t="s">
        <v>227</v>
      </c>
      <c r="G1514" t="s">
        <v>608</v>
      </c>
      <c r="H1514" t="s">
        <v>7228</v>
      </c>
      <c r="I1514">
        <v>3</v>
      </c>
      <c r="J1514" t="s">
        <v>671</v>
      </c>
      <c r="K1514">
        <v>72</v>
      </c>
      <c r="L1514" t="s">
        <v>11963</v>
      </c>
      <c r="M1514" t="s">
        <v>11964</v>
      </c>
      <c r="N1514" t="s">
        <v>11965</v>
      </c>
      <c r="O1514" t="s">
        <v>11864</v>
      </c>
      <c r="P1514" t="s">
        <v>11966</v>
      </c>
      <c r="Q1514" t="s">
        <v>11967</v>
      </c>
      <c r="R1514" t="s">
        <v>11968</v>
      </c>
      <c r="S1514" s="2">
        <v>44736</v>
      </c>
      <c r="T1514" t="s">
        <v>11969</v>
      </c>
      <c r="U1514" t="s">
        <v>11970</v>
      </c>
      <c r="V1514">
        <v>0</v>
      </c>
      <c r="W1514">
        <v>4</v>
      </c>
      <c r="X1514">
        <v>243907</v>
      </c>
      <c r="Y1514" t="s">
        <v>2098</v>
      </c>
      <c r="Z1514" t="s">
        <v>11967</v>
      </c>
      <c r="AA1514" t="s">
        <v>11869</v>
      </c>
      <c r="AB1514" t="s">
        <v>45</v>
      </c>
      <c r="AC1514" t="s">
        <v>11870</v>
      </c>
    </row>
    <row r="1515" spans="1:29">
      <c r="A1515" t="s">
        <v>1553</v>
      </c>
      <c r="B1515" t="s">
        <v>11971</v>
      </c>
      <c r="C1515" t="s">
        <v>1394</v>
      </c>
      <c r="D1515" t="s">
        <v>11759</v>
      </c>
      <c r="E1515" s="1">
        <v>-16288</v>
      </c>
      <c r="F1515" t="s">
        <v>2099</v>
      </c>
      <c r="G1515" t="s">
        <v>4814</v>
      </c>
      <c r="H1515" t="s">
        <v>11972</v>
      </c>
      <c r="I1515">
        <v>4</v>
      </c>
      <c r="J1515" t="s">
        <v>7595</v>
      </c>
      <c r="K1515">
        <v>69</v>
      </c>
      <c r="L1515" t="s">
        <v>11973</v>
      </c>
      <c r="M1515" t="s">
        <v>11974</v>
      </c>
      <c r="N1515" t="s">
        <v>11972</v>
      </c>
      <c r="O1515" t="s">
        <v>11864</v>
      </c>
      <c r="P1515" t="s">
        <v>11975</v>
      </c>
      <c r="Q1515" t="s">
        <v>11976</v>
      </c>
      <c r="R1515" t="s">
        <v>11977</v>
      </c>
      <c r="S1515" s="2">
        <v>42867</v>
      </c>
      <c r="T1515" t="s">
        <v>5450</v>
      </c>
      <c r="U1515" t="s">
        <v>11978</v>
      </c>
      <c r="V1515">
        <v>1</v>
      </c>
      <c r="W1515">
        <v>8</v>
      </c>
      <c r="X1515">
        <v>211960</v>
      </c>
      <c r="Y1515" t="s">
        <v>2374</v>
      </c>
      <c r="Z1515" t="s">
        <v>11976</v>
      </c>
      <c r="AA1515" t="s">
        <v>11869</v>
      </c>
      <c r="AB1515" t="s">
        <v>45</v>
      </c>
      <c r="AC1515" t="s">
        <v>11870</v>
      </c>
    </row>
    <row r="1516" spans="1:29">
      <c r="A1516" t="s">
        <v>785</v>
      </c>
      <c r="B1516" s="1">
        <v>159679</v>
      </c>
      <c r="C1516" t="s">
        <v>4781</v>
      </c>
      <c r="D1516" t="s">
        <v>11759</v>
      </c>
      <c r="E1516" s="1">
        <v>-17261</v>
      </c>
      <c r="F1516" t="s">
        <v>1211</v>
      </c>
      <c r="G1516" t="s">
        <v>836</v>
      </c>
      <c r="H1516" t="s">
        <v>51</v>
      </c>
      <c r="I1516">
        <v>4</v>
      </c>
      <c r="J1516" t="s">
        <v>1528</v>
      </c>
      <c r="K1516">
        <v>70</v>
      </c>
      <c r="L1516" t="s">
        <v>11979</v>
      </c>
      <c r="M1516" t="s">
        <v>11980</v>
      </c>
      <c r="N1516" t="s">
        <v>11981</v>
      </c>
      <c r="O1516" t="s">
        <v>11864</v>
      </c>
      <c r="P1516" t="s">
        <v>11982</v>
      </c>
      <c r="Q1516" t="s">
        <v>11983</v>
      </c>
      <c r="R1516" t="s">
        <v>11984</v>
      </c>
      <c r="S1516" s="2">
        <v>44407</v>
      </c>
      <c r="T1516" t="s">
        <v>211</v>
      </c>
      <c r="U1516" t="s">
        <v>11985</v>
      </c>
      <c r="V1516">
        <v>1</v>
      </c>
      <c r="W1516">
        <v>10</v>
      </c>
      <c r="X1516">
        <v>244221</v>
      </c>
      <c r="Y1516" t="s">
        <v>2161</v>
      </c>
      <c r="Z1516" t="s">
        <v>11983</v>
      </c>
      <c r="AA1516" t="s">
        <v>11869</v>
      </c>
      <c r="AB1516" t="s">
        <v>45</v>
      </c>
      <c r="AC1516" t="s">
        <v>11870</v>
      </c>
    </row>
    <row r="1517" spans="1:29">
      <c r="A1517" t="s">
        <v>715</v>
      </c>
      <c r="B1517" t="s">
        <v>11986</v>
      </c>
      <c r="C1517" t="s">
        <v>2570</v>
      </c>
      <c r="D1517" t="s">
        <v>11759</v>
      </c>
      <c r="E1517" s="1">
        <v>-20149</v>
      </c>
      <c r="F1517" t="s">
        <v>582</v>
      </c>
      <c r="G1517" t="s">
        <v>146</v>
      </c>
      <c r="H1517" t="s">
        <v>11987</v>
      </c>
      <c r="I1517">
        <v>3</v>
      </c>
      <c r="J1517" t="s">
        <v>8352</v>
      </c>
      <c r="K1517">
        <v>81</v>
      </c>
      <c r="L1517" t="s">
        <v>11988</v>
      </c>
      <c r="M1517" t="s">
        <v>11989</v>
      </c>
      <c r="N1517" t="s">
        <v>11990</v>
      </c>
      <c r="O1517" t="s">
        <v>11864</v>
      </c>
      <c r="P1517" t="s">
        <v>11991</v>
      </c>
      <c r="Q1517" t="s">
        <v>11992</v>
      </c>
      <c r="R1517" t="s">
        <v>11993</v>
      </c>
      <c r="S1517" s="2">
        <v>43565</v>
      </c>
      <c r="T1517" t="s">
        <v>2929</v>
      </c>
      <c r="U1517" t="s">
        <v>11994</v>
      </c>
      <c r="V1517">
        <v>0</v>
      </c>
      <c r="W1517">
        <v>5</v>
      </c>
      <c r="X1517">
        <v>161929</v>
      </c>
      <c r="Y1517" t="s">
        <v>8586</v>
      </c>
      <c r="Z1517" t="s">
        <v>11992</v>
      </c>
      <c r="AA1517" t="s">
        <v>11869</v>
      </c>
      <c r="AB1517" t="s">
        <v>45</v>
      </c>
      <c r="AC1517" t="s">
        <v>11870</v>
      </c>
    </row>
    <row r="1518" spans="1:29">
      <c r="A1518" t="s">
        <v>825</v>
      </c>
      <c r="B1518" s="1">
        <v>148005</v>
      </c>
      <c r="C1518" t="s">
        <v>1618</v>
      </c>
      <c r="D1518" t="s">
        <v>11759</v>
      </c>
      <c r="E1518" s="1">
        <v>-11762</v>
      </c>
      <c r="F1518" t="s">
        <v>1700</v>
      </c>
      <c r="G1518" t="s">
        <v>2470</v>
      </c>
      <c r="H1518" t="s">
        <v>11995</v>
      </c>
      <c r="I1518">
        <v>3</v>
      </c>
      <c r="J1518" t="s">
        <v>3238</v>
      </c>
      <c r="K1518">
        <v>80</v>
      </c>
      <c r="L1518" t="s">
        <v>11996</v>
      </c>
      <c r="M1518" t="s">
        <v>11997</v>
      </c>
      <c r="N1518" t="s">
        <v>11998</v>
      </c>
      <c r="O1518" t="s">
        <v>11864</v>
      </c>
      <c r="P1518" t="s">
        <v>11999</v>
      </c>
      <c r="Q1518" t="s">
        <v>12000</v>
      </c>
      <c r="R1518" t="s">
        <v>12001</v>
      </c>
      <c r="S1518" s="2">
        <v>44659</v>
      </c>
      <c r="T1518" t="s">
        <v>12002</v>
      </c>
      <c r="U1518" t="s">
        <v>12003</v>
      </c>
      <c r="V1518">
        <v>1</v>
      </c>
      <c r="W1518">
        <v>9</v>
      </c>
      <c r="X1518">
        <v>182888</v>
      </c>
      <c r="Y1518" t="s">
        <v>4485</v>
      </c>
      <c r="Z1518" t="s">
        <v>12000</v>
      </c>
      <c r="AA1518" t="s">
        <v>11869</v>
      </c>
      <c r="AB1518" t="s">
        <v>45</v>
      </c>
      <c r="AC1518" t="s">
        <v>11870</v>
      </c>
    </row>
    <row r="1519" spans="1:29">
      <c r="A1519" t="s">
        <v>5958</v>
      </c>
      <c r="B1519" s="1">
        <v>102617</v>
      </c>
      <c r="C1519" t="s">
        <v>3144</v>
      </c>
      <c r="D1519" t="s">
        <v>11759</v>
      </c>
      <c r="E1519" s="1">
        <v>-10506</v>
      </c>
      <c r="F1519" t="s">
        <v>189</v>
      </c>
      <c r="G1519" t="s">
        <v>2558</v>
      </c>
      <c r="H1519" t="s">
        <v>6465</v>
      </c>
      <c r="I1519">
        <v>3</v>
      </c>
      <c r="J1519" t="s">
        <v>3606</v>
      </c>
      <c r="K1519">
        <v>85</v>
      </c>
      <c r="L1519" t="s">
        <v>12004</v>
      </c>
      <c r="M1519" t="s">
        <v>12005</v>
      </c>
      <c r="N1519" t="s">
        <v>6468</v>
      </c>
      <c r="O1519" t="s">
        <v>11864</v>
      </c>
      <c r="P1519" t="s">
        <v>12006</v>
      </c>
      <c r="Q1519" t="s">
        <v>12007</v>
      </c>
      <c r="R1519" t="s">
        <v>12008</v>
      </c>
      <c r="S1519" s="2">
        <v>36717</v>
      </c>
      <c r="T1519" t="s">
        <v>8889</v>
      </c>
      <c r="U1519" t="s">
        <v>6473</v>
      </c>
      <c r="V1519">
        <v>1</v>
      </c>
      <c r="W1519">
        <v>1</v>
      </c>
      <c r="X1519">
        <v>227093</v>
      </c>
      <c r="Y1519" t="s">
        <v>1501</v>
      </c>
      <c r="Z1519" t="s">
        <v>12007</v>
      </c>
      <c r="AA1519" t="s">
        <v>11869</v>
      </c>
      <c r="AB1519" t="s">
        <v>45</v>
      </c>
      <c r="AC1519" t="s">
        <v>11870</v>
      </c>
    </row>
    <row r="1520" spans="1:29">
      <c r="A1520" t="s">
        <v>280</v>
      </c>
      <c r="B1520" s="1">
        <v>133943</v>
      </c>
      <c r="C1520" t="s">
        <v>2229</v>
      </c>
      <c r="D1520" t="s">
        <v>11759</v>
      </c>
      <c r="E1520" s="1">
        <v>-13626</v>
      </c>
      <c r="F1520" t="s">
        <v>4151</v>
      </c>
      <c r="G1520" t="s">
        <v>984</v>
      </c>
      <c r="H1520" t="s">
        <v>10046</v>
      </c>
      <c r="I1520">
        <v>3</v>
      </c>
      <c r="J1520" t="s">
        <v>136</v>
      </c>
      <c r="K1520">
        <v>76</v>
      </c>
      <c r="L1520" t="s">
        <v>12009</v>
      </c>
      <c r="M1520" t="s">
        <v>12010</v>
      </c>
      <c r="N1520" t="s">
        <v>12011</v>
      </c>
      <c r="O1520" t="s">
        <v>11864</v>
      </c>
      <c r="P1520" t="s">
        <v>12012</v>
      </c>
      <c r="Q1520" t="s">
        <v>12013</v>
      </c>
      <c r="R1520" t="s">
        <v>12011</v>
      </c>
      <c r="S1520" s="2">
        <v>44687</v>
      </c>
      <c r="T1520" t="s">
        <v>12014</v>
      </c>
      <c r="U1520" t="s">
        <v>12015</v>
      </c>
      <c r="V1520">
        <v>1</v>
      </c>
      <c r="W1520">
        <v>4</v>
      </c>
      <c r="X1520">
        <v>177609</v>
      </c>
      <c r="Y1520" t="s">
        <v>30</v>
      </c>
      <c r="Z1520" t="s">
        <v>12013</v>
      </c>
      <c r="AA1520" t="s">
        <v>11869</v>
      </c>
      <c r="AB1520" t="s">
        <v>45</v>
      </c>
      <c r="AC1520" t="s">
        <v>11870</v>
      </c>
    </row>
    <row r="1521" spans="1:29">
      <c r="A1521" t="s">
        <v>2763</v>
      </c>
      <c r="B1521" s="1">
        <v>129753</v>
      </c>
      <c r="C1521" t="s">
        <v>2774</v>
      </c>
      <c r="D1521" t="s">
        <v>11759</v>
      </c>
      <c r="E1521" s="1">
        <v>-10065</v>
      </c>
      <c r="F1521" t="s">
        <v>2001</v>
      </c>
      <c r="G1521" t="s">
        <v>408</v>
      </c>
      <c r="H1521" t="s">
        <v>12016</v>
      </c>
      <c r="I1521">
        <v>4</v>
      </c>
      <c r="J1521" t="s">
        <v>1361</v>
      </c>
      <c r="K1521">
        <v>75</v>
      </c>
      <c r="L1521" t="s">
        <v>12017</v>
      </c>
      <c r="M1521" t="s">
        <v>12018</v>
      </c>
      <c r="N1521" t="s">
        <v>12019</v>
      </c>
      <c r="O1521" t="s">
        <v>11864</v>
      </c>
      <c r="P1521" t="s">
        <v>12020</v>
      </c>
      <c r="Q1521" t="s">
        <v>12021</v>
      </c>
      <c r="R1521" t="s">
        <v>12022</v>
      </c>
      <c r="S1521" s="2">
        <v>42594</v>
      </c>
      <c r="T1521" t="s">
        <v>12023</v>
      </c>
      <c r="U1521" t="s">
        <v>12024</v>
      </c>
      <c r="V1521">
        <v>1</v>
      </c>
      <c r="W1521">
        <v>2</v>
      </c>
      <c r="X1521">
        <v>393962</v>
      </c>
      <c r="Y1521" t="s">
        <v>406</v>
      </c>
      <c r="Z1521" t="s">
        <v>12021</v>
      </c>
      <c r="AA1521" t="s">
        <v>11869</v>
      </c>
      <c r="AB1521" t="s">
        <v>45</v>
      </c>
      <c r="AC1521" t="s">
        <v>11870</v>
      </c>
    </row>
    <row r="1522" spans="1:29">
      <c r="A1522" t="s">
        <v>3907</v>
      </c>
      <c r="B1522" s="1">
        <v>201025</v>
      </c>
      <c r="C1522" t="s">
        <v>3052</v>
      </c>
      <c r="D1522" t="s">
        <v>11759</v>
      </c>
      <c r="E1522" s="1">
        <v>-13125</v>
      </c>
      <c r="F1522" t="s">
        <v>2099</v>
      </c>
      <c r="G1522" t="s">
        <v>2938</v>
      </c>
      <c r="H1522" t="s">
        <v>11895</v>
      </c>
      <c r="I1522">
        <v>3</v>
      </c>
      <c r="J1522" t="s">
        <v>12025</v>
      </c>
      <c r="K1522">
        <v>79</v>
      </c>
      <c r="L1522" t="s">
        <v>12026</v>
      </c>
      <c r="M1522" t="s">
        <v>12027</v>
      </c>
      <c r="N1522" t="s">
        <v>12028</v>
      </c>
      <c r="O1522" t="s">
        <v>11864</v>
      </c>
      <c r="P1522" t="s">
        <v>12029</v>
      </c>
      <c r="Q1522" t="s">
        <v>12030</v>
      </c>
      <c r="R1522" t="s">
        <v>12028</v>
      </c>
      <c r="S1522" s="2">
        <v>44274</v>
      </c>
      <c r="T1522" t="s">
        <v>12031</v>
      </c>
      <c r="U1522" t="s">
        <v>12032</v>
      </c>
      <c r="V1522">
        <v>0</v>
      </c>
      <c r="W1522">
        <v>4</v>
      </c>
      <c r="X1522">
        <v>271177</v>
      </c>
      <c r="Y1522" t="s">
        <v>3578</v>
      </c>
      <c r="Z1522" t="s">
        <v>12030</v>
      </c>
      <c r="AA1522" t="s">
        <v>11869</v>
      </c>
      <c r="AB1522" t="s">
        <v>45</v>
      </c>
      <c r="AC1522" t="s">
        <v>11870</v>
      </c>
    </row>
    <row r="1523" spans="1:29">
      <c r="A1523" t="s">
        <v>79</v>
      </c>
      <c r="B1523" s="1">
        <v>78997</v>
      </c>
      <c r="C1523" t="s">
        <v>4122</v>
      </c>
      <c r="D1523" t="s">
        <v>11759</v>
      </c>
      <c r="E1523" t="s">
        <v>12033</v>
      </c>
      <c r="F1523" t="s">
        <v>264</v>
      </c>
      <c r="G1523" t="s">
        <v>3826</v>
      </c>
      <c r="H1523" t="s">
        <v>11895</v>
      </c>
      <c r="I1523">
        <v>3</v>
      </c>
      <c r="J1523" t="s">
        <v>7793</v>
      </c>
      <c r="K1523">
        <v>70</v>
      </c>
      <c r="L1523" t="s">
        <v>12034</v>
      </c>
      <c r="M1523" t="s">
        <v>12035</v>
      </c>
      <c r="N1523" t="s">
        <v>11949</v>
      </c>
      <c r="O1523" t="s">
        <v>11864</v>
      </c>
      <c r="P1523" t="s">
        <v>12036</v>
      </c>
      <c r="Q1523" t="s">
        <v>12037</v>
      </c>
      <c r="R1523" t="s">
        <v>12038</v>
      </c>
      <c r="S1523" s="2">
        <v>43707</v>
      </c>
      <c r="T1523" t="s">
        <v>12039</v>
      </c>
      <c r="U1523" t="s">
        <v>11954</v>
      </c>
      <c r="V1523">
        <v>1</v>
      </c>
      <c r="W1523">
        <v>9</v>
      </c>
      <c r="X1523">
        <v>228071</v>
      </c>
      <c r="Y1523" t="s">
        <v>4347</v>
      </c>
      <c r="Z1523" t="s">
        <v>12037</v>
      </c>
      <c r="AA1523" t="s">
        <v>11869</v>
      </c>
      <c r="AB1523" t="s">
        <v>45</v>
      </c>
      <c r="AC1523" t="s">
        <v>11870</v>
      </c>
    </row>
    <row r="1524" spans="1:29">
      <c r="A1524" t="s">
        <v>2589</v>
      </c>
      <c r="B1524" t="s">
        <v>12040</v>
      </c>
      <c r="C1524" t="s">
        <v>1786</v>
      </c>
      <c r="D1524" t="s">
        <v>11759</v>
      </c>
      <c r="E1524" s="1">
        <v>-9455</v>
      </c>
      <c r="F1524" t="s">
        <v>1073</v>
      </c>
      <c r="G1524" t="s">
        <v>550</v>
      </c>
      <c r="H1524" t="s">
        <v>12041</v>
      </c>
      <c r="I1524">
        <v>4</v>
      </c>
      <c r="J1524" t="s">
        <v>4413</v>
      </c>
      <c r="K1524">
        <v>71</v>
      </c>
      <c r="L1524" t="s">
        <v>12042</v>
      </c>
      <c r="M1524" t="s">
        <v>12043</v>
      </c>
      <c r="N1524" t="s">
        <v>12044</v>
      </c>
      <c r="O1524" t="s">
        <v>11864</v>
      </c>
      <c r="P1524" t="s">
        <v>12045</v>
      </c>
      <c r="Q1524" t="s">
        <v>12046</v>
      </c>
      <c r="R1524" t="s">
        <v>12047</v>
      </c>
      <c r="S1524" s="2">
        <v>44512</v>
      </c>
      <c r="T1524">
        <v>0</v>
      </c>
      <c r="U1524" t="s">
        <v>12048</v>
      </c>
      <c r="V1524">
        <v>1</v>
      </c>
      <c r="W1524">
        <v>0</v>
      </c>
      <c r="X1524">
        <v>258813</v>
      </c>
      <c r="Y1524" t="s">
        <v>4763</v>
      </c>
      <c r="Z1524" t="s">
        <v>12046</v>
      </c>
      <c r="AA1524" t="s">
        <v>11869</v>
      </c>
      <c r="AB1524" t="s">
        <v>45</v>
      </c>
      <c r="AC1524" t="s">
        <v>11870</v>
      </c>
    </row>
    <row r="1525" spans="1:29">
      <c r="A1525" t="s">
        <v>1336</v>
      </c>
      <c r="B1525" s="1">
        <v>137474</v>
      </c>
      <c r="C1525" t="s">
        <v>1456</v>
      </c>
      <c r="D1525" t="s">
        <v>11759</v>
      </c>
      <c r="E1525" s="1">
        <v>-10623</v>
      </c>
      <c r="F1525" t="s">
        <v>12049</v>
      </c>
      <c r="G1525" t="s">
        <v>486</v>
      </c>
      <c r="H1525" t="s">
        <v>12050</v>
      </c>
      <c r="I1525">
        <v>3</v>
      </c>
      <c r="J1525" t="s">
        <v>5593</v>
      </c>
      <c r="K1525">
        <v>73</v>
      </c>
      <c r="L1525" t="s">
        <v>12051</v>
      </c>
      <c r="M1525" t="s">
        <v>12052</v>
      </c>
      <c r="N1525" t="s">
        <v>12053</v>
      </c>
      <c r="O1525" t="s">
        <v>11864</v>
      </c>
      <c r="P1525" t="s">
        <v>12054</v>
      </c>
      <c r="Q1525" t="s">
        <v>12055</v>
      </c>
      <c r="R1525" t="s">
        <v>12056</v>
      </c>
      <c r="S1525" s="2">
        <v>43392</v>
      </c>
      <c r="T1525" t="s">
        <v>1894</v>
      </c>
      <c r="U1525" t="s">
        <v>12057</v>
      </c>
      <c r="V1525">
        <v>1</v>
      </c>
      <c r="W1525">
        <v>9</v>
      </c>
      <c r="X1525">
        <v>208653</v>
      </c>
      <c r="Y1525" t="s">
        <v>6018</v>
      </c>
      <c r="Z1525" t="s">
        <v>12055</v>
      </c>
      <c r="AA1525" t="s">
        <v>11869</v>
      </c>
      <c r="AB1525" t="s">
        <v>45</v>
      </c>
      <c r="AC1525" t="s">
        <v>11870</v>
      </c>
    </row>
    <row r="1526" spans="1:29">
      <c r="A1526" t="s">
        <v>292</v>
      </c>
      <c r="B1526" s="1">
        <v>104007</v>
      </c>
      <c r="C1526" t="s">
        <v>63</v>
      </c>
      <c r="D1526" t="s">
        <v>11759</v>
      </c>
      <c r="E1526" s="1">
        <v>-11324</v>
      </c>
      <c r="F1526" t="s">
        <v>331</v>
      </c>
      <c r="G1526" t="s">
        <v>363</v>
      </c>
      <c r="H1526" t="s">
        <v>12058</v>
      </c>
      <c r="I1526">
        <v>4</v>
      </c>
      <c r="J1526" t="s">
        <v>3606</v>
      </c>
      <c r="K1526">
        <v>72</v>
      </c>
      <c r="L1526" t="s">
        <v>12059</v>
      </c>
      <c r="M1526" t="s">
        <v>12060</v>
      </c>
      <c r="N1526" t="s">
        <v>12061</v>
      </c>
      <c r="O1526" t="s">
        <v>11864</v>
      </c>
      <c r="P1526" t="s">
        <v>12062</v>
      </c>
      <c r="Q1526" t="s">
        <v>12063</v>
      </c>
      <c r="R1526" t="s">
        <v>12064</v>
      </c>
      <c r="S1526" s="2">
        <v>42923</v>
      </c>
      <c r="T1526" t="s">
        <v>1650</v>
      </c>
      <c r="U1526" t="s">
        <v>12065</v>
      </c>
      <c r="V1526">
        <v>1</v>
      </c>
      <c r="W1526">
        <v>3</v>
      </c>
      <c r="X1526">
        <v>239880</v>
      </c>
      <c r="Y1526" t="s">
        <v>6809</v>
      </c>
      <c r="Z1526" t="s">
        <v>12063</v>
      </c>
      <c r="AA1526" t="s">
        <v>11869</v>
      </c>
      <c r="AB1526" t="s">
        <v>45</v>
      </c>
      <c r="AC1526" t="s">
        <v>11870</v>
      </c>
    </row>
    <row r="1527" spans="1:29">
      <c r="A1527" t="s">
        <v>4367</v>
      </c>
      <c r="B1527" s="1">
        <v>102078</v>
      </c>
      <c r="C1527" t="s">
        <v>4503</v>
      </c>
      <c r="D1527" t="s">
        <v>11759</v>
      </c>
      <c r="E1527" s="1">
        <v>-7301</v>
      </c>
      <c r="F1527" t="s">
        <v>825</v>
      </c>
      <c r="G1527" t="s">
        <v>1785</v>
      </c>
      <c r="H1527" t="s">
        <v>7228</v>
      </c>
      <c r="I1527">
        <v>3</v>
      </c>
      <c r="J1527" t="s">
        <v>3715</v>
      </c>
      <c r="K1527">
        <v>83</v>
      </c>
      <c r="L1527" t="s">
        <v>7229</v>
      </c>
      <c r="M1527" t="s">
        <v>7230</v>
      </c>
      <c r="N1527" t="s">
        <v>7231</v>
      </c>
      <c r="O1527" t="s">
        <v>11864</v>
      </c>
      <c r="P1527" t="s">
        <v>7232</v>
      </c>
      <c r="Q1527" t="s">
        <v>7233</v>
      </c>
      <c r="R1527" t="s">
        <v>7234</v>
      </c>
      <c r="S1527" s="2">
        <v>43910</v>
      </c>
      <c r="T1527">
        <v>0</v>
      </c>
      <c r="U1527" t="s">
        <v>7235</v>
      </c>
      <c r="V1527">
        <v>1</v>
      </c>
      <c r="W1527">
        <v>5</v>
      </c>
      <c r="X1527">
        <v>198040</v>
      </c>
      <c r="Y1527" t="s">
        <v>985</v>
      </c>
      <c r="Z1527" t="s">
        <v>7233</v>
      </c>
      <c r="AA1527" t="s">
        <v>11869</v>
      </c>
      <c r="AB1527" t="s">
        <v>45</v>
      </c>
      <c r="AC1527" t="s">
        <v>11870</v>
      </c>
    </row>
    <row r="1528" spans="1:29">
      <c r="A1528" t="s">
        <v>3431</v>
      </c>
      <c r="B1528" s="1">
        <v>94434</v>
      </c>
      <c r="C1528" t="s">
        <v>6425</v>
      </c>
      <c r="D1528" t="s">
        <v>11759</v>
      </c>
      <c r="E1528" s="1">
        <v>-9013</v>
      </c>
      <c r="F1528" t="s">
        <v>1528</v>
      </c>
      <c r="G1528" t="s">
        <v>2613</v>
      </c>
      <c r="H1528" t="s">
        <v>12066</v>
      </c>
      <c r="I1528">
        <v>4</v>
      </c>
      <c r="J1528" t="s">
        <v>217</v>
      </c>
      <c r="K1528">
        <v>87</v>
      </c>
      <c r="L1528" t="s">
        <v>12067</v>
      </c>
      <c r="M1528" t="s">
        <v>12068</v>
      </c>
      <c r="N1528" t="s">
        <v>12066</v>
      </c>
      <c r="O1528" t="s">
        <v>11864</v>
      </c>
      <c r="P1528" t="s">
        <v>12069</v>
      </c>
      <c r="Q1528" t="s">
        <v>12070</v>
      </c>
      <c r="R1528" t="s">
        <v>12071</v>
      </c>
      <c r="S1528" s="2">
        <v>42895</v>
      </c>
      <c r="T1528" t="s">
        <v>1750</v>
      </c>
      <c r="U1528" t="s">
        <v>12072</v>
      </c>
      <c r="V1528">
        <v>1</v>
      </c>
      <c r="W1528">
        <v>5</v>
      </c>
      <c r="X1528">
        <v>290617</v>
      </c>
      <c r="Y1528" t="s">
        <v>3605</v>
      </c>
      <c r="Z1528" t="s">
        <v>12070</v>
      </c>
      <c r="AA1528" t="s">
        <v>11869</v>
      </c>
      <c r="AB1528" t="s">
        <v>45</v>
      </c>
      <c r="AC1528" t="s">
        <v>11870</v>
      </c>
    </row>
    <row r="1529" spans="1:29">
      <c r="A1529" t="s">
        <v>2660</v>
      </c>
      <c r="B1529" s="1">
        <v>117053</v>
      </c>
      <c r="C1529" t="s">
        <v>409</v>
      </c>
      <c r="D1529" t="s">
        <v>11759</v>
      </c>
      <c r="E1529" s="1">
        <v>-11475</v>
      </c>
      <c r="F1529" t="s">
        <v>135</v>
      </c>
      <c r="G1529" t="s">
        <v>135</v>
      </c>
      <c r="H1529" t="s">
        <v>12050</v>
      </c>
      <c r="I1529">
        <v>4</v>
      </c>
      <c r="J1529" t="s">
        <v>570</v>
      </c>
      <c r="K1529">
        <v>78</v>
      </c>
      <c r="L1529" t="s">
        <v>12073</v>
      </c>
      <c r="M1529" t="s">
        <v>12074</v>
      </c>
      <c r="N1529" t="s">
        <v>12075</v>
      </c>
      <c r="O1529" t="s">
        <v>11864</v>
      </c>
      <c r="P1529" t="s">
        <v>12076</v>
      </c>
      <c r="Q1529" t="s">
        <v>12077</v>
      </c>
      <c r="R1529" t="s">
        <v>12078</v>
      </c>
      <c r="S1529" s="2">
        <v>42881</v>
      </c>
      <c r="T1529" t="s">
        <v>2011</v>
      </c>
      <c r="U1529" t="s">
        <v>12079</v>
      </c>
      <c r="V1529">
        <v>1</v>
      </c>
      <c r="W1529">
        <v>9</v>
      </c>
      <c r="X1529">
        <v>257533</v>
      </c>
      <c r="Y1529" t="s">
        <v>1023</v>
      </c>
      <c r="Z1529" t="s">
        <v>12077</v>
      </c>
      <c r="AA1529" t="s">
        <v>11869</v>
      </c>
      <c r="AB1529" t="s">
        <v>45</v>
      </c>
      <c r="AC1529" t="s">
        <v>11870</v>
      </c>
    </row>
    <row r="1530" spans="1:29">
      <c r="A1530" t="s">
        <v>308</v>
      </c>
      <c r="B1530" s="1">
        <v>107747</v>
      </c>
      <c r="C1530" t="s">
        <v>1690</v>
      </c>
      <c r="D1530" t="s">
        <v>11759</v>
      </c>
      <c r="E1530" s="1">
        <v>-6698</v>
      </c>
      <c r="F1530" t="s">
        <v>437</v>
      </c>
      <c r="G1530" t="s">
        <v>12080</v>
      </c>
      <c r="H1530" t="s">
        <v>11895</v>
      </c>
      <c r="I1530">
        <v>4</v>
      </c>
      <c r="J1530" t="s">
        <v>5602</v>
      </c>
      <c r="K1530">
        <v>80</v>
      </c>
      <c r="L1530" t="s">
        <v>12081</v>
      </c>
      <c r="M1530" t="s">
        <v>12082</v>
      </c>
      <c r="N1530" t="s">
        <v>12083</v>
      </c>
      <c r="O1530" t="s">
        <v>11864</v>
      </c>
      <c r="P1530" t="s">
        <v>12084</v>
      </c>
      <c r="Q1530" t="s">
        <v>12085</v>
      </c>
      <c r="R1530" t="s">
        <v>12086</v>
      </c>
      <c r="S1530" s="2">
        <v>41640</v>
      </c>
      <c r="T1530" t="s">
        <v>2107</v>
      </c>
      <c r="U1530" t="s">
        <v>12087</v>
      </c>
      <c r="V1530">
        <v>1</v>
      </c>
      <c r="W1530">
        <v>1</v>
      </c>
      <c r="X1530">
        <v>351640</v>
      </c>
      <c r="Y1530" t="s">
        <v>2721</v>
      </c>
      <c r="Z1530" t="s">
        <v>12085</v>
      </c>
      <c r="AA1530" t="s">
        <v>11869</v>
      </c>
      <c r="AB1530" t="s">
        <v>45</v>
      </c>
      <c r="AC1530" t="s">
        <v>11870</v>
      </c>
    </row>
    <row r="1531" spans="1:29">
      <c r="A1531" t="s">
        <v>1760</v>
      </c>
      <c r="B1531" s="1">
        <v>130694</v>
      </c>
      <c r="C1531" t="s">
        <v>30</v>
      </c>
      <c r="D1531" t="s">
        <v>11759</v>
      </c>
      <c r="E1531" s="1">
        <v>-6032</v>
      </c>
      <c r="F1531" t="s">
        <v>1596</v>
      </c>
      <c r="G1531" t="s">
        <v>579</v>
      </c>
      <c r="H1531" t="s">
        <v>395</v>
      </c>
      <c r="I1531">
        <v>4</v>
      </c>
      <c r="J1531" t="s">
        <v>3606</v>
      </c>
      <c r="K1531">
        <v>74</v>
      </c>
      <c r="L1531" t="s">
        <v>12088</v>
      </c>
      <c r="M1531" t="s">
        <v>12089</v>
      </c>
      <c r="N1531" t="s">
        <v>12090</v>
      </c>
      <c r="O1531" t="s">
        <v>11864</v>
      </c>
      <c r="P1531" t="s">
        <v>12091</v>
      </c>
      <c r="Q1531" t="s">
        <v>12092</v>
      </c>
      <c r="R1531" t="s">
        <v>12093</v>
      </c>
      <c r="S1531" s="2">
        <v>43525</v>
      </c>
      <c r="T1531" t="s">
        <v>4996</v>
      </c>
      <c r="U1531" t="s">
        <v>12094</v>
      </c>
      <c r="V1531">
        <v>1</v>
      </c>
      <c r="W1531">
        <v>5</v>
      </c>
      <c r="X1531">
        <v>268293</v>
      </c>
      <c r="Y1531" t="s">
        <v>1870</v>
      </c>
      <c r="Z1531" t="s">
        <v>12092</v>
      </c>
      <c r="AA1531" t="s">
        <v>11869</v>
      </c>
      <c r="AB1531" t="s">
        <v>45</v>
      </c>
      <c r="AC1531" t="s">
        <v>11870</v>
      </c>
    </row>
    <row r="1532" spans="1:29">
      <c r="A1532" t="s">
        <v>836</v>
      </c>
      <c r="B1532" s="1">
        <v>77968</v>
      </c>
      <c r="C1532" t="s">
        <v>2426</v>
      </c>
      <c r="D1532" t="s">
        <v>11759</v>
      </c>
      <c r="E1532" s="1">
        <v>-7653</v>
      </c>
      <c r="F1532" t="s">
        <v>437</v>
      </c>
      <c r="G1532" t="s">
        <v>7553</v>
      </c>
      <c r="H1532" t="s">
        <v>12095</v>
      </c>
      <c r="I1532">
        <v>4</v>
      </c>
      <c r="J1532" t="s">
        <v>3134</v>
      </c>
      <c r="K1532">
        <v>75</v>
      </c>
      <c r="L1532" t="s">
        <v>12096</v>
      </c>
      <c r="M1532" t="s">
        <v>12097</v>
      </c>
      <c r="N1532" t="s">
        <v>12098</v>
      </c>
      <c r="O1532" t="s">
        <v>11864</v>
      </c>
      <c r="P1532" t="s">
        <v>12099</v>
      </c>
      <c r="Q1532" t="s">
        <v>12100</v>
      </c>
      <c r="R1532" t="s">
        <v>12101</v>
      </c>
      <c r="S1532" s="2">
        <v>45177</v>
      </c>
      <c r="T1532">
        <v>0</v>
      </c>
      <c r="U1532" t="s">
        <v>12102</v>
      </c>
      <c r="V1532">
        <v>1</v>
      </c>
      <c r="W1532">
        <v>3</v>
      </c>
      <c r="X1532">
        <v>177212</v>
      </c>
      <c r="Y1532" t="s">
        <v>3577</v>
      </c>
      <c r="Z1532" t="s">
        <v>12100</v>
      </c>
      <c r="AA1532" t="s">
        <v>11869</v>
      </c>
      <c r="AB1532" t="s">
        <v>45</v>
      </c>
      <c r="AC1532" t="s">
        <v>11870</v>
      </c>
    </row>
    <row r="1533" spans="1:29">
      <c r="A1533" t="s">
        <v>3284</v>
      </c>
      <c r="B1533" s="1">
        <v>141332</v>
      </c>
      <c r="C1533" t="s">
        <v>4044</v>
      </c>
      <c r="D1533" t="s">
        <v>11759</v>
      </c>
      <c r="E1533" s="1">
        <v>-8159</v>
      </c>
      <c r="F1533" t="s">
        <v>211</v>
      </c>
      <c r="G1533" t="s">
        <v>526</v>
      </c>
      <c r="H1533" t="s">
        <v>12095</v>
      </c>
      <c r="I1533">
        <v>4</v>
      </c>
      <c r="J1533" t="s">
        <v>12103</v>
      </c>
      <c r="K1533">
        <v>72</v>
      </c>
      <c r="L1533" t="s">
        <v>12104</v>
      </c>
      <c r="M1533" t="s">
        <v>12105</v>
      </c>
      <c r="N1533" t="s">
        <v>12106</v>
      </c>
      <c r="O1533" t="s">
        <v>11864</v>
      </c>
      <c r="P1533" t="s">
        <v>12107</v>
      </c>
      <c r="Q1533" t="s">
        <v>12108</v>
      </c>
      <c r="R1533" t="s">
        <v>12109</v>
      </c>
      <c r="S1533" s="2">
        <v>45247</v>
      </c>
      <c r="T1533" t="s">
        <v>12110</v>
      </c>
      <c r="U1533" t="s">
        <v>12111</v>
      </c>
      <c r="V1533">
        <v>0</v>
      </c>
      <c r="W1533">
        <v>11</v>
      </c>
      <c r="X1533">
        <v>205484</v>
      </c>
      <c r="Y1533" t="s">
        <v>2918</v>
      </c>
      <c r="Z1533" t="s">
        <v>12108</v>
      </c>
      <c r="AA1533" t="s">
        <v>11869</v>
      </c>
      <c r="AB1533" t="s">
        <v>45</v>
      </c>
      <c r="AC1533" t="s">
        <v>11870</v>
      </c>
    </row>
    <row r="1534" spans="1:29">
      <c r="A1534" t="s">
        <v>2570</v>
      </c>
      <c r="B1534" t="s">
        <v>12112</v>
      </c>
      <c r="C1534" t="s">
        <v>4005</v>
      </c>
      <c r="D1534" t="s">
        <v>11759</v>
      </c>
      <c r="E1534" s="1">
        <v>-7359</v>
      </c>
      <c r="F1534" t="s">
        <v>211</v>
      </c>
      <c r="G1534" t="s">
        <v>4308</v>
      </c>
      <c r="H1534" t="s">
        <v>66</v>
      </c>
      <c r="I1534">
        <v>4</v>
      </c>
      <c r="J1534" t="s">
        <v>11034</v>
      </c>
      <c r="K1534">
        <v>73</v>
      </c>
      <c r="L1534" t="s">
        <v>12113</v>
      </c>
      <c r="M1534" t="s">
        <v>12114</v>
      </c>
      <c r="N1534" t="s">
        <v>4760</v>
      </c>
      <c r="O1534" t="s">
        <v>11864</v>
      </c>
      <c r="P1534" t="s">
        <v>12115</v>
      </c>
      <c r="Q1534" t="s">
        <v>12116</v>
      </c>
      <c r="R1534" t="s">
        <v>12117</v>
      </c>
      <c r="S1534" s="2">
        <v>44512</v>
      </c>
      <c r="T1534" t="s">
        <v>12118</v>
      </c>
      <c r="U1534" t="s">
        <v>12119</v>
      </c>
      <c r="V1534">
        <v>1</v>
      </c>
      <c r="W1534">
        <v>11</v>
      </c>
      <c r="X1534">
        <v>152318</v>
      </c>
      <c r="Y1534" t="s">
        <v>2251</v>
      </c>
      <c r="Z1534" t="s">
        <v>12116</v>
      </c>
      <c r="AA1534" t="s">
        <v>11869</v>
      </c>
      <c r="AB1534" t="s">
        <v>45</v>
      </c>
      <c r="AC1534" t="s">
        <v>11870</v>
      </c>
    </row>
    <row r="1535" spans="1:29">
      <c r="A1535" t="s">
        <v>526</v>
      </c>
      <c r="B1535" s="1">
        <v>165476</v>
      </c>
      <c r="C1535" t="s">
        <v>2517</v>
      </c>
      <c r="D1535" t="s">
        <v>11759</v>
      </c>
      <c r="E1535" s="1">
        <v>-12398</v>
      </c>
      <c r="F1535" t="s">
        <v>5107</v>
      </c>
      <c r="G1535" t="s">
        <v>4814</v>
      </c>
      <c r="H1535" t="s">
        <v>7131</v>
      </c>
      <c r="I1535">
        <v>4</v>
      </c>
      <c r="J1535" t="s">
        <v>1326</v>
      </c>
      <c r="K1535">
        <v>71</v>
      </c>
      <c r="L1535" t="s">
        <v>12120</v>
      </c>
      <c r="M1535" t="s">
        <v>12121</v>
      </c>
      <c r="N1535" t="s">
        <v>12122</v>
      </c>
      <c r="O1535" t="s">
        <v>11864</v>
      </c>
      <c r="P1535" t="s">
        <v>12123</v>
      </c>
      <c r="Q1535" t="s">
        <v>12124</v>
      </c>
      <c r="R1535" t="s">
        <v>12122</v>
      </c>
      <c r="S1535" s="2">
        <v>45317</v>
      </c>
      <c r="T1535" t="s">
        <v>303</v>
      </c>
      <c r="U1535" t="s">
        <v>12125</v>
      </c>
      <c r="V1535">
        <v>1</v>
      </c>
      <c r="W1535">
        <v>6</v>
      </c>
      <c r="X1535">
        <v>221510</v>
      </c>
      <c r="Y1535" t="s">
        <v>918</v>
      </c>
      <c r="Z1535" t="s">
        <v>12124</v>
      </c>
      <c r="AA1535" t="s">
        <v>11869</v>
      </c>
      <c r="AB1535" t="s">
        <v>45</v>
      </c>
      <c r="AC1535" t="s">
        <v>11870</v>
      </c>
    </row>
    <row r="1536" spans="1:29">
      <c r="A1536" t="s">
        <v>5248</v>
      </c>
      <c r="B1536" s="1">
        <v>110927</v>
      </c>
      <c r="C1536" t="s">
        <v>3095</v>
      </c>
      <c r="D1536" t="s">
        <v>11759</v>
      </c>
      <c r="E1536" s="1">
        <v>-10415</v>
      </c>
      <c r="F1536" t="s">
        <v>7256</v>
      </c>
      <c r="G1536" t="s">
        <v>43</v>
      </c>
      <c r="H1536" t="s">
        <v>51</v>
      </c>
      <c r="I1536">
        <v>4</v>
      </c>
      <c r="J1536" t="s">
        <v>3837</v>
      </c>
      <c r="K1536">
        <v>70</v>
      </c>
      <c r="L1536" t="s">
        <v>12126</v>
      </c>
      <c r="M1536" t="s">
        <v>12127</v>
      </c>
      <c r="N1536" t="s">
        <v>11981</v>
      </c>
      <c r="O1536" t="s">
        <v>11864</v>
      </c>
      <c r="P1536" t="s">
        <v>12128</v>
      </c>
      <c r="Q1536" t="s">
        <v>12129</v>
      </c>
      <c r="R1536" t="s">
        <v>12130</v>
      </c>
      <c r="S1536" s="2">
        <v>44407</v>
      </c>
      <c r="T1536">
        <v>0</v>
      </c>
      <c r="U1536" t="s">
        <v>11985</v>
      </c>
      <c r="V1536">
        <v>1</v>
      </c>
      <c r="W1536">
        <v>2</v>
      </c>
      <c r="X1536">
        <v>194887</v>
      </c>
      <c r="Y1536" t="s">
        <v>915</v>
      </c>
      <c r="Z1536" t="s">
        <v>12129</v>
      </c>
      <c r="AA1536" t="s">
        <v>11869</v>
      </c>
      <c r="AB1536" t="s">
        <v>45</v>
      </c>
      <c r="AC1536" t="s">
        <v>11870</v>
      </c>
    </row>
    <row r="1537" spans="1:29">
      <c r="A1537" t="s">
        <v>437</v>
      </c>
      <c r="B1537" s="1">
        <v>81876</v>
      </c>
      <c r="C1537" t="s">
        <v>2390</v>
      </c>
      <c r="D1537" t="s">
        <v>11759</v>
      </c>
      <c r="E1537" s="1">
        <v>-14901</v>
      </c>
      <c r="F1537" t="s">
        <v>10432</v>
      </c>
      <c r="G1537" t="s">
        <v>1550</v>
      </c>
      <c r="H1537" t="s">
        <v>395</v>
      </c>
      <c r="I1537">
        <v>4</v>
      </c>
      <c r="J1537" t="s">
        <v>732</v>
      </c>
      <c r="K1537">
        <v>68</v>
      </c>
      <c r="L1537" t="s">
        <v>12131</v>
      </c>
      <c r="M1537" t="s">
        <v>12132</v>
      </c>
      <c r="N1537" t="s">
        <v>10089</v>
      </c>
      <c r="O1537" t="s">
        <v>11864</v>
      </c>
      <c r="P1537" t="s">
        <v>12133</v>
      </c>
      <c r="Q1537" t="s">
        <v>12134</v>
      </c>
      <c r="R1537" t="s">
        <v>12135</v>
      </c>
      <c r="S1537" s="2">
        <v>41901</v>
      </c>
      <c r="T1537" t="s">
        <v>12136</v>
      </c>
      <c r="U1537" t="s">
        <v>10093</v>
      </c>
      <c r="V1537">
        <v>1</v>
      </c>
      <c r="W1537">
        <v>1</v>
      </c>
      <c r="X1537">
        <v>240147</v>
      </c>
      <c r="Y1537" t="s">
        <v>5611</v>
      </c>
      <c r="Z1537" t="s">
        <v>12134</v>
      </c>
      <c r="AA1537" t="s">
        <v>11869</v>
      </c>
      <c r="AB1537" t="s">
        <v>45</v>
      </c>
      <c r="AC1537" t="s">
        <v>11870</v>
      </c>
    </row>
    <row r="1538" spans="1:29">
      <c r="A1538" t="s">
        <v>4915</v>
      </c>
      <c r="B1538" s="1">
        <v>86686</v>
      </c>
      <c r="C1538" t="s">
        <v>5766</v>
      </c>
      <c r="D1538" t="s">
        <v>11759</v>
      </c>
      <c r="E1538" s="1">
        <v>-16496</v>
      </c>
      <c r="F1538" t="s">
        <v>1211</v>
      </c>
      <c r="G1538" t="s">
        <v>2763</v>
      </c>
      <c r="H1538" t="s">
        <v>12137</v>
      </c>
      <c r="I1538">
        <v>4</v>
      </c>
      <c r="J1538" t="s">
        <v>12138</v>
      </c>
      <c r="K1538">
        <v>68</v>
      </c>
      <c r="L1538" t="s">
        <v>12139</v>
      </c>
      <c r="M1538" t="s">
        <v>12140</v>
      </c>
      <c r="N1538" t="s">
        <v>12141</v>
      </c>
      <c r="O1538" t="s">
        <v>11864</v>
      </c>
      <c r="P1538" t="s">
        <v>12142</v>
      </c>
      <c r="Q1538" t="s">
        <v>12143</v>
      </c>
      <c r="R1538" t="s">
        <v>12144</v>
      </c>
      <c r="S1538" s="2">
        <v>45065</v>
      </c>
      <c r="T1538" t="s">
        <v>2568</v>
      </c>
      <c r="U1538" t="s">
        <v>12145</v>
      </c>
      <c r="V1538">
        <v>1</v>
      </c>
      <c r="W1538">
        <v>2</v>
      </c>
      <c r="X1538">
        <v>100716</v>
      </c>
      <c r="Y1538" t="s">
        <v>755</v>
      </c>
      <c r="Z1538" t="s">
        <v>12143</v>
      </c>
      <c r="AA1538" t="s">
        <v>11869</v>
      </c>
      <c r="AB1538" t="s">
        <v>45</v>
      </c>
      <c r="AC1538" t="s">
        <v>11870</v>
      </c>
    </row>
    <row r="1539" spans="1:29">
      <c r="A1539" t="s">
        <v>379</v>
      </c>
      <c r="B1539" s="1">
        <v>103777</v>
      </c>
      <c r="C1539" t="s">
        <v>2970</v>
      </c>
      <c r="D1539" t="s">
        <v>11759</v>
      </c>
      <c r="E1539" s="1">
        <v>-13352</v>
      </c>
      <c r="F1539" t="s">
        <v>224</v>
      </c>
      <c r="G1539" t="s">
        <v>2100</v>
      </c>
      <c r="H1539" t="s">
        <v>12146</v>
      </c>
      <c r="I1539">
        <v>4</v>
      </c>
      <c r="J1539" t="s">
        <v>8019</v>
      </c>
      <c r="K1539">
        <v>78</v>
      </c>
      <c r="L1539" t="s">
        <v>12147</v>
      </c>
      <c r="M1539" t="s">
        <v>12148</v>
      </c>
      <c r="N1539" t="s">
        <v>12149</v>
      </c>
      <c r="O1539" t="s">
        <v>11864</v>
      </c>
      <c r="P1539" t="s">
        <v>12150</v>
      </c>
      <c r="Q1539" t="s">
        <v>12151</v>
      </c>
      <c r="R1539" t="s">
        <v>12152</v>
      </c>
      <c r="S1539" s="2">
        <v>45009</v>
      </c>
      <c r="T1539" t="s">
        <v>6776</v>
      </c>
      <c r="U1539" t="s">
        <v>12153</v>
      </c>
      <c r="V1539">
        <v>1</v>
      </c>
      <c r="W1539">
        <v>9</v>
      </c>
      <c r="X1539">
        <v>339891</v>
      </c>
      <c r="Y1539" t="s">
        <v>3835</v>
      </c>
      <c r="Z1539" t="s">
        <v>12151</v>
      </c>
      <c r="AA1539" t="s">
        <v>11869</v>
      </c>
      <c r="AB1539" t="s">
        <v>45</v>
      </c>
      <c r="AC1539" t="s">
        <v>11870</v>
      </c>
    </row>
    <row r="1540" spans="1:29">
      <c r="A1540" t="s">
        <v>2751</v>
      </c>
      <c r="B1540" s="1">
        <v>110019</v>
      </c>
      <c r="C1540" t="s">
        <v>2240</v>
      </c>
      <c r="D1540" t="s">
        <v>11759</v>
      </c>
      <c r="E1540" s="1">
        <v>-10285</v>
      </c>
      <c r="F1540" t="s">
        <v>463</v>
      </c>
      <c r="G1540" t="s">
        <v>1961</v>
      </c>
      <c r="H1540" t="s">
        <v>12154</v>
      </c>
      <c r="I1540">
        <v>4</v>
      </c>
      <c r="J1540" t="s">
        <v>1564</v>
      </c>
      <c r="K1540">
        <v>68</v>
      </c>
      <c r="L1540" t="s">
        <v>12155</v>
      </c>
      <c r="M1540" t="s">
        <v>12156</v>
      </c>
      <c r="N1540" t="s">
        <v>12157</v>
      </c>
      <c r="O1540" t="s">
        <v>11864</v>
      </c>
      <c r="P1540" t="s">
        <v>12158</v>
      </c>
      <c r="Q1540" t="s">
        <v>12159</v>
      </c>
      <c r="R1540" t="s">
        <v>12160</v>
      </c>
      <c r="S1540" s="2">
        <v>44820</v>
      </c>
      <c r="T1540" t="s">
        <v>12161</v>
      </c>
      <c r="U1540" t="s">
        <v>12162</v>
      </c>
      <c r="V1540">
        <v>1</v>
      </c>
      <c r="W1540">
        <v>10</v>
      </c>
      <c r="X1540">
        <v>232992</v>
      </c>
      <c r="Y1540" t="s">
        <v>2672</v>
      </c>
      <c r="Z1540" t="s">
        <v>12159</v>
      </c>
      <c r="AA1540" t="s">
        <v>11869</v>
      </c>
      <c r="AB1540" t="s">
        <v>45</v>
      </c>
      <c r="AC1540" t="s">
        <v>11870</v>
      </c>
    </row>
    <row r="1541" spans="1:29">
      <c r="A1541" t="s">
        <v>64</v>
      </c>
      <c r="B1541" t="s">
        <v>12163</v>
      </c>
      <c r="C1541" t="s">
        <v>2844</v>
      </c>
      <c r="D1541" t="s">
        <v>11759</v>
      </c>
      <c r="E1541" s="1">
        <v>-16728</v>
      </c>
      <c r="F1541" t="s">
        <v>2970</v>
      </c>
      <c r="G1541" t="s">
        <v>6587</v>
      </c>
      <c r="H1541" t="s">
        <v>51</v>
      </c>
      <c r="I1541">
        <v>4</v>
      </c>
      <c r="J1541" t="s">
        <v>189</v>
      </c>
      <c r="K1541">
        <v>75</v>
      </c>
      <c r="L1541" t="s">
        <v>12164</v>
      </c>
      <c r="M1541" t="s">
        <v>12165</v>
      </c>
      <c r="N1541" t="s">
        <v>11981</v>
      </c>
      <c r="O1541" t="s">
        <v>11864</v>
      </c>
      <c r="P1541" t="s">
        <v>12166</v>
      </c>
      <c r="Q1541" t="s">
        <v>12167</v>
      </c>
      <c r="R1541" t="s">
        <v>12168</v>
      </c>
      <c r="S1541" s="2">
        <v>44407</v>
      </c>
      <c r="T1541" t="s">
        <v>12169</v>
      </c>
      <c r="U1541" t="s">
        <v>11985</v>
      </c>
      <c r="V1541">
        <v>0</v>
      </c>
      <c r="W1541">
        <v>1</v>
      </c>
      <c r="X1541">
        <v>234761</v>
      </c>
      <c r="Y1541" t="s">
        <v>1849</v>
      </c>
      <c r="Z1541" t="s">
        <v>12167</v>
      </c>
      <c r="AA1541" t="s">
        <v>11869</v>
      </c>
      <c r="AB1541" t="s">
        <v>45</v>
      </c>
      <c r="AC1541" t="s">
        <v>11870</v>
      </c>
    </row>
    <row r="1542" spans="1:29">
      <c r="A1542" t="s">
        <v>1492</v>
      </c>
      <c r="B1542" s="1">
        <v>161989</v>
      </c>
      <c r="C1542" t="s">
        <v>1394</v>
      </c>
      <c r="D1542" t="s">
        <v>1851</v>
      </c>
      <c r="E1542" s="1">
        <v>-7226</v>
      </c>
      <c r="F1542" t="s">
        <v>4554</v>
      </c>
      <c r="G1542" t="s">
        <v>146</v>
      </c>
      <c r="H1542" t="s">
        <v>2153</v>
      </c>
      <c r="I1542">
        <v>4</v>
      </c>
      <c r="J1542" t="s">
        <v>3053</v>
      </c>
      <c r="K1542">
        <v>83</v>
      </c>
      <c r="L1542" t="s">
        <v>7005</v>
      </c>
      <c r="M1542" t="s">
        <v>7006</v>
      </c>
      <c r="N1542" t="s">
        <v>6975</v>
      </c>
      <c r="O1542" t="s">
        <v>12170</v>
      </c>
      <c r="P1542" t="s">
        <v>7007</v>
      </c>
      <c r="Q1542" t="s">
        <v>7008</v>
      </c>
      <c r="R1542" t="s">
        <v>7009</v>
      </c>
      <c r="S1542" s="2">
        <v>43444</v>
      </c>
      <c r="T1542" t="s">
        <v>7010</v>
      </c>
      <c r="U1542" t="s">
        <v>6979</v>
      </c>
      <c r="V1542">
        <v>1</v>
      </c>
      <c r="W1542">
        <v>0</v>
      </c>
      <c r="X1542">
        <v>165820</v>
      </c>
      <c r="Y1542" t="s">
        <v>7011</v>
      </c>
      <c r="Z1542" t="s">
        <v>7008</v>
      </c>
      <c r="AA1542" t="s">
        <v>12171</v>
      </c>
      <c r="AB1542" t="s">
        <v>45</v>
      </c>
      <c r="AC1542" t="s">
        <v>12172</v>
      </c>
    </row>
    <row r="1543" spans="1:29">
      <c r="A1543" t="s">
        <v>1502</v>
      </c>
      <c r="B1543" s="1">
        <v>184057</v>
      </c>
      <c r="C1543" t="s">
        <v>253</v>
      </c>
      <c r="D1543" t="s">
        <v>1851</v>
      </c>
      <c r="E1543" s="1">
        <v>-5984</v>
      </c>
      <c r="F1543" t="s">
        <v>2001</v>
      </c>
      <c r="G1543" t="s">
        <v>2002</v>
      </c>
      <c r="H1543" t="s">
        <v>2003</v>
      </c>
      <c r="I1543">
        <v>4</v>
      </c>
      <c r="J1543" t="s">
        <v>1870</v>
      </c>
      <c r="K1543">
        <v>76</v>
      </c>
      <c r="L1543" t="s">
        <v>2004</v>
      </c>
      <c r="M1543" t="s">
        <v>2005</v>
      </c>
      <c r="N1543" t="s">
        <v>2006</v>
      </c>
      <c r="O1543" t="s">
        <v>12170</v>
      </c>
      <c r="P1543" t="s">
        <v>2007</v>
      </c>
      <c r="Q1543" t="s">
        <v>2008</v>
      </c>
      <c r="R1543" t="s">
        <v>2009</v>
      </c>
      <c r="S1543" s="2">
        <v>45597</v>
      </c>
      <c r="T1543">
        <v>0</v>
      </c>
      <c r="U1543" t="s">
        <v>2010</v>
      </c>
      <c r="V1543">
        <v>1</v>
      </c>
      <c r="W1543">
        <v>3</v>
      </c>
      <c r="X1543">
        <v>138324</v>
      </c>
      <c r="Y1543" t="s">
        <v>757</v>
      </c>
      <c r="Z1543" t="s">
        <v>2008</v>
      </c>
      <c r="AA1543" t="s">
        <v>12171</v>
      </c>
      <c r="AB1543" t="s">
        <v>45</v>
      </c>
      <c r="AC1543" t="s">
        <v>12172</v>
      </c>
    </row>
    <row r="1544" spans="1:29">
      <c r="A1544" t="s">
        <v>118</v>
      </c>
      <c r="B1544" s="1">
        <v>148775</v>
      </c>
      <c r="C1544" t="s">
        <v>157</v>
      </c>
      <c r="D1544" t="s">
        <v>1851</v>
      </c>
      <c r="E1544" s="1">
        <v>-9929</v>
      </c>
      <c r="F1544" t="s">
        <v>2917</v>
      </c>
      <c r="G1544" t="s">
        <v>1908</v>
      </c>
      <c r="H1544" t="s">
        <v>4879</v>
      </c>
      <c r="I1544">
        <v>4</v>
      </c>
      <c r="J1544" t="s">
        <v>201</v>
      </c>
      <c r="K1544">
        <v>72</v>
      </c>
      <c r="L1544" t="s">
        <v>12173</v>
      </c>
      <c r="M1544" t="s">
        <v>12174</v>
      </c>
      <c r="N1544" t="s">
        <v>4882</v>
      </c>
      <c r="O1544" t="s">
        <v>12170</v>
      </c>
      <c r="P1544" t="s">
        <v>12175</v>
      </c>
      <c r="Q1544" t="s">
        <v>12176</v>
      </c>
      <c r="R1544" t="s">
        <v>12177</v>
      </c>
      <c r="S1544" s="2">
        <v>43707</v>
      </c>
      <c r="T1544">
        <v>0</v>
      </c>
      <c r="U1544" t="s">
        <v>4886</v>
      </c>
      <c r="V1544">
        <v>0</v>
      </c>
      <c r="W1544">
        <v>10</v>
      </c>
      <c r="X1544">
        <v>116240</v>
      </c>
      <c r="Y1544" t="s">
        <v>321</v>
      </c>
      <c r="Z1544" t="s">
        <v>12176</v>
      </c>
      <c r="AA1544" t="s">
        <v>12171</v>
      </c>
      <c r="AB1544" t="s">
        <v>45</v>
      </c>
      <c r="AC1544" t="s">
        <v>12172</v>
      </c>
    </row>
    <row r="1545" spans="1:29">
      <c r="A1545" t="s">
        <v>2388</v>
      </c>
      <c r="B1545" s="1">
        <v>94011</v>
      </c>
      <c r="C1545" t="s">
        <v>3556</v>
      </c>
      <c r="D1545" t="s">
        <v>1851</v>
      </c>
      <c r="E1545" s="1">
        <v>-7899</v>
      </c>
      <c r="F1545" t="s">
        <v>160</v>
      </c>
      <c r="G1545" t="s">
        <v>3311</v>
      </c>
      <c r="H1545" t="s">
        <v>12178</v>
      </c>
      <c r="I1545">
        <v>4</v>
      </c>
      <c r="J1545" t="s">
        <v>6308</v>
      </c>
      <c r="K1545">
        <v>71</v>
      </c>
      <c r="L1545" t="s">
        <v>12179</v>
      </c>
      <c r="M1545" t="s">
        <v>12180</v>
      </c>
      <c r="N1545" t="s">
        <v>12181</v>
      </c>
      <c r="O1545" t="s">
        <v>12170</v>
      </c>
      <c r="P1545" t="s">
        <v>12182</v>
      </c>
      <c r="Q1545" t="s">
        <v>12183</v>
      </c>
      <c r="R1545" t="s">
        <v>12184</v>
      </c>
      <c r="S1545" s="2">
        <v>43322</v>
      </c>
      <c r="T1545">
        <v>0</v>
      </c>
      <c r="U1545" t="s">
        <v>12185</v>
      </c>
      <c r="V1545">
        <v>1</v>
      </c>
      <c r="W1545">
        <v>9</v>
      </c>
      <c r="X1545">
        <v>176874</v>
      </c>
      <c r="Y1545" t="s">
        <v>2402</v>
      </c>
      <c r="Z1545" t="s">
        <v>12183</v>
      </c>
      <c r="AA1545" t="s">
        <v>12171</v>
      </c>
      <c r="AB1545" t="s">
        <v>45</v>
      </c>
      <c r="AC1545" t="s">
        <v>12172</v>
      </c>
    </row>
    <row r="1546" spans="1:29">
      <c r="A1546" t="s">
        <v>742</v>
      </c>
      <c r="B1546" s="1">
        <v>160084</v>
      </c>
      <c r="C1546" t="s">
        <v>2740</v>
      </c>
      <c r="D1546" t="s">
        <v>1851</v>
      </c>
      <c r="E1546" s="1">
        <v>-5641</v>
      </c>
      <c r="F1546" t="s">
        <v>2917</v>
      </c>
      <c r="G1546" t="s">
        <v>1177</v>
      </c>
      <c r="H1546" t="s">
        <v>12186</v>
      </c>
      <c r="I1546">
        <v>4</v>
      </c>
      <c r="J1546" t="s">
        <v>942</v>
      </c>
      <c r="K1546">
        <v>70</v>
      </c>
      <c r="L1546" t="s">
        <v>12187</v>
      </c>
      <c r="M1546" t="s">
        <v>12188</v>
      </c>
      <c r="N1546" t="s">
        <v>12189</v>
      </c>
      <c r="O1546" t="s">
        <v>12170</v>
      </c>
      <c r="P1546" t="s">
        <v>12190</v>
      </c>
      <c r="Q1546" t="s">
        <v>12191</v>
      </c>
      <c r="R1546" t="s">
        <v>12192</v>
      </c>
      <c r="S1546" s="2">
        <v>43081</v>
      </c>
      <c r="T1546">
        <v>0</v>
      </c>
      <c r="U1546" t="s">
        <v>12193</v>
      </c>
      <c r="V1546">
        <v>1</v>
      </c>
      <c r="W1546">
        <v>9</v>
      </c>
      <c r="X1546">
        <v>156000</v>
      </c>
      <c r="Y1546" t="s">
        <v>2280</v>
      </c>
      <c r="Z1546" t="s">
        <v>12191</v>
      </c>
      <c r="AA1546" t="s">
        <v>12171</v>
      </c>
      <c r="AB1546" t="s">
        <v>45</v>
      </c>
      <c r="AC1546" t="s">
        <v>12172</v>
      </c>
    </row>
    <row r="1547" spans="1:29">
      <c r="A1547" t="s">
        <v>1226</v>
      </c>
      <c r="B1547" s="1">
        <v>150097</v>
      </c>
      <c r="C1547" t="s">
        <v>2411</v>
      </c>
      <c r="D1547" t="s">
        <v>1851</v>
      </c>
      <c r="E1547" s="1">
        <v>-3875</v>
      </c>
      <c r="F1547" t="s">
        <v>593</v>
      </c>
      <c r="G1547" t="s">
        <v>1200</v>
      </c>
      <c r="H1547" t="s">
        <v>7027</v>
      </c>
      <c r="I1547">
        <v>4</v>
      </c>
      <c r="J1547" t="s">
        <v>2796</v>
      </c>
      <c r="K1547">
        <v>74</v>
      </c>
      <c r="L1547" t="s">
        <v>7028</v>
      </c>
      <c r="M1547" t="s">
        <v>7029</v>
      </c>
      <c r="N1547" t="s">
        <v>4962</v>
      </c>
      <c r="O1547" t="s">
        <v>12170</v>
      </c>
      <c r="P1547" t="s">
        <v>7030</v>
      </c>
      <c r="Q1547" t="s">
        <v>7031</v>
      </c>
      <c r="R1547" t="s">
        <v>7032</v>
      </c>
      <c r="S1547" s="2">
        <v>43714</v>
      </c>
      <c r="T1547">
        <v>0</v>
      </c>
      <c r="U1547" t="s">
        <v>4966</v>
      </c>
      <c r="V1547">
        <v>1</v>
      </c>
      <c r="W1547">
        <v>5</v>
      </c>
      <c r="X1547">
        <v>174853</v>
      </c>
      <c r="Y1547" t="s">
        <v>7033</v>
      </c>
      <c r="Z1547" t="s">
        <v>7031</v>
      </c>
      <c r="AA1547" t="s">
        <v>12171</v>
      </c>
      <c r="AB1547" t="s">
        <v>45</v>
      </c>
      <c r="AC1547" t="s">
        <v>12172</v>
      </c>
    </row>
    <row r="1548" spans="1:29">
      <c r="A1548" t="s">
        <v>3085</v>
      </c>
      <c r="B1548" s="1">
        <v>93924</v>
      </c>
      <c r="C1548" t="s">
        <v>1726</v>
      </c>
      <c r="D1548" t="s">
        <v>1851</v>
      </c>
      <c r="E1548" s="1">
        <v>-7813</v>
      </c>
      <c r="F1548" t="s">
        <v>2558</v>
      </c>
      <c r="G1548" t="s">
        <v>255</v>
      </c>
      <c r="H1548" t="s">
        <v>2366</v>
      </c>
      <c r="I1548">
        <v>4</v>
      </c>
      <c r="J1548" t="s">
        <v>2220</v>
      </c>
      <c r="K1548">
        <v>78</v>
      </c>
      <c r="L1548" t="s">
        <v>6846</v>
      </c>
      <c r="M1548" t="s">
        <v>6847</v>
      </c>
      <c r="N1548" t="s">
        <v>6848</v>
      </c>
      <c r="O1548" t="s">
        <v>12170</v>
      </c>
      <c r="P1548" t="s">
        <v>6850</v>
      </c>
      <c r="Q1548" t="s">
        <v>6851</v>
      </c>
      <c r="R1548" t="s">
        <v>6852</v>
      </c>
      <c r="S1548" s="2">
        <v>43966</v>
      </c>
      <c r="T1548">
        <v>0</v>
      </c>
      <c r="U1548" t="s">
        <v>6853</v>
      </c>
      <c r="V1548">
        <v>0</v>
      </c>
      <c r="W1548">
        <v>1</v>
      </c>
      <c r="X1548">
        <v>132833</v>
      </c>
      <c r="Y1548" t="s">
        <v>878</v>
      </c>
      <c r="Z1548" t="s">
        <v>6851</v>
      </c>
      <c r="AA1548" t="s">
        <v>12171</v>
      </c>
      <c r="AB1548" t="s">
        <v>45</v>
      </c>
      <c r="AC1548" t="s">
        <v>12172</v>
      </c>
    </row>
    <row r="1549" spans="1:29">
      <c r="A1549" t="s">
        <v>1584</v>
      </c>
      <c r="B1549" s="1">
        <v>112509</v>
      </c>
      <c r="C1549" t="s">
        <v>1513</v>
      </c>
      <c r="D1549" t="s">
        <v>1851</v>
      </c>
      <c r="E1549" s="1">
        <v>-6903</v>
      </c>
      <c r="F1549" t="s">
        <v>3085</v>
      </c>
      <c r="G1549" t="s">
        <v>903</v>
      </c>
      <c r="H1549" t="s">
        <v>2427</v>
      </c>
      <c r="I1549">
        <v>4</v>
      </c>
      <c r="J1549" t="s">
        <v>5004</v>
      </c>
      <c r="K1549">
        <v>79</v>
      </c>
      <c r="L1549" t="s">
        <v>6871</v>
      </c>
      <c r="M1549" t="s">
        <v>6872</v>
      </c>
      <c r="N1549" t="s">
        <v>6873</v>
      </c>
      <c r="O1549" t="s">
        <v>12170</v>
      </c>
      <c r="P1549" t="s">
        <v>6874</v>
      </c>
      <c r="Q1549" t="s">
        <v>6875</v>
      </c>
      <c r="R1549" t="s">
        <v>6876</v>
      </c>
      <c r="S1549" s="2">
        <v>43378</v>
      </c>
      <c r="T1549">
        <v>0</v>
      </c>
      <c r="U1549" t="s">
        <v>6877</v>
      </c>
      <c r="V1549">
        <v>0</v>
      </c>
      <c r="W1549">
        <v>1</v>
      </c>
      <c r="X1549">
        <v>145543</v>
      </c>
      <c r="Y1549" t="s">
        <v>1086</v>
      </c>
      <c r="Z1549" t="s">
        <v>6875</v>
      </c>
      <c r="AA1549" t="s">
        <v>12171</v>
      </c>
      <c r="AB1549" t="s">
        <v>45</v>
      </c>
      <c r="AC1549" t="s">
        <v>12172</v>
      </c>
    </row>
    <row r="1550" spans="1:29">
      <c r="A1550" t="s">
        <v>714</v>
      </c>
      <c r="B1550" t="s">
        <v>6938</v>
      </c>
      <c r="C1550" t="s">
        <v>2598</v>
      </c>
      <c r="D1550" t="s">
        <v>1851</v>
      </c>
      <c r="E1550" s="1">
        <v>-10265</v>
      </c>
      <c r="F1550" t="s">
        <v>6319</v>
      </c>
      <c r="G1550" t="s">
        <v>364</v>
      </c>
      <c r="H1550" t="s">
        <v>6939</v>
      </c>
      <c r="I1550">
        <v>1</v>
      </c>
      <c r="J1550" t="s">
        <v>132</v>
      </c>
      <c r="K1550">
        <v>73</v>
      </c>
      <c r="L1550" t="s">
        <v>6940</v>
      </c>
      <c r="M1550" t="s">
        <v>6941</v>
      </c>
      <c r="N1550" t="s">
        <v>6942</v>
      </c>
      <c r="O1550" t="s">
        <v>12170</v>
      </c>
      <c r="P1550" t="s">
        <v>6943</v>
      </c>
      <c r="Q1550" t="s">
        <v>6944</v>
      </c>
      <c r="R1550" t="s">
        <v>6945</v>
      </c>
      <c r="S1550" s="2">
        <v>43749</v>
      </c>
      <c r="T1550">
        <v>0</v>
      </c>
      <c r="U1550" t="s">
        <v>6946</v>
      </c>
      <c r="V1550">
        <v>0</v>
      </c>
      <c r="W1550">
        <v>6</v>
      </c>
      <c r="X1550">
        <v>224000</v>
      </c>
      <c r="Y1550" t="s">
        <v>2198</v>
      </c>
      <c r="Z1550" t="s">
        <v>6944</v>
      </c>
      <c r="AA1550" t="s">
        <v>12171</v>
      </c>
      <c r="AB1550" t="s">
        <v>45</v>
      </c>
      <c r="AC1550" t="s">
        <v>12172</v>
      </c>
    </row>
    <row r="1551" spans="1:29">
      <c r="A1551" t="s">
        <v>421</v>
      </c>
      <c r="B1551" s="1">
        <v>163935</v>
      </c>
      <c r="C1551" t="s">
        <v>2610</v>
      </c>
      <c r="D1551" t="s">
        <v>1851</v>
      </c>
      <c r="E1551" s="1">
        <v>-5515</v>
      </c>
      <c r="F1551" t="s">
        <v>6972</v>
      </c>
      <c r="G1551" t="s">
        <v>5956</v>
      </c>
      <c r="H1551" t="s">
        <v>2153</v>
      </c>
      <c r="I1551">
        <v>4</v>
      </c>
      <c r="J1551" t="s">
        <v>1553</v>
      </c>
      <c r="K1551">
        <v>77</v>
      </c>
      <c r="L1551" t="s">
        <v>6973</v>
      </c>
      <c r="M1551" t="s">
        <v>6974</v>
      </c>
      <c r="N1551" t="s">
        <v>6975</v>
      </c>
      <c r="O1551" t="s">
        <v>12170</v>
      </c>
      <c r="P1551" t="s">
        <v>6976</v>
      </c>
      <c r="Q1551" t="s">
        <v>6977</v>
      </c>
      <c r="R1551" t="s">
        <v>6978</v>
      </c>
      <c r="S1551" s="2">
        <v>43444</v>
      </c>
      <c r="T1551">
        <v>0</v>
      </c>
      <c r="U1551" t="s">
        <v>6979</v>
      </c>
      <c r="V1551">
        <v>1</v>
      </c>
      <c r="W1551">
        <v>1</v>
      </c>
      <c r="X1551">
        <v>175755</v>
      </c>
      <c r="Y1551" t="s">
        <v>1728</v>
      </c>
      <c r="Z1551" t="s">
        <v>6977</v>
      </c>
      <c r="AA1551" t="s">
        <v>12171</v>
      </c>
      <c r="AB1551" t="s">
        <v>45</v>
      </c>
      <c r="AC1551" t="s">
        <v>12172</v>
      </c>
    </row>
    <row r="1552" spans="1:29">
      <c r="A1552" t="s">
        <v>959</v>
      </c>
      <c r="B1552" t="s">
        <v>12194</v>
      </c>
      <c r="C1552" t="s">
        <v>2831</v>
      </c>
      <c r="D1552" t="s">
        <v>1851</v>
      </c>
      <c r="E1552" s="1">
        <v>-6772</v>
      </c>
      <c r="F1552" t="s">
        <v>7140</v>
      </c>
      <c r="G1552" t="s">
        <v>1073</v>
      </c>
      <c r="H1552" t="s">
        <v>2003</v>
      </c>
      <c r="I1552">
        <v>4</v>
      </c>
      <c r="J1552" t="s">
        <v>4170</v>
      </c>
      <c r="K1552">
        <v>68</v>
      </c>
      <c r="L1552" t="s">
        <v>12195</v>
      </c>
      <c r="M1552" t="s">
        <v>12196</v>
      </c>
      <c r="N1552" t="s">
        <v>2006</v>
      </c>
      <c r="O1552" t="s">
        <v>12170</v>
      </c>
      <c r="P1552" t="s">
        <v>12197</v>
      </c>
      <c r="Q1552" t="s">
        <v>12198</v>
      </c>
      <c r="R1552" t="s">
        <v>12199</v>
      </c>
      <c r="S1552" s="2">
        <v>45597</v>
      </c>
      <c r="T1552">
        <v>0</v>
      </c>
      <c r="U1552" t="s">
        <v>2010</v>
      </c>
      <c r="V1552">
        <v>1</v>
      </c>
      <c r="W1552">
        <v>0</v>
      </c>
      <c r="X1552">
        <v>189487</v>
      </c>
      <c r="Y1552" t="s">
        <v>608</v>
      </c>
      <c r="Z1552" t="s">
        <v>12198</v>
      </c>
      <c r="AA1552" t="s">
        <v>12171</v>
      </c>
      <c r="AB1552" t="s">
        <v>45</v>
      </c>
      <c r="AC1552" t="s">
        <v>12172</v>
      </c>
    </row>
    <row r="1553" spans="1:29">
      <c r="A1553" t="s">
        <v>1394</v>
      </c>
      <c r="B1553" s="1">
        <v>179987</v>
      </c>
      <c r="C1553" t="s">
        <v>1893</v>
      </c>
      <c r="D1553" t="s">
        <v>1851</v>
      </c>
      <c r="E1553" s="1">
        <v>-6424</v>
      </c>
      <c r="F1553" t="s">
        <v>7011</v>
      </c>
      <c r="G1553" t="s">
        <v>3877</v>
      </c>
      <c r="H1553" t="s">
        <v>12200</v>
      </c>
      <c r="I1553">
        <v>4</v>
      </c>
      <c r="J1553" t="s">
        <v>2763</v>
      </c>
      <c r="K1553">
        <v>73</v>
      </c>
      <c r="L1553" t="s">
        <v>12201</v>
      </c>
      <c r="M1553" t="s">
        <v>12202</v>
      </c>
      <c r="N1553" t="s">
        <v>4882</v>
      </c>
      <c r="O1553" t="s">
        <v>12170</v>
      </c>
      <c r="P1553" t="s">
        <v>12203</v>
      </c>
      <c r="Q1553" t="s">
        <v>12204</v>
      </c>
      <c r="R1553" t="s">
        <v>12205</v>
      </c>
      <c r="S1553" s="2">
        <v>43707</v>
      </c>
      <c r="T1553">
        <v>0</v>
      </c>
      <c r="U1553" t="s">
        <v>4886</v>
      </c>
      <c r="V1553">
        <v>0</v>
      </c>
      <c r="W1553">
        <v>2</v>
      </c>
      <c r="X1553">
        <v>171253</v>
      </c>
      <c r="Y1553" t="s">
        <v>8091</v>
      </c>
      <c r="Z1553" t="s">
        <v>12204</v>
      </c>
      <c r="AA1553" t="s">
        <v>12171</v>
      </c>
      <c r="AB1553" t="s">
        <v>45</v>
      </c>
      <c r="AC1553" t="s">
        <v>12172</v>
      </c>
    </row>
    <row r="1554" spans="1:29">
      <c r="A1554" t="s">
        <v>4735</v>
      </c>
      <c r="B1554" s="1">
        <v>139918</v>
      </c>
      <c r="C1554" t="s">
        <v>3798</v>
      </c>
      <c r="D1554" t="s">
        <v>1851</v>
      </c>
      <c r="E1554" s="1">
        <v>-2665</v>
      </c>
      <c r="F1554" t="s">
        <v>1252</v>
      </c>
      <c r="G1554" t="s">
        <v>2416</v>
      </c>
      <c r="H1554" t="s">
        <v>12206</v>
      </c>
      <c r="I1554">
        <v>4</v>
      </c>
      <c r="J1554" t="s">
        <v>12207</v>
      </c>
      <c r="K1554">
        <v>73</v>
      </c>
      <c r="L1554" t="s">
        <v>12208</v>
      </c>
      <c r="M1554" t="s">
        <v>12209</v>
      </c>
      <c r="N1554" t="s">
        <v>4962</v>
      </c>
      <c r="O1554" t="s">
        <v>12170</v>
      </c>
      <c r="P1554" t="s">
        <v>12210</v>
      </c>
      <c r="Q1554" t="s">
        <v>12211</v>
      </c>
      <c r="R1554" t="s">
        <v>12212</v>
      </c>
      <c r="S1554" s="2">
        <v>43714</v>
      </c>
      <c r="T1554">
        <v>0</v>
      </c>
      <c r="U1554" t="s">
        <v>4966</v>
      </c>
      <c r="V1554">
        <v>0</v>
      </c>
      <c r="W1554">
        <v>1</v>
      </c>
      <c r="X1554">
        <v>229573</v>
      </c>
      <c r="Y1554" t="s">
        <v>3302</v>
      </c>
      <c r="Z1554" t="s">
        <v>12211</v>
      </c>
      <c r="AA1554" t="s">
        <v>12171</v>
      </c>
      <c r="AB1554" t="s">
        <v>45</v>
      </c>
      <c r="AC1554" t="s">
        <v>12172</v>
      </c>
    </row>
    <row r="1555" spans="1:29">
      <c r="A1555" t="s">
        <v>931</v>
      </c>
      <c r="B1555" s="1">
        <v>143968</v>
      </c>
      <c r="C1555" t="s">
        <v>2814</v>
      </c>
      <c r="D1555" t="s">
        <v>1851</v>
      </c>
      <c r="E1555" s="1">
        <v>-7002</v>
      </c>
      <c r="F1555" t="s">
        <v>5370</v>
      </c>
      <c r="G1555" t="s">
        <v>1641</v>
      </c>
      <c r="H1555" t="s">
        <v>12213</v>
      </c>
      <c r="I1555">
        <v>4</v>
      </c>
      <c r="J1555" t="s">
        <v>3511</v>
      </c>
      <c r="K1555">
        <v>71</v>
      </c>
      <c r="L1555" t="s">
        <v>12214</v>
      </c>
      <c r="M1555" t="s">
        <v>12215</v>
      </c>
      <c r="N1555" t="s">
        <v>12216</v>
      </c>
      <c r="O1555" t="s">
        <v>12170</v>
      </c>
      <c r="P1555" t="s">
        <v>12217</v>
      </c>
      <c r="Q1555" t="s">
        <v>12218</v>
      </c>
      <c r="R1555" t="s">
        <v>12219</v>
      </c>
      <c r="S1555" s="2">
        <v>42773</v>
      </c>
      <c r="T1555">
        <v>0</v>
      </c>
      <c r="U1555" t="s">
        <v>12220</v>
      </c>
      <c r="V1555">
        <v>1</v>
      </c>
      <c r="W1555">
        <v>8</v>
      </c>
      <c r="X1555">
        <v>149360</v>
      </c>
      <c r="Y1555" t="s">
        <v>1249</v>
      </c>
      <c r="Z1555" t="s">
        <v>12218</v>
      </c>
      <c r="AA1555" t="s">
        <v>12171</v>
      </c>
      <c r="AB1555" t="s">
        <v>45</v>
      </c>
      <c r="AC1555" t="s">
        <v>12172</v>
      </c>
    </row>
    <row r="1556" spans="1:29">
      <c r="A1556" t="s">
        <v>3767</v>
      </c>
      <c r="B1556" s="1">
        <v>97008</v>
      </c>
      <c r="C1556" t="s">
        <v>3347</v>
      </c>
      <c r="D1556" t="s">
        <v>1851</v>
      </c>
      <c r="E1556" s="1">
        <v>-6678</v>
      </c>
      <c r="F1556" t="s">
        <v>486</v>
      </c>
      <c r="G1556" t="s">
        <v>585</v>
      </c>
      <c r="H1556" t="s">
        <v>12221</v>
      </c>
      <c r="I1556">
        <v>4</v>
      </c>
      <c r="J1556" t="s">
        <v>5397</v>
      </c>
      <c r="K1556">
        <v>73</v>
      </c>
      <c r="L1556" t="s">
        <v>12222</v>
      </c>
      <c r="M1556" t="s">
        <v>12223</v>
      </c>
      <c r="N1556" t="s">
        <v>12224</v>
      </c>
      <c r="O1556" t="s">
        <v>12170</v>
      </c>
      <c r="P1556" t="s">
        <v>12225</v>
      </c>
      <c r="Q1556" t="s">
        <v>12226</v>
      </c>
      <c r="R1556" t="s">
        <v>12227</v>
      </c>
      <c r="S1556" s="2">
        <v>43644</v>
      </c>
      <c r="T1556">
        <v>0</v>
      </c>
      <c r="U1556" t="s">
        <v>12228</v>
      </c>
      <c r="V1556">
        <v>1</v>
      </c>
      <c r="W1556">
        <v>7</v>
      </c>
      <c r="X1556">
        <v>180435</v>
      </c>
      <c r="Y1556" t="s">
        <v>2571</v>
      </c>
      <c r="Z1556" t="s">
        <v>12226</v>
      </c>
      <c r="AA1556" t="s">
        <v>12171</v>
      </c>
      <c r="AB1556" t="s">
        <v>45</v>
      </c>
      <c r="AC1556" t="s">
        <v>12172</v>
      </c>
    </row>
    <row r="1557" spans="1:29">
      <c r="A1557" t="s">
        <v>6425</v>
      </c>
      <c r="B1557" s="1">
        <v>140004</v>
      </c>
      <c r="C1557" t="s">
        <v>1279</v>
      </c>
      <c r="D1557" t="s">
        <v>1851</v>
      </c>
      <c r="E1557" s="1">
        <v>-9682</v>
      </c>
      <c r="F1557" t="s">
        <v>135</v>
      </c>
      <c r="G1557" t="s">
        <v>2949</v>
      </c>
      <c r="H1557" t="s">
        <v>12229</v>
      </c>
      <c r="I1557">
        <v>4</v>
      </c>
      <c r="J1557" t="s">
        <v>8392</v>
      </c>
      <c r="K1557">
        <v>73</v>
      </c>
      <c r="L1557" t="s">
        <v>12230</v>
      </c>
      <c r="M1557" t="s">
        <v>12231</v>
      </c>
      <c r="N1557" t="s">
        <v>12232</v>
      </c>
      <c r="O1557" t="s">
        <v>12170</v>
      </c>
      <c r="P1557" t="s">
        <v>12233</v>
      </c>
      <c r="Q1557" t="s">
        <v>12234</v>
      </c>
      <c r="R1557" t="s">
        <v>12235</v>
      </c>
      <c r="S1557" s="2">
        <v>43791</v>
      </c>
      <c r="T1557">
        <v>0</v>
      </c>
      <c r="U1557" t="s">
        <v>12236</v>
      </c>
      <c r="V1557">
        <v>0</v>
      </c>
      <c r="W1557">
        <v>9</v>
      </c>
      <c r="X1557">
        <v>222997</v>
      </c>
      <c r="Y1557" t="s">
        <v>3052</v>
      </c>
      <c r="Z1557" t="s">
        <v>12234</v>
      </c>
      <c r="AA1557" t="s">
        <v>12171</v>
      </c>
      <c r="AB1557" t="s">
        <v>45</v>
      </c>
      <c r="AC1557" t="s">
        <v>12172</v>
      </c>
    </row>
    <row r="1558" spans="1:29">
      <c r="A1558" t="s">
        <v>1584</v>
      </c>
      <c r="B1558" s="1">
        <v>150047</v>
      </c>
      <c r="C1558" t="s">
        <v>212</v>
      </c>
      <c r="D1558" t="s">
        <v>1851</v>
      </c>
      <c r="E1558" t="s">
        <v>12237</v>
      </c>
      <c r="F1558" t="s">
        <v>1596</v>
      </c>
      <c r="G1558" t="s">
        <v>5629</v>
      </c>
      <c r="H1558" t="s">
        <v>2153</v>
      </c>
      <c r="I1558">
        <v>4</v>
      </c>
      <c r="J1558" t="s">
        <v>12238</v>
      </c>
      <c r="K1558">
        <v>70</v>
      </c>
      <c r="L1558" t="s">
        <v>12239</v>
      </c>
      <c r="M1558" t="s">
        <v>12240</v>
      </c>
      <c r="N1558" t="s">
        <v>6982</v>
      </c>
      <c r="O1558" t="s">
        <v>12170</v>
      </c>
      <c r="P1558" t="s">
        <v>12241</v>
      </c>
      <c r="Q1558" t="s">
        <v>12242</v>
      </c>
      <c r="R1558" t="s">
        <v>12243</v>
      </c>
      <c r="S1558" s="2">
        <v>43532</v>
      </c>
      <c r="T1558">
        <v>0</v>
      </c>
      <c r="U1558" t="s">
        <v>6986</v>
      </c>
      <c r="V1558">
        <v>1</v>
      </c>
      <c r="W1558">
        <v>8</v>
      </c>
      <c r="X1558">
        <v>218349</v>
      </c>
      <c r="Y1558" t="s">
        <v>12244</v>
      </c>
      <c r="Z1558" t="s">
        <v>12242</v>
      </c>
      <c r="AA1558" t="s">
        <v>12171</v>
      </c>
      <c r="AB1558" t="s">
        <v>45</v>
      </c>
      <c r="AC1558" t="s">
        <v>12172</v>
      </c>
    </row>
    <row r="1559" spans="1:29">
      <c r="A1559" t="s">
        <v>3312</v>
      </c>
      <c r="B1559" s="1">
        <v>155096</v>
      </c>
      <c r="C1559" t="s">
        <v>1396</v>
      </c>
      <c r="D1559" t="s">
        <v>1851</v>
      </c>
      <c r="E1559" s="1">
        <v>-6366</v>
      </c>
      <c r="F1559" t="s">
        <v>1528</v>
      </c>
      <c r="G1559" t="s">
        <v>5073</v>
      </c>
      <c r="H1559" t="s">
        <v>2003</v>
      </c>
      <c r="I1559">
        <v>4</v>
      </c>
      <c r="J1559" t="s">
        <v>2702</v>
      </c>
      <c r="K1559">
        <v>81</v>
      </c>
      <c r="L1559" t="s">
        <v>5074</v>
      </c>
      <c r="M1559" t="s">
        <v>5075</v>
      </c>
      <c r="N1559" t="s">
        <v>5076</v>
      </c>
      <c r="O1559" t="s">
        <v>12170</v>
      </c>
      <c r="P1559" t="s">
        <v>5077</v>
      </c>
      <c r="Q1559" t="s">
        <v>5078</v>
      </c>
      <c r="R1559" t="s">
        <v>5079</v>
      </c>
      <c r="S1559" s="2">
        <v>42972</v>
      </c>
      <c r="T1559">
        <v>0</v>
      </c>
      <c r="U1559" t="s">
        <v>5080</v>
      </c>
      <c r="V1559">
        <v>0</v>
      </c>
      <c r="W1559">
        <v>11</v>
      </c>
      <c r="X1559">
        <v>182707</v>
      </c>
      <c r="Y1559" t="s">
        <v>5081</v>
      </c>
      <c r="Z1559" t="s">
        <v>5078</v>
      </c>
      <c r="AA1559" t="s">
        <v>12171</v>
      </c>
      <c r="AB1559" t="s">
        <v>45</v>
      </c>
      <c r="AC1559" t="s">
        <v>12172</v>
      </c>
    </row>
    <row r="1560" spans="1:29">
      <c r="A1560" t="s">
        <v>4079</v>
      </c>
      <c r="B1560" s="1">
        <v>114929</v>
      </c>
      <c r="C1560" t="s">
        <v>489</v>
      </c>
      <c r="D1560" t="s">
        <v>1851</v>
      </c>
      <c r="E1560" s="1">
        <v>-5332</v>
      </c>
      <c r="F1560" t="s">
        <v>3055</v>
      </c>
      <c r="G1560" t="s">
        <v>424</v>
      </c>
      <c r="H1560" t="s">
        <v>4879</v>
      </c>
      <c r="I1560">
        <v>4</v>
      </c>
      <c r="J1560" t="s">
        <v>4170</v>
      </c>
      <c r="K1560">
        <v>70</v>
      </c>
      <c r="L1560" t="s">
        <v>12245</v>
      </c>
      <c r="M1560" t="s">
        <v>12246</v>
      </c>
      <c r="N1560" t="s">
        <v>12247</v>
      </c>
      <c r="O1560" t="s">
        <v>12170</v>
      </c>
      <c r="P1560" t="s">
        <v>12248</v>
      </c>
      <c r="Q1560" t="s">
        <v>12249</v>
      </c>
      <c r="R1560" t="s">
        <v>12250</v>
      </c>
      <c r="S1560" s="2">
        <v>45310</v>
      </c>
      <c r="T1560">
        <v>0</v>
      </c>
      <c r="U1560" t="s">
        <v>12251</v>
      </c>
      <c r="V1560">
        <v>0</v>
      </c>
      <c r="W1560">
        <v>9</v>
      </c>
      <c r="X1560">
        <v>120035</v>
      </c>
      <c r="Y1560" t="s">
        <v>757</v>
      </c>
      <c r="Z1560" t="s">
        <v>12249</v>
      </c>
      <c r="AA1560" t="s">
        <v>12171</v>
      </c>
      <c r="AB1560" t="s">
        <v>45</v>
      </c>
      <c r="AC1560" t="s">
        <v>12172</v>
      </c>
    </row>
    <row r="1561" spans="1:29">
      <c r="A1561" t="s">
        <v>4122</v>
      </c>
      <c r="B1561" s="1">
        <v>99952</v>
      </c>
      <c r="C1561" t="s">
        <v>4473</v>
      </c>
      <c r="D1561" t="s">
        <v>1851</v>
      </c>
      <c r="E1561" s="1">
        <v>-7359</v>
      </c>
      <c r="F1561" t="s">
        <v>593</v>
      </c>
      <c r="G1561" t="s">
        <v>1748</v>
      </c>
      <c r="H1561" t="s">
        <v>7220</v>
      </c>
      <c r="I1561">
        <v>4</v>
      </c>
      <c r="J1561" t="s">
        <v>528</v>
      </c>
      <c r="K1561">
        <v>77</v>
      </c>
      <c r="L1561" t="s">
        <v>12252</v>
      </c>
      <c r="M1561" t="s">
        <v>12253</v>
      </c>
      <c r="N1561" t="s">
        <v>4962</v>
      </c>
      <c r="O1561" t="s">
        <v>12170</v>
      </c>
      <c r="P1561" t="s">
        <v>12254</v>
      </c>
      <c r="Q1561" t="s">
        <v>12255</v>
      </c>
      <c r="R1561" t="s">
        <v>12256</v>
      </c>
      <c r="S1561" s="2">
        <v>43714</v>
      </c>
      <c r="T1561" t="s">
        <v>5052</v>
      </c>
      <c r="U1561" t="s">
        <v>4966</v>
      </c>
      <c r="V1561">
        <v>0</v>
      </c>
      <c r="W1561">
        <v>11</v>
      </c>
      <c r="X1561">
        <v>149547</v>
      </c>
      <c r="Y1561" t="s">
        <v>2043</v>
      </c>
      <c r="Z1561" t="s">
        <v>12255</v>
      </c>
      <c r="AA1561" t="s">
        <v>12171</v>
      </c>
      <c r="AB1561" t="s">
        <v>45</v>
      </c>
      <c r="AC1561" t="s">
        <v>12172</v>
      </c>
    </row>
    <row r="1562" spans="1:29">
      <c r="A1562" t="s">
        <v>47</v>
      </c>
      <c r="B1562" s="1">
        <v>130007</v>
      </c>
      <c r="C1562" t="s">
        <v>642</v>
      </c>
      <c r="D1562" t="s">
        <v>1851</v>
      </c>
      <c r="E1562" s="1">
        <v>-6323</v>
      </c>
      <c r="F1562" t="s">
        <v>160</v>
      </c>
      <c r="G1562" t="s">
        <v>1855</v>
      </c>
      <c r="H1562" t="s">
        <v>1856</v>
      </c>
      <c r="I1562">
        <v>4</v>
      </c>
      <c r="J1562" t="s">
        <v>1857</v>
      </c>
      <c r="K1562">
        <v>76</v>
      </c>
      <c r="L1562" t="s">
        <v>1858</v>
      </c>
      <c r="M1562" t="s">
        <v>1859</v>
      </c>
      <c r="N1562" t="s">
        <v>1860</v>
      </c>
      <c r="O1562" t="s">
        <v>12170</v>
      </c>
      <c r="P1562" t="s">
        <v>1861</v>
      </c>
      <c r="Q1562" t="s">
        <v>1862</v>
      </c>
      <c r="R1562" t="s">
        <v>1860</v>
      </c>
      <c r="S1562" s="2">
        <v>45583</v>
      </c>
      <c r="T1562">
        <v>0</v>
      </c>
      <c r="U1562" t="s">
        <v>1863</v>
      </c>
      <c r="V1562">
        <v>0</v>
      </c>
      <c r="W1562">
        <v>4</v>
      </c>
      <c r="X1562">
        <v>158667</v>
      </c>
      <c r="Y1562" t="s">
        <v>1864</v>
      </c>
      <c r="Z1562" t="s">
        <v>1862</v>
      </c>
      <c r="AA1562" t="s">
        <v>12171</v>
      </c>
      <c r="AB1562" t="s">
        <v>45</v>
      </c>
      <c r="AC1562" t="s">
        <v>12172</v>
      </c>
    </row>
    <row r="1563" spans="1:29">
      <c r="A1563" t="s">
        <v>2240</v>
      </c>
      <c r="B1563" s="1">
        <v>105989</v>
      </c>
      <c r="C1563" t="s">
        <v>1608</v>
      </c>
      <c r="D1563" t="s">
        <v>1851</v>
      </c>
      <c r="E1563" s="1">
        <v>-5662</v>
      </c>
      <c r="F1563" t="s">
        <v>408</v>
      </c>
      <c r="G1563" t="s">
        <v>2117</v>
      </c>
      <c r="H1563" t="s">
        <v>12257</v>
      </c>
      <c r="I1563">
        <v>4</v>
      </c>
      <c r="J1563" t="s">
        <v>189</v>
      </c>
      <c r="K1563">
        <v>71</v>
      </c>
      <c r="L1563" t="s">
        <v>12258</v>
      </c>
      <c r="M1563" t="s">
        <v>12259</v>
      </c>
      <c r="N1563" t="s">
        <v>12260</v>
      </c>
      <c r="O1563" t="s">
        <v>12170</v>
      </c>
      <c r="P1563" t="s">
        <v>12261</v>
      </c>
      <c r="Q1563" t="s">
        <v>12262</v>
      </c>
      <c r="R1563" t="s">
        <v>12263</v>
      </c>
      <c r="S1563" s="2">
        <v>42251</v>
      </c>
      <c r="T1563">
        <v>0</v>
      </c>
      <c r="U1563" t="s">
        <v>12264</v>
      </c>
      <c r="V1563">
        <v>0</v>
      </c>
      <c r="W1563">
        <v>4</v>
      </c>
      <c r="X1563">
        <v>349933</v>
      </c>
      <c r="Y1563" t="s">
        <v>3736</v>
      </c>
      <c r="Z1563" t="s">
        <v>12262</v>
      </c>
      <c r="AA1563" t="s">
        <v>12171</v>
      </c>
      <c r="AB1563" t="s">
        <v>45</v>
      </c>
      <c r="AC1563" t="s">
        <v>12172</v>
      </c>
    </row>
    <row r="1564" spans="1:29">
      <c r="A1564" t="s">
        <v>460</v>
      </c>
      <c r="B1564" s="1">
        <v>127978</v>
      </c>
      <c r="C1564" t="s">
        <v>1236</v>
      </c>
      <c r="D1564" t="s">
        <v>1851</v>
      </c>
      <c r="E1564" s="1">
        <v>-6604</v>
      </c>
      <c r="F1564" t="s">
        <v>12025</v>
      </c>
      <c r="G1564" t="s">
        <v>1849</v>
      </c>
      <c r="H1564" t="s">
        <v>12265</v>
      </c>
      <c r="I1564">
        <v>4</v>
      </c>
      <c r="J1564" t="s">
        <v>3055</v>
      </c>
      <c r="K1564">
        <v>73</v>
      </c>
      <c r="L1564" t="s">
        <v>12266</v>
      </c>
      <c r="M1564" t="s">
        <v>12267</v>
      </c>
      <c r="N1564" t="s">
        <v>12268</v>
      </c>
      <c r="O1564" t="s">
        <v>12170</v>
      </c>
      <c r="P1564" t="s">
        <v>12269</v>
      </c>
      <c r="Q1564" t="s">
        <v>12270</v>
      </c>
      <c r="R1564" t="s">
        <v>12271</v>
      </c>
      <c r="S1564" s="2">
        <v>42629</v>
      </c>
      <c r="T1564">
        <v>0</v>
      </c>
      <c r="U1564" t="s">
        <v>12272</v>
      </c>
      <c r="V1564">
        <v>1</v>
      </c>
      <c r="W1564">
        <v>5</v>
      </c>
      <c r="X1564">
        <v>246988</v>
      </c>
      <c r="Y1564" t="s">
        <v>477</v>
      </c>
      <c r="Z1564" t="s">
        <v>12270</v>
      </c>
      <c r="AA1564" t="s">
        <v>12171</v>
      </c>
      <c r="AB1564" t="s">
        <v>45</v>
      </c>
      <c r="AC1564" t="s">
        <v>12172</v>
      </c>
    </row>
    <row r="1565" spans="1:29">
      <c r="A1565" t="s">
        <v>891</v>
      </c>
      <c r="B1565" s="1">
        <v>144991</v>
      </c>
      <c r="C1565" t="s">
        <v>4160</v>
      </c>
      <c r="D1565" t="s">
        <v>1851</v>
      </c>
      <c r="E1565" s="1">
        <v>-5181</v>
      </c>
      <c r="F1565" t="s">
        <v>8268</v>
      </c>
      <c r="G1565" t="s">
        <v>33</v>
      </c>
      <c r="H1565" t="s">
        <v>12273</v>
      </c>
      <c r="I1565">
        <v>4</v>
      </c>
      <c r="J1565" t="s">
        <v>6225</v>
      </c>
      <c r="K1565">
        <v>75</v>
      </c>
      <c r="L1565" t="s">
        <v>12274</v>
      </c>
      <c r="M1565" t="s">
        <v>12275</v>
      </c>
      <c r="N1565" t="s">
        <v>6999</v>
      </c>
      <c r="O1565" t="s">
        <v>12170</v>
      </c>
      <c r="P1565" t="s">
        <v>12276</v>
      </c>
      <c r="Q1565" t="s">
        <v>12277</v>
      </c>
      <c r="R1565" t="s">
        <v>12278</v>
      </c>
      <c r="S1565" s="2">
        <v>44022</v>
      </c>
      <c r="T1565">
        <v>0</v>
      </c>
      <c r="U1565" t="s">
        <v>7003</v>
      </c>
      <c r="V1565">
        <v>1</v>
      </c>
      <c r="W1565">
        <v>0</v>
      </c>
      <c r="X1565">
        <v>205485</v>
      </c>
      <c r="Y1565" t="s">
        <v>4896</v>
      </c>
      <c r="Z1565" t="s">
        <v>12277</v>
      </c>
      <c r="AA1565" t="s">
        <v>12171</v>
      </c>
      <c r="AB1565" t="s">
        <v>45</v>
      </c>
      <c r="AC1565" t="s">
        <v>12172</v>
      </c>
    </row>
    <row r="1566" spans="1:29">
      <c r="A1566" t="s">
        <v>3043</v>
      </c>
      <c r="B1566" s="1">
        <v>123013</v>
      </c>
      <c r="C1566" t="s">
        <v>3114</v>
      </c>
      <c r="D1566" t="s">
        <v>1851</v>
      </c>
      <c r="E1566" s="1">
        <v>-5412</v>
      </c>
      <c r="F1566" t="s">
        <v>743</v>
      </c>
      <c r="G1566" t="s">
        <v>278</v>
      </c>
      <c r="H1566" t="s">
        <v>4879</v>
      </c>
      <c r="I1566">
        <v>4</v>
      </c>
      <c r="J1566" t="s">
        <v>9388</v>
      </c>
      <c r="K1566">
        <v>78</v>
      </c>
      <c r="L1566" t="s">
        <v>12279</v>
      </c>
      <c r="M1566" t="s">
        <v>12280</v>
      </c>
      <c r="N1566" t="s">
        <v>12281</v>
      </c>
      <c r="O1566" t="s">
        <v>12170</v>
      </c>
      <c r="P1566" t="s">
        <v>12282</v>
      </c>
      <c r="Q1566" t="s">
        <v>12283</v>
      </c>
      <c r="R1566" t="s">
        <v>12284</v>
      </c>
      <c r="S1566" s="2">
        <v>45191</v>
      </c>
      <c r="T1566">
        <v>0</v>
      </c>
      <c r="U1566" t="s">
        <v>12285</v>
      </c>
      <c r="V1566">
        <v>0</v>
      </c>
      <c r="W1566">
        <v>7</v>
      </c>
      <c r="X1566">
        <v>144390</v>
      </c>
      <c r="Y1566" t="s">
        <v>10442</v>
      </c>
      <c r="Z1566" t="s">
        <v>12283</v>
      </c>
      <c r="AA1566" t="s">
        <v>12171</v>
      </c>
      <c r="AB1566" t="s">
        <v>45</v>
      </c>
      <c r="AC1566" t="s">
        <v>12172</v>
      </c>
    </row>
    <row r="1567" spans="1:29">
      <c r="A1567" t="s">
        <v>1338</v>
      </c>
      <c r="B1567" s="1">
        <v>120042</v>
      </c>
      <c r="C1567" t="s">
        <v>3888</v>
      </c>
      <c r="D1567" t="s">
        <v>1851</v>
      </c>
      <c r="E1567" s="1">
        <v>-3497</v>
      </c>
      <c r="F1567" t="s">
        <v>2856</v>
      </c>
      <c r="G1567" t="s">
        <v>1049</v>
      </c>
      <c r="H1567" t="s">
        <v>7220</v>
      </c>
      <c r="I1567">
        <v>4</v>
      </c>
      <c r="J1567" t="s">
        <v>7221</v>
      </c>
      <c r="K1567">
        <v>83</v>
      </c>
      <c r="L1567" t="s">
        <v>7222</v>
      </c>
      <c r="M1567" t="s">
        <v>7223</v>
      </c>
      <c r="N1567" t="s">
        <v>4962</v>
      </c>
      <c r="O1567" t="s">
        <v>12170</v>
      </c>
      <c r="P1567" t="s">
        <v>7224</v>
      </c>
      <c r="Q1567" t="s">
        <v>7225</v>
      </c>
      <c r="R1567" t="s">
        <v>7226</v>
      </c>
      <c r="S1567" s="2">
        <v>43714</v>
      </c>
      <c r="T1567" t="s">
        <v>7227</v>
      </c>
      <c r="U1567" t="s">
        <v>4966</v>
      </c>
      <c r="V1567">
        <v>1</v>
      </c>
      <c r="W1567">
        <v>0</v>
      </c>
      <c r="X1567">
        <v>215280</v>
      </c>
      <c r="Y1567" t="s">
        <v>375</v>
      </c>
      <c r="Z1567" t="s">
        <v>7225</v>
      </c>
      <c r="AA1567" t="s">
        <v>12171</v>
      </c>
      <c r="AB1567" t="s">
        <v>45</v>
      </c>
      <c r="AC1567" t="s">
        <v>12172</v>
      </c>
    </row>
    <row r="1568" spans="1:29">
      <c r="A1568" t="s">
        <v>290</v>
      </c>
      <c r="B1568" t="s">
        <v>12286</v>
      </c>
      <c r="C1568" t="s">
        <v>320</v>
      </c>
      <c r="D1568" t="s">
        <v>1851</v>
      </c>
      <c r="E1568" s="1">
        <v>-4987</v>
      </c>
      <c r="F1568" t="s">
        <v>2101</v>
      </c>
      <c r="G1568" t="s">
        <v>161</v>
      </c>
      <c r="H1568" t="s">
        <v>12287</v>
      </c>
      <c r="I1568">
        <v>4</v>
      </c>
      <c r="J1568" t="s">
        <v>2280</v>
      </c>
      <c r="K1568">
        <v>77</v>
      </c>
      <c r="L1568" t="s">
        <v>12288</v>
      </c>
      <c r="M1568" t="s">
        <v>12289</v>
      </c>
      <c r="N1568" t="s">
        <v>2503</v>
      </c>
      <c r="O1568" t="s">
        <v>12170</v>
      </c>
      <c r="P1568" t="s">
        <v>12290</v>
      </c>
      <c r="Q1568" t="s">
        <v>12291</v>
      </c>
      <c r="R1568">
        <v>16</v>
      </c>
      <c r="S1568" s="2">
        <v>44449</v>
      </c>
      <c r="T1568" t="s">
        <v>6529</v>
      </c>
      <c r="U1568" t="s">
        <v>2507</v>
      </c>
      <c r="V1568">
        <v>1</v>
      </c>
      <c r="W1568">
        <v>1</v>
      </c>
      <c r="X1568">
        <v>156040</v>
      </c>
      <c r="Y1568" t="s">
        <v>6049</v>
      </c>
      <c r="Z1568" t="s">
        <v>12291</v>
      </c>
      <c r="AA1568" t="s">
        <v>12171</v>
      </c>
      <c r="AB1568" t="s">
        <v>45</v>
      </c>
      <c r="AC1568" t="s">
        <v>12172</v>
      </c>
    </row>
    <row r="1569" spans="1:29">
      <c r="A1569" t="s">
        <v>2529</v>
      </c>
      <c r="B1569" s="1">
        <v>169949</v>
      </c>
      <c r="C1569" t="s">
        <v>1310</v>
      </c>
      <c r="D1569" t="s">
        <v>1851</v>
      </c>
      <c r="E1569" s="1">
        <v>-4856</v>
      </c>
      <c r="F1569" t="s">
        <v>593</v>
      </c>
      <c r="G1569" t="s">
        <v>2571</v>
      </c>
      <c r="H1569" t="s">
        <v>7220</v>
      </c>
      <c r="I1569">
        <v>4</v>
      </c>
      <c r="J1569" t="s">
        <v>4722</v>
      </c>
      <c r="K1569">
        <v>75</v>
      </c>
      <c r="L1569" t="s">
        <v>12292</v>
      </c>
      <c r="M1569" t="s">
        <v>12293</v>
      </c>
      <c r="N1569" t="s">
        <v>12294</v>
      </c>
      <c r="O1569" t="s">
        <v>12170</v>
      </c>
      <c r="P1569" t="s">
        <v>12295</v>
      </c>
      <c r="Q1569" t="s">
        <v>12296</v>
      </c>
      <c r="R1569" t="s">
        <v>12294</v>
      </c>
      <c r="S1569" s="2">
        <v>45030</v>
      </c>
      <c r="T1569">
        <v>0</v>
      </c>
      <c r="U1569" t="s">
        <v>12297</v>
      </c>
      <c r="V1569">
        <v>1</v>
      </c>
      <c r="W1569">
        <v>2</v>
      </c>
      <c r="X1569">
        <v>184013</v>
      </c>
      <c r="Y1569" t="s">
        <v>12298</v>
      </c>
      <c r="Z1569" t="s">
        <v>12296</v>
      </c>
      <c r="AA1569" t="s">
        <v>12171</v>
      </c>
      <c r="AB1569" t="s">
        <v>45</v>
      </c>
      <c r="AC1569" t="s">
        <v>12172</v>
      </c>
    </row>
    <row r="1570" spans="1:29">
      <c r="A1570" t="s">
        <v>1049</v>
      </c>
      <c r="B1570" s="1">
        <v>113535</v>
      </c>
      <c r="C1570" t="s">
        <v>1501</v>
      </c>
      <c r="D1570" t="s">
        <v>12299</v>
      </c>
      <c r="E1570" s="1">
        <v>-9054</v>
      </c>
      <c r="F1570" t="s">
        <v>10641</v>
      </c>
      <c r="G1570" t="s">
        <v>1906</v>
      </c>
      <c r="H1570" t="s">
        <v>12300</v>
      </c>
      <c r="I1570">
        <v>4</v>
      </c>
      <c r="J1570" t="s">
        <v>8408</v>
      </c>
      <c r="K1570">
        <v>74</v>
      </c>
      <c r="L1570" t="s">
        <v>12301</v>
      </c>
      <c r="M1570" t="s">
        <v>12302</v>
      </c>
      <c r="N1570" t="s">
        <v>12303</v>
      </c>
      <c r="O1570" t="s">
        <v>12304</v>
      </c>
      <c r="P1570" t="s">
        <v>12305</v>
      </c>
      <c r="Q1570" t="s">
        <v>12306</v>
      </c>
      <c r="R1570" t="s">
        <v>12307</v>
      </c>
      <c r="S1570" s="2">
        <v>36487</v>
      </c>
      <c r="T1570" t="s">
        <v>12308</v>
      </c>
      <c r="U1570" t="s">
        <v>12309</v>
      </c>
      <c r="V1570">
        <v>1</v>
      </c>
      <c r="W1570">
        <v>1</v>
      </c>
      <c r="X1570">
        <v>262240</v>
      </c>
      <c r="Y1570" t="s">
        <v>1870</v>
      </c>
      <c r="Z1570" t="s">
        <v>12306</v>
      </c>
      <c r="AA1570" t="s">
        <v>12310</v>
      </c>
      <c r="AB1570" t="s">
        <v>45</v>
      </c>
      <c r="AC1570" t="s">
        <v>12311</v>
      </c>
    </row>
    <row r="1571" spans="1:29">
      <c r="A1571" t="s">
        <v>1760</v>
      </c>
      <c r="B1571" s="1">
        <v>124709</v>
      </c>
      <c r="C1571" t="s">
        <v>5062</v>
      </c>
      <c r="D1571" t="s">
        <v>12299</v>
      </c>
      <c r="E1571" s="1">
        <v>-4686</v>
      </c>
      <c r="F1571" t="s">
        <v>135</v>
      </c>
      <c r="G1571" t="s">
        <v>2392</v>
      </c>
      <c r="H1571" t="s">
        <v>12312</v>
      </c>
      <c r="I1571">
        <v>4</v>
      </c>
      <c r="J1571" t="s">
        <v>281</v>
      </c>
      <c r="K1571">
        <v>69</v>
      </c>
      <c r="L1571" t="s">
        <v>12313</v>
      </c>
      <c r="M1571" t="s">
        <v>12314</v>
      </c>
      <c r="N1571" t="s">
        <v>12315</v>
      </c>
      <c r="O1571" t="s">
        <v>12304</v>
      </c>
      <c r="P1571" t="s">
        <v>12316</v>
      </c>
      <c r="Q1571" t="s">
        <v>12317</v>
      </c>
      <c r="R1571" t="s">
        <v>12318</v>
      </c>
      <c r="S1571" s="2">
        <v>42707</v>
      </c>
      <c r="T1571">
        <v>0</v>
      </c>
      <c r="U1571" t="s">
        <v>12319</v>
      </c>
      <c r="V1571">
        <v>0</v>
      </c>
      <c r="W1571">
        <v>0</v>
      </c>
      <c r="X1571">
        <v>192441</v>
      </c>
      <c r="Y1571" t="s">
        <v>2559</v>
      </c>
      <c r="Z1571" t="s">
        <v>12317</v>
      </c>
      <c r="AA1571" t="s">
        <v>12310</v>
      </c>
      <c r="AB1571" t="s">
        <v>45</v>
      </c>
      <c r="AC1571" t="s">
        <v>12311</v>
      </c>
    </row>
    <row r="1572" spans="1:29">
      <c r="A1572" t="s">
        <v>3132</v>
      </c>
      <c r="B1572" s="1">
        <v>136628</v>
      </c>
      <c r="C1572" t="s">
        <v>6212</v>
      </c>
      <c r="D1572" t="s">
        <v>12299</v>
      </c>
      <c r="E1572" s="1">
        <v>-5098</v>
      </c>
      <c r="F1572" t="s">
        <v>8057</v>
      </c>
      <c r="G1572" t="s">
        <v>878</v>
      </c>
      <c r="H1572" t="s">
        <v>9922</v>
      </c>
      <c r="I1572">
        <v>4</v>
      </c>
      <c r="J1572" t="s">
        <v>5394</v>
      </c>
      <c r="K1572">
        <v>71</v>
      </c>
      <c r="L1572" t="s">
        <v>9923</v>
      </c>
      <c r="M1572" t="s">
        <v>9924</v>
      </c>
      <c r="N1572" t="s">
        <v>9925</v>
      </c>
      <c r="O1572" t="s">
        <v>12304</v>
      </c>
      <c r="P1572" t="s">
        <v>9926</v>
      </c>
      <c r="Q1572" t="s">
        <v>9927</v>
      </c>
      <c r="R1572" t="s">
        <v>9928</v>
      </c>
      <c r="S1572" s="2">
        <v>31062</v>
      </c>
      <c r="T1572">
        <v>0</v>
      </c>
      <c r="U1572" t="s">
        <v>9929</v>
      </c>
      <c r="V1572">
        <v>1</v>
      </c>
      <c r="W1572">
        <v>1</v>
      </c>
      <c r="X1572">
        <v>242679</v>
      </c>
      <c r="Y1572" t="s">
        <v>2210</v>
      </c>
      <c r="Z1572" t="s">
        <v>9927</v>
      </c>
      <c r="AA1572" t="s">
        <v>12310</v>
      </c>
      <c r="AB1572" t="s">
        <v>45</v>
      </c>
      <c r="AC1572" t="s">
        <v>12311</v>
      </c>
    </row>
    <row r="1573" spans="1:29">
      <c r="A1573" t="s">
        <v>1855</v>
      </c>
      <c r="B1573" s="1">
        <v>133403</v>
      </c>
      <c r="C1573" t="s">
        <v>4575</v>
      </c>
      <c r="D1573" t="s">
        <v>12299</v>
      </c>
      <c r="E1573" s="1">
        <v>-6283</v>
      </c>
      <c r="F1573" t="s">
        <v>1643</v>
      </c>
      <c r="G1573" t="s">
        <v>686</v>
      </c>
      <c r="H1573" t="s">
        <v>12320</v>
      </c>
      <c r="I1573">
        <v>4</v>
      </c>
      <c r="J1573" t="s">
        <v>5922</v>
      </c>
      <c r="K1573">
        <v>70</v>
      </c>
      <c r="L1573" t="s">
        <v>12321</v>
      </c>
      <c r="M1573" t="s">
        <v>12322</v>
      </c>
      <c r="N1573" t="s">
        <v>12323</v>
      </c>
      <c r="O1573" t="s">
        <v>12304</v>
      </c>
      <c r="P1573" t="s">
        <v>12324</v>
      </c>
      <c r="Q1573" t="s">
        <v>12325</v>
      </c>
      <c r="R1573" t="s">
        <v>12326</v>
      </c>
      <c r="S1573" s="2">
        <v>45390</v>
      </c>
      <c r="T1573">
        <v>0</v>
      </c>
      <c r="U1573" t="s">
        <v>12327</v>
      </c>
      <c r="V1573">
        <v>1</v>
      </c>
      <c r="W1573">
        <v>0</v>
      </c>
      <c r="X1573">
        <v>233031</v>
      </c>
      <c r="Y1573" t="s">
        <v>202</v>
      </c>
      <c r="Z1573" t="s">
        <v>12325</v>
      </c>
      <c r="AA1573" t="s">
        <v>12310</v>
      </c>
      <c r="AB1573" t="s">
        <v>45</v>
      </c>
      <c r="AC1573" t="s">
        <v>12311</v>
      </c>
    </row>
    <row r="1574" spans="1:29">
      <c r="A1574" t="s">
        <v>1189</v>
      </c>
      <c r="B1574" s="1">
        <v>139009</v>
      </c>
      <c r="C1574" t="s">
        <v>1444</v>
      </c>
      <c r="D1574" t="s">
        <v>12299</v>
      </c>
      <c r="E1574" s="1">
        <v>-8384</v>
      </c>
      <c r="F1574" t="s">
        <v>211</v>
      </c>
      <c r="G1574" t="s">
        <v>2884</v>
      </c>
      <c r="H1574" t="s">
        <v>7249</v>
      </c>
      <c r="I1574">
        <v>4</v>
      </c>
      <c r="J1574" t="s">
        <v>295</v>
      </c>
      <c r="K1574">
        <v>69</v>
      </c>
      <c r="L1574" t="s">
        <v>12328</v>
      </c>
      <c r="M1574" t="s">
        <v>12329</v>
      </c>
      <c r="N1574" t="s">
        <v>12330</v>
      </c>
      <c r="O1574" t="s">
        <v>12304</v>
      </c>
      <c r="P1574" t="s">
        <v>12331</v>
      </c>
      <c r="Q1574" t="s">
        <v>12332</v>
      </c>
      <c r="R1574" t="s">
        <v>12333</v>
      </c>
      <c r="S1574" s="2">
        <v>44554</v>
      </c>
      <c r="T1574" t="s">
        <v>12334</v>
      </c>
      <c r="U1574" t="s">
        <v>12335</v>
      </c>
      <c r="V1574">
        <v>1</v>
      </c>
      <c r="W1574">
        <v>5</v>
      </c>
      <c r="X1574">
        <v>209947</v>
      </c>
      <c r="Y1574" t="s">
        <v>1917</v>
      </c>
      <c r="Z1574" t="s">
        <v>12332</v>
      </c>
      <c r="AA1574" t="s">
        <v>12310</v>
      </c>
      <c r="AB1574" t="s">
        <v>45</v>
      </c>
      <c r="AC1574" t="s">
        <v>12311</v>
      </c>
    </row>
    <row r="1575" spans="1:29">
      <c r="A1575" t="s">
        <v>2743</v>
      </c>
      <c r="B1575" s="1">
        <v>114019</v>
      </c>
      <c r="C1575" t="s">
        <v>3577</v>
      </c>
      <c r="D1575" t="s">
        <v>12299</v>
      </c>
      <c r="E1575" s="1">
        <v>-7166</v>
      </c>
      <c r="F1575" t="s">
        <v>1959</v>
      </c>
      <c r="G1575" t="s">
        <v>1152</v>
      </c>
      <c r="H1575" t="s">
        <v>12336</v>
      </c>
      <c r="I1575">
        <v>4</v>
      </c>
      <c r="J1575" t="s">
        <v>1512</v>
      </c>
      <c r="K1575">
        <v>69</v>
      </c>
      <c r="L1575" t="s">
        <v>12337</v>
      </c>
      <c r="M1575" t="s">
        <v>12338</v>
      </c>
      <c r="N1575" t="s">
        <v>12339</v>
      </c>
      <c r="O1575" t="s">
        <v>12304</v>
      </c>
      <c r="P1575" t="s">
        <v>12340</v>
      </c>
      <c r="Q1575" t="s">
        <v>12341</v>
      </c>
      <c r="R1575" t="s">
        <v>12342</v>
      </c>
      <c r="S1575" s="2">
        <v>45536</v>
      </c>
      <c r="T1575">
        <v>0</v>
      </c>
      <c r="U1575" t="s">
        <v>12343</v>
      </c>
      <c r="V1575">
        <v>1</v>
      </c>
      <c r="W1575">
        <v>5</v>
      </c>
      <c r="X1575">
        <v>202516</v>
      </c>
      <c r="Y1575" t="s">
        <v>1528</v>
      </c>
      <c r="Z1575" t="s">
        <v>12341</v>
      </c>
      <c r="AA1575" t="s">
        <v>12310</v>
      </c>
      <c r="AB1575" t="s">
        <v>45</v>
      </c>
      <c r="AC1575" t="s">
        <v>12311</v>
      </c>
    </row>
    <row r="1576" spans="1:29">
      <c r="A1576" t="s">
        <v>824</v>
      </c>
      <c r="B1576" s="1">
        <v>134049</v>
      </c>
      <c r="C1576" t="s">
        <v>6948</v>
      </c>
      <c r="D1576" t="s">
        <v>12299</v>
      </c>
      <c r="E1576" s="1">
        <v>-8226</v>
      </c>
      <c r="F1576" t="s">
        <v>4253</v>
      </c>
      <c r="G1576" t="s">
        <v>75</v>
      </c>
      <c r="H1576" t="s">
        <v>12344</v>
      </c>
      <c r="I1576">
        <v>4</v>
      </c>
      <c r="J1576" t="s">
        <v>35</v>
      </c>
      <c r="K1576">
        <v>69</v>
      </c>
      <c r="L1576" t="s">
        <v>12345</v>
      </c>
      <c r="M1576" t="s">
        <v>12346</v>
      </c>
      <c r="N1576" t="s">
        <v>12347</v>
      </c>
      <c r="O1576" t="s">
        <v>12304</v>
      </c>
      <c r="P1576" t="s">
        <v>12348</v>
      </c>
      <c r="Q1576" t="s">
        <v>12349</v>
      </c>
      <c r="R1576" t="s">
        <v>12350</v>
      </c>
      <c r="S1576" s="2">
        <v>45375</v>
      </c>
      <c r="T1576">
        <v>0</v>
      </c>
      <c r="U1576" t="s">
        <v>12351</v>
      </c>
      <c r="V1576">
        <v>1</v>
      </c>
      <c r="W1576">
        <v>4</v>
      </c>
      <c r="X1576">
        <v>244187</v>
      </c>
      <c r="Y1576" t="s">
        <v>1338</v>
      </c>
      <c r="Z1576" t="s">
        <v>12349</v>
      </c>
      <c r="AA1576" t="s">
        <v>12310</v>
      </c>
      <c r="AB1576" t="s">
        <v>45</v>
      </c>
      <c r="AC1576" t="s">
        <v>12311</v>
      </c>
    </row>
    <row r="1577" spans="1:29">
      <c r="A1577" t="s">
        <v>319</v>
      </c>
      <c r="B1577" s="1">
        <v>130096</v>
      </c>
      <c r="C1577" t="s">
        <v>2134</v>
      </c>
      <c r="D1577" t="s">
        <v>12299</v>
      </c>
      <c r="E1577" s="1">
        <v>-5889</v>
      </c>
      <c r="F1577" t="s">
        <v>593</v>
      </c>
      <c r="G1577" t="s">
        <v>131</v>
      </c>
      <c r="H1577" t="s">
        <v>12352</v>
      </c>
      <c r="I1577">
        <v>4</v>
      </c>
      <c r="J1577" t="s">
        <v>7821</v>
      </c>
      <c r="K1577">
        <v>68</v>
      </c>
      <c r="L1577" t="s">
        <v>12353</v>
      </c>
      <c r="M1577" t="s">
        <v>12354</v>
      </c>
      <c r="N1577" t="s">
        <v>12355</v>
      </c>
      <c r="O1577" t="s">
        <v>12304</v>
      </c>
      <c r="P1577" t="s">
        <v>12356</v>
      </c>
      <c r="Q1577" t="s">
        <v>12357</v>
      </c>
      <c r="R1577" t="s">
        <v>12355</v>
      </c>
      <c r="S1577" s="2">
        <v>44603</v>
      </c>
      <c r="T1577">
        <v>0</v>
      </c>
      <c r="U1577" t="s">
        <v>12358</v>
      </c>
      <c r="V1577">
        <v>0</v>
      </c>
      <c r="W1577">
        <v>2</v>
      </c>
      <c r="X1577">
        <v>210928</v>
      </c>
      <c r="Y1577" t="s">
        <v>6120</v>
      </c>
      <c r="Z1577" t="s">
        <v>12357</v>
      </c>
      <c r="AA1577" t="s">
        <v>12310</v>
      </c>
      <c r="AB1577" t="s">
        <v>45</v>
      </c>
      <c r="AC1577" t="s">
        <v>12311</v>
      </c>
    </row>
    <row r="1578" spans="1:29">
      <c r="A1578" t="s">
        <v>461</v>
      </c>
      <c r="B1578" s="1">
        <v>85046</v>
      </c>
      <c r="C1578" t="s">
        <v>4326</v>
      </c>
      <c r="D1578" t="s">
        <v>12359</v>
      </c>
      <c r="E1578" s="1">
        <v>-5493</v>
      </c>
      <c r="F1578" t="s">
        <v>6556</v>
      </c>
      <c r="G1578" t="s">
        <v>2557</v>
      </c>
      <c r="H1578" t="s">
        <v>2907</v>
      </c>
      <c r="I1578">
        <v>4</v>
      </c>
      <c r="J1578" t="s">
        <v>1715</v>
      </c>
      <c r="K1578">
        <v>70</v>
      </c>
      <c r="L1578" t="s">
        <v>12360</v>
      </c>
      <c r="M1578" t="s">
        <v>12361</v>
      </c>
      <c r="N1578" t="s">
        <v>6712</v>
      </c>
      <c r="O1578" t="s">
        <v>12362</v>
      </c>
      <c r="P1578" t="s">
        <v>12363</v>
      </c>
      <c r="Q1578" t="s">
        <v>12364</v>
      </c>
      <c r="R1578" t="s">
        <v>12365</v>
      </c>
      <c r="S1578" s="2">
        <v>44687</v>
      </c>
      <c r="T1578" t="s">
        <v>12366</v>
      </c>
      <c r="U1578" t="s">
        <v>6717</v>
      </c>
      <c r="V1578">
        <v>1</v>
      </c>
      <c r="W1578">
        <v>10</v>
      </c>
      <c r="X1578">
        <v>180930</v>
      </c>
      <c r="Y1578" t="s">
        <v>1894</v>
      </c>
      <c r="Z1578" t="s">
        <v>12364</v>
      </c>
      <c r="AA1578" t="s">
        <v>12367</v>
      </c>
      <c r="AB1578" t="s">
        <v>45</v>
      </c>
      <c r="AC1578" t="s">
        <v>12368</v>
      </c>
    </row>
    <row r="1579" spans="1:29">
      <c r="A1579" t="s">
        <v>364</v>
      </c>
      <c r="B1579" s="1">
        <v>110827</v>
      </c>
      <c r="C1579" t="s">
        <v>1895</v>
      </c>
      <c r="D1579" t="s">
        <v>12359</v>
      </c>
      <c r="E1579" s="1">
        <v>-10944</v>
      </c>
      <c r="F1579" t="s">
        <v>2342</v>
      </c>
      <c r="G1579" t="s">
        <v>144</v>
      </c>
      <c r="H1579" t="s">
        <v>12369</v>
      </c>
      <c r="I1579">
        <v>4</v>
      </c>
      <c r="J1579" t="s">
        <v>1842</v>
      </c>
      <c r="K1579">
        <v>77</v>
      </c>
      <c r="L1579" t="s">
        <v>12370</v>
      </c>
      <c r="M1579" t="s">
        <v>12371</v>
      </c>
      <c r="N1579" t="s">
        <v>12372</v>
      </c>
      <c r="O1579" t="s">
        <v>12362</v>
      </c>
      <c r="P1579" t="s">
        <v>12373</v>
      </c>
      <c r="Q1579" t="s">
        <v>12374</v>
      </c>
      <c r="R1579" t="s">
        <v>12375</v>
      </c>
      <c r="S1579" s="2">
        <v>42657</v>
      </c>
      <c r="T1579" t="s">
        <v>12376</v>
      </c>
      <c r="U1579" t="s">
        <v>12377</v>
      </c>
      <c r="V1579">
        <v>1</v>
      </c>
      <c r="W1579">
        <v>5</v>
      </c>
      <c r="X1579">
        <v>215986</v>
      </c>
      <c r="Y1579" t="s">
        <v>3471</v>
      </c>
      <c r="Z1579" t="s">
        <v>12374</v>
      </c>
      <c r="AA1579" t="s">
        <v>12367</v>
      </c>
      <c r="AB1579" t="s">
        <v>45</v>
      </c>
      <c r="AC1579" t="s">
        <v>12368</v>
      </c>
    </row>
    <row r="1580" spans="1:29">
      <c r="A1580" t="s">
        <v>2960</v>
      </c>
      <c r="B1580" t="s">
        <v>12378</v>
      </c>
      <c r="C1580" t="s">
        <v>4065</v>
      </c>
      <c r="D1580" t="s">
        <v>12359</v>
      </c>
      <c r="E1580" s="1">
        <v>-6166</v>
      </c>
      <c r="F1580" t="s">
        <v>7792</v>
      </c>
      <c r="G1580" t="s">
        <v>3657</v>
      </c>
      <c r="H1580" t="s">
        <v>12379</v>
      </c>
      <c r="I1580">
        <v>4</v>
      </c>
      <c r="J1580" t="s">
        <v>6281</v>
      </c>
      <c r="K1580">
        <v>71</v>
      </c>
      <c r="L1580" t="s">
        <v>12380</v>
      </c>
      <c r="M1580" t="s">
        <v>12381</v>
      </c>
      <c r="N1580" t="s">
        <v>12382</v>
      </c>
      <c r="O1580" t="s">
        <v>12362</v>
      </c>
      <c r="P1580" t="s">
        <v>12383</v>
      </c>
      <c r="Q1580" t="s">
        <v>12384</v>
      </c>
      <c r="R1580" t="s">
        <v>12385</v>
      </c>
      <c r="S1580" s="2">
        <v>43259</v>
      </c>
      <c r="T1580">
        <v>0</v>
      </c>
      <c r="U1580" t="s">
        <v>12386</v>
      </c>
      <c r="V1580">
        <v>0</v>
      </c>
      <c r="W1580">
        <v>2</v>
      </c>
      <c r="X1580">
        <v>266016</v>
      </c>
      <c r="Y1580" t="s">
        <v>2571</v>
      </c>
      <c r="Z1580" t="s">
        <v>12384</v>
      </c>
      <c r="AA1580" t="s">
        <v>12367</v>
      </c>
      <c r="AB1580" t="s">
        <v>45</v>
      </c>
      <c r="AC1580" t="s">
        <v>12368</v>
      </c>
    </row>
    <row r="1581" spans="1:29">
      <c r="A1581" t="s">
        <v>4079</v>
      </c>
      <c r="B1581" s="1">
        <v>79989</v>
      </c>
      <c r="C1581" t="s">
        <v>2132</v>
      </c>
      <c r="D1581" t="s">
        <v>12359</v>
      </c>
      <c r="E1581" s="1">
        <v>-7168</v>
      </c>
      <c r="F1581" t="s">
        <v>5029</v>
      </c>
      <c r="G1581" t="s">
        <v>6513</v>
      </c>
      <c r="H1581" t="s">
        <v>12387</v>
      </c>
      <c r="I1581">
        <v>4</v>
      </c>
      <c r="J1581" t="s">
        <v>4261</v>
      </c>
      <c r="K1581">
        <v>69</v>
      </c>
      <c r="L1581" t="s">
        <v>12388</v>
      </c>
      <c r="M1581" t="s">
        <v>12389</v>
      </c>
      <c r="N1581" t="s">
        <v>12390</v>
      </c>
      <c r="O1581" t="s">
        <v>12362</v>
      </c>
      <c r="P1581" t="s">
        <v>12391</v>
      </c>
      <c r="Q1581" t="s">
        <v>12392</v>
      </c>
      <c r="R1581" t="s">
        <v>12393</v>
      </c>
      <c r="S1581" s="2">
        <v>40504</v>
      </c>
      <c r="T1581">
        <v>0</v>
      </c>
      <c r="U1581" t="s">
        <v>12394</v>
      </c>
      <c r="V1581">
        <v>1</v>
      </c>
      <c r="W1581">
        <v>3</v>
      </c>
      <c r="X1581">
        <v>189867</v>
      </c>
      <c r="Y1581" t="s">
        <v>786</v>
      </c>
      <c r="Z1581" t="s">
        <v>12392</v>
      </c>
      <c r="AA1581" t="s">
        <v>12367</v>
      </c>
      <c r="AB1581" t="s">
        <v>45</v>
      </c>
      <c r="AC1581" t="s">
        <v>12368</v>
      </c>
    </row>
    <row r="1582" spans="1:29">
      <c r="A1582" t="s">
        <v>1880</v>
      </c>
      <c r="B1582" t="s">
        <v>10524</v>
      </c>
      <c r="C1582" t="s">
        <v>461</v>
      </c>
      <c r="D1582" t="s">
        <v>9993</v>
      </c>
      <c r="E1582" t="s">
        <v>12395</v>
      </c>
      <c r="F1582" t="s">
        <v>61</v>
      </c>
      <c r="G1582" t="s">
        <v>1264</v>
      </c>
      <c r="H1582" t="s">
        <v>12396</v>
      </c>
      <c r="I1582">
        <v>4</v>
      </c>
      <c r="J1582" t="s">
        <v>564</v>
      </c>
      <c r="K1582">
        <v>76</v>
      </c>
      <c r="L1582" t="s">
        <v>12397</v>
      </c>
      <c r="M1582" t="s">
        <v>12398</v>
      </c>
      <c r="N1582" t="s">
        <v>12399</v>
      </c>
      <c r="O1582" t="s">
        <v>12400</v>
      </c>
      <c r="P1582" t="s">
        <v>12401</v>
      </c>
      <c r="Q1582" t="s">
        <v>12402</v>
      </c>
      <c r="R1582" t="s">
        <v>12399</v>
      </c>
      <c r="S1582" s="2">
        <v>45295</v>
      </c>
      <c r="T1582" t="s">
        <v>10458</v>
      </c>
      <c r="U1582" t="s">
        <v>12403</v>
      </c>
      <c r="V1582">
        <v>1</v>
      </c>
      <c r="W1582">
        <v>2</v>
      </c>
      <c r="X1582">
        <v>180923</v>
      </c>
      <c r="Y1582" t="s">
        <v>3949</v>
      </c>
      <c r="Z1582" t="s">
        <v>12402</v>
      </c>
      <c r="AA1582" t="s">
        <v>12404</v>
      </c>
      <c r="AB1582" t="s">
        <v>45</v>
      </c>
      <c r="AC1582" t="s">
        <v>12405</v>
      </c>
    </row>
    <row r="1583" spans="1:29">
      <c r="A1583" t="s">
        <v>3420</v>
      </c>
      <c r="B1583" t="s">
        <v>12406</v>
      </c>
      <c r="C1583" t="s">
        <v>3482</v>
      </c>
      <c r="D1583" t="s">
        <v>1851</v>
      </c>
      <c r="E1583" s="1">
        <v>-5682</v>
      </c>
      <c r="F1583" t="s">
        <v>10461</v>
      </c>
      <c r="G1583" t="s">
        <v>1165</v>
      </c>
      <c r="H1583" t="s">
        <v>12407</v>
      </c>
      <c r="I1583">
        <v>4</v>
      </c>
      <c r="J1583" t="s">
        <v>2174</v>
      </c>
      <c r="K1583">
        <v>74</v>
      </c>
      <c r="L1583" t="s">
        <v>12408</v>
      </c>
      <c r="M1583" t="s">
        <v>12409</v>
      </c>
      <c r="N1583" t="s">
        <v>12410</v>
      </c>
      <c r="O1583" t="s">
        <v>12411</v>
      </c>
      <c r="P1583" t="s">
        <v>12412</v>
      </c>
      <c r="Q1583" t="s">
        <v>12413</v>
      </c>
      <c r="R1583" t="s">
        <v>12410</v>
      </c>
      <c r="S1583" s="2">
        <v>45547</v>
      </c>
      <c r="T1583">
        <v>0</v>
      </c>
      <c r="U1583" t="s">
        <v>12414</v>
      </c>
      <c r="V1583">
        <v>0</v>
      </c>
      <c r="W1583">
        <v>1</v>
      </c>
      <c r="X1583">
        <v>197143</v>
      </c>
      <c r="Y1583" t="s">
        <v>79</v>
      </c>
      <c r="Z1583" t="s">
        <v>12413</v>
      </c>
      <c r="AA1583" t="s">
        <v>12415</v>
      </c>
      <c r="AB1583" t="s">
        <v>45</v>
      </c>
      <c r="AC1583" t="s">
        <v>12416</v>
      </c>
    </row>
    <row r="1584" spans="1:29">
      <c r="A1584" t="s">
        <v>3657</v>
      </c>
      <c r="B1584" s="1">
        <v>86638</v>
      </c>
      <c r="C1584" t="s">
        <v>1456</v>
      </c>
      <c r="D1584" t="s">
        <v>1851</v>
      </c>
      <c r="E1584" s="1">
        <v>-4472</v>
      </c>
      <c r="F1584" t="s">
        <v>146</v>
      </c>
      <c r="G1584" t="s">
        <v>2517</v>
      </c>
      <c r="H1584" t="s">
        <v>12417</v>
      </c>
      <c r="I1584">
        <v>4</v>
      </c>
      <c r="J1584" t="s">
        <v>2949</v>
      </c>
      <c r="K1584">
        <v>70</v>
      </c>
      <c r="L1584" t="s">
        <v>12418</v>
      </c>
      <c r="M1584" t="s">
        <v>12419</v>
      </c>
      <c r="N1584" t="s">
        <v>12420</v>
      </c>
      <c r="O1584" t="s">
        <v>12411</v>
      </c>
      <c r="P1584" t="s">
        <v>12421</v>
      </c>
      <c r="Q1584" t="s">
        <v>12422</v>
      </c>
      <c r="R1584" t="s">
        <v>12420</v>
      </c>
      <c r="S1584" s="2">
        <v>45583</v>
      </c>
      <c r="T1584">
        <v>0</v>
      </c>
      <c r="U1584" t="s">
        <v>12423</v>
      </c>
      <c r="V1584">
        <v>1</v>
      </c>
      <c r="W1584">
        <v>2</v>
      </c>
      <c r="X1584">
        <v>180345</v>
      </c>
      <c r="Y1584" t="s">
        <v>12424</v>
      </c>
      <c r="Z1584" t="s">
        <v>12422</v>
      </c>
      <c r="AA1584" t="s">
        <v>12415</v>
      </c>
      <c r="AB1584" t="s">
        <v>45</v>
      </c>
      <c r="AC1584" t="s">
        <v>12416</v>
      </c>
    </row>
    <row r="1585" spans="1:29">
      <c r="A1585" t="s">
        <v>1786</v>
      </c>
      <c r="B1585" s="1">
        <v>175917</v>
      </c>
      <c r="C1585" t="s">
        <v>289</v>
      </c>
      <c r="D1585" t="s">
        <v>1851</v>
      </c>
      <c r="E1585" s="1">
        <v>-5948</v>
      </c>
      <c r="F1585" t="s">
        <v>2580</v>
      </c>
      <c r="G1585" t="s">
        <v>3736</v>
      </c>
      <c r="H1585" t="s">
        <v>12407</v>
      </c>
      <c r="I1585">
        <v>4</v>
      </c>
      <c r="J1585" t="s">
        <v>452</v>
      </c>
      <c r="K1585">
        <v>68</v>
      </c>
      <c r="L1585" t="s">
        <v>12425</v>
      </c>
      <c r="M1585" t="s">
        <v>12426</v>
      </c>
      <c r="N1585" t="s">
        <v>12427</v>
      </c>
      <c r="O1585" t="s">
        <v>12411</v>
      </c>
      <c r="P1585" t="s">
        <v>12428</v>
      </c>
      <c r="Q1585" t="s">
        <v>12429</v>
      </c>
      <c r="R1585" t="s">
        <v>12430</v>
      </c>
      <c r="S1585" s="2">
        <v>45584</v>
      </c>
      <c r="T1585">
        <v>0</v>
      </c>
      <c r="U1585" t="s">
        <v>12431</v>
      </c>
      <c r="V1585">
        <v>1</v>
      </c>
      <c r="W1585">
        <v>9</v>
      </c>
      <c r="X1585">
        <v>175909</v>
      </c>
      <c r="Y1585" t="s">
        <v>7769</v>
      </c>
      <c r="Z1585" t="s">
        <v>12429</v>
      </c>
      <c r="AA1585" t="s">
        <v>12415</v>
      </c>
      <c r="AB1585" t="s">
        <v>45</v>
      </c>
      <c r="AC1585" t="s">
        <v>12416</v>
      </c>
    </row>
    <row r="1586" spans="1:29">
      <c r="A1586" t="s">
        <v>2251</v>
      </c>
      <c r="B1586" s="1">
        <v>180219</v>
      </c>
      <c r="C1586" t="s">
        <v>605</v>
      </c>
      <c r="D1586" t="s">
        <v>1851</v>
      </c>
      <c r="E1586" s="1">
        <v>-10048</v>
      </c>
      <c r="F1586" t="s">
        <v>9456</v>
      </c>
      <c r="G1586" t="s">
        <v>1163</v>
      </c>
      <c r="H1586" t="s">
        <v>12432</v>
      </c>
      <c r="I1586">
        <v>4</v>
      </c>
      <c r="J1586" t="s">
        <v>3896</v>
      </c>
      <c r="K1586">
        <v>68</v>
      </c>
      <c r="L1586" t="s">
        <v>12433</v>
      </c>
      <c r="M1586" t="s">
        <v>12434</v>
      </c>
      <c r="N1586" t="s">
        <v>12435</v>
      </c>
      <c r="O1586" t="s">
        <v>12411</v>
      </c>
      <c r="P1586" t="s">
        <v>12436</v>
      </c>
      <c r="Q1586" t="s">
        <v>12437</v>
      </c>
      <c r="R1586" t="s">
        <v>12435</v>
      </c>
      <c r="S1586" s="2">
        <v>44813</v>
      </c>
      <c r="T1586" t="s">
        <v>1433</v>
      </c>
      <c r="U1586" t="s">
        <v>12438</v>
      </c>
      <c r="V1586">
        <v>1</v>
      </c>
      <c r="W1586">
        <v>5</v>
      </c>
      <c r="X1586">
        <v>148188</v>
      </c>
      <c r="Y1586" t="s">
        <v>12439</v>
      </c>
      <c r="Z1586" t="s">
        <v>12437</v>
      </c>
      <c r="AA1586" t="s">
        <v>12415</v>
      </c>
      <c r="AB1586" t="s">
        <v>45</v>
      </c>
      <c r="AC1586" t="s">
        <v>12416</v>
      </c>
    </row>
    <row r="1587" spans="1:29">
      <c r="A1587" t="s">
        <v>3545</v>
      </c>
      <c r="B1587" s="1">
        <v>171285</v>
      </c>
      <c r="C1587" t="s">
        <v>310</v>
      </c>
      <c r="D1587" t="s">
        <v>1851</v>
      </c>
      <c r="E1587" s="1">
        <v>-5004</v>
      </c>
      <c r="F1587" t="s">
        <v>2884</v>
      </c>
      <c r="G1587" t="s">
        <v>6426</v>
      </c>
      <c r="H1587" t="s">
        <v>12440</v>
      </c>
      <c r="I1587">
        <v>4</v>
      </c>
      <c r="J1587" t="s">
        <v>452</v>
      </c>
      <c r="K1587">
        <v>75</v>
      </c>
      <c r="L1587" t="s">
        <v>12441</v>
      </c>
      <c r="M1587" t="s">
        <v>12442</v>
      </c>
      <c r="N1587" t="s">
        <v>12443</v>
      </c>
      <c r="O1587" t="s">
        <v>12411</v>
      </c>
      <c r="P1587" t="s">
        <v>12444</v>
      </c>
      <c r="Q1587" t="s">
        <v>12445</v>
      </c>
      <c r="R1587" t="s">
        <v>12443</v>
      </c>
      <c r="S1587" s="2">
        <v>45428</v>
      </c>
      <c r="T1587">
        <v>0</v>
      </c>
      <c r="U1587" t="s">
        <v>12446</v>
      </c>
      <c r="V1587">
        <v>0</v>
      </c>
      <c r="W1587">
        <v>11</v>
      </c>
      <c r="X1587">
        <v>227442</v>
      </c>
      <c r="Y1587" t="s">
        <v>785</v>
      </c>
      <c r="Z1587" t="s">
        <v>12445</v>
      </c>
      <c r="AA1587" t="s">
        <v>12415</v>
      </c>
      <c r="AB1587" t="s">
        <v>45</v>
      </c>
      <c r="AC1587" t="s">
        <v>12416</v>
      </c>
    </row>
    <row r="1588" spans="1:29">
      <c r="A1588" t="s">
        <v>2559</v>
      </c>
      <c r="B1588" t="s">
        <v>12447</v>
      </c>
      <c r="C1588" t="s">
        <v>798</v>
      </c>
      <c r="D1588" t="s">
        <v>1851</v>
      </c>
      <c r="E1588" s="1">
        <v>-11093</v>
      </c>
      <c r="F1588" t="s">
        <v>2099</v>
      </c>
      <c r="G1588" t="s">
        <v>446</v>
      </c>
      <c r="H1588" t="s">
        <v>12448</v>
      </c>
      <c r="I1588">
        <v>4</v>
      </c>
      <c r="J1588" t="s">
        <v>12449</v>
      </c>
      <c r="K1588">
        <v>71</v>
      </c>
      <c r="L1588" t="s">
        <v>12450</v>
      </c>
      <c r="M1588" t="s">
        <v>12451</v>
      </c>
      <c r="N1588" t="s">
        <v>12452</v>
      </c>
      <c r="O1588" t="s">
        <v>12411</v>
      </c>
      <c r="P1588" t="s">
        <v>12453</v>
      </c>
      <c r="Q1588" t="s">
        <v>12454</v>
      </c>
      <c r="R1588" t="s">
        <v>12452</v>
      </c>
      <c r="S1588" s="2">
        <v>45065</v>
      </c>
      <c r="T1588" t="s">
        <v>12455</v>
      </c>
      <c r="U1588" t="s">
        <v>12456</v>
      </c>
      <c r="V1588">
        <v>0</v>
      </c>
      <c r="W1588">
        <v>6</v>
      </c>
      <c r="X1588">
        <v>174730</v>
      </c>
      <c r="Y1588" t="s">
        <v>1797</v>
      </c>
      <c r="Z1588" t="s">
        <v>12454</v>
      </c>
      <c r="AA1588" t="s">
        <v>12415</v>
      </c>
      <c r="AB1588" t="s">
        <v>45</v>
      </c>
      <c r="AC1588" t="s">
        <v>12416</v>
      </c>
    </row>
    <row r="1589" spans="1:29">
      <c r="A1589" t="s">
        <v>1010</v>
      </c>
      <c r="B1589" s="1">
        <v>99958</v>
      </c>
      <c r="C1589" t="s">
        <v>4065</v>
      </c>
      <c r="D1589" t="s">
        <v>1851</v>
      </c>
      <c r="E1589" s="1">
        <v>-7763</v>
      </c>
      <c r="F1589" t="s">
        <v>1553</v>
      </c>
      <c r="G1589" t="s">
        <v>2377</v>
      </c>
      <c r="H1589" t="s">
        <v>12457</v>
      </c>
      <c r="I1589">
        <v>4</v>
      </c>
      <c r="J1589" t="s">
        <v>8933</v>
      </c>
      <c r="K1589">
        <v>73</v>
      </c>
      <c r="L1589" t="s">
        <v>12458</v>
      </c>
      <c r="M1589" t="s">
        <v>12459</v>
      </c>
      <c r="N1589" s="4">
        <v>0.40625</v>
      </c>
      <c r="O1589" t="s">
        <v>12411</v>
      </c>
      <c r="P1589" t="s">
        <v>12460</v>
      </c>
      <c r="Q1589" t="s">
        <v>12461</v>
      </c>
      <c r="R1589" s="4">
        <v>0.40625</v>
      </c>
      <c r="S1589" s="2">
        <v>44995</v>
      </c>
      <c r="T1589" t="s">
        <v>12462</v>
      </c>
      <c r="U1589" t="s">
        <v>12463</v>
      </c>
      <c r="V1589">
        <v>0</v>
      </c>
      <c r="W1589">
        <v>1</v>
      </c>
      <c r="X1589">
        <v>117606</v>
      </c>
      <c r="Y1589" t="s">
        <v>2125</v>
      </c>
      <c r="Z1589" t="s">
        <v>12461</v>
      </c>
      <c r="AA1589" t="s">
        <v>12415</v>
      </c>
      <c r="AB1589" t="s">
        <v>45</v>
      </c>
      <c r="AC1589" t="s">
        <v>12416</v>
      </c>
    </row>
    <row r="1590" spans="1:29">
      <c r="A1590" t="s">
        <v>2089</v>
      </c>
      <c r="B1590" s="1">
        <v>115974</v>
      </c>
      <c r="C1590" t="s">
        <v>5334</v>
      </c>
      <c r="D1590" t="s">
        <v>1851</v>
      </c>
      <c r="E1590" s="1">
        <v>-11374</v>
      </c>
      <c r="F1590" t="s">
        <v>2101</v>
      </c>
      <c r="G1590" t="s">
        <v>3544</v>
      </c>
      <c r="H1590" t="s">
        <v>12448</v>
      </c>
      <c r="I1590">
        <v>4</v>
      </c>
      <c r="J1590" t="s">
        <v>64</v>
      </c>
      <c r="K1590">
        <v>69</v>
      </c>
      <c r="L1590" t="s">
        <v>12464</v>
      </c>
      <c r="M1590" t="s">
        <v>12465</v>
      </c>
      <c r="N1590" t="s">
        <v>12452</v>
      </c>
      <c r="O1590" t="s">
        <v>12411</v>
      </c>
      <c r="P1590" t="s">
        <v>12466</v>
      </c>
      <c r="Q1590" t="s">
        <v>12467</v>
      </c>
      <c r="R1590" t="s">
        <v>2237</v>
      </c>
      <c r="S1590" s="2">
        <v>45065</v>
      </c>
      <c r="T1590" t="s">
        <v>8426</v>
      </c>
      <c r="U1590" t="s">
        <v>12456</v>
      </c>
      <c r="V1590">
        <v>0</v>
      </c>
      <c r="W1590">
        <v>5</v>
      </c>
      <c r="X1590">
        <v>139134</v>
      </c>
      <c r="Y1590" t="s">
        <v>2144</v>
      </c>
      <c r="Z1590" t="s">
        <v>12467</v>
      </c>
      <c r="AA1590" t="s">
        <v>12415</v>
      </c>
      <c r="AB1590" t="s">
        <v>45</v>
      </c>
      <c r="AC1590" t="s">
        <v>12416</v>
      </c>
    </row>
    <row r="1591" spans="1:29">
      <c r="A1591" t="s">
        <v>3094</v>
      </c>
      <c r="B1591" s="1">
        <v>89998</v>
      </c>
      <c r="C1591" t="s">
        <v>226</v>
      </c>
      <c r="D1591" t="s">
        <v>1851</v>
      </c>
      <c r="E1591" s="1">
        <v>-8939</v>
      </c>
      <c r="F1591" t="s">
        <v>2031</v>
      </c>
      <c r="G1591" t="s">
        <v>997</v>
      </c>
      <c r="H1591" t="s">
        <v>12448</v>
      </c>
      <c r="I1591">
        <v>4</v>
      </c>
      <c r="J1591" t="s">
        <v>4737</v>
      </c>
      <c r="K1591">
        <v>75</v>
      </c>
      <c r="L1591" t="s">
        <v>12468</v>
      </c>
      <c r="M1591" t="s">
        <v>12469</v>
      </c>
      <c r="N1591" t="s">
        <v>12452</v>
      </c>
      <c r="O1591" t="s">
        <v>12411</v>
      </c>
      <c r="P1591" t="s">
        <v>12470</v>
      </c>
      <c r="Q1591" t="s">
        <v>12471</v>
      </c>
      <c r="R1591" t="s">
        <v>12472</v>
      </c>
      <c r="S1591" s="2">
        <v>45065</v>
      </c>
      <c r="T1591" t="s">
        <v>12473</v>
      </c>
      <c r="U1591" t="s">
        <v>12456</v>
      </c>
      <c r="V1591">
        <v>0</v>
      </c>
      <c r="W1591">
        <v>4</v>
      </c>
      <c r="X1591">
        <v>183757</v>
      </c>
      <c r="Y1591" t="s">
        <v>1667</v>
      </c>
      <c r="Z1591" t="s">
        <v>12471</v>
      </c>
      <c r="AA1591" t="s">
        <v>12415</v>
      </c>
      <c r="AB1591" t="s">
        <v>45</v>
      </c>
      <c r="AC1591" t="s">
        <v>12416</v>
      </c>
    </row>
    <row r="1592" spans="1:29">
      <c r="A1592" t="s">
        <v>3633</v>
      </c>
      <c r="B1592" s="1">
        <v>88041</v>
      </c>
      <c r="C1592" t="s">
        <v>226</v>
      </c>
      <c r="D1592" t="s">
        <v>1851</v>
      </c>
      <c r="E1592" s="1">
        <v>-8163</v>
      </c>
      <c r="F1592" t="s">
        <v>1525</v>
      </c>
      <c r="G1592" t="s">
        <v>3949</v>
      </c>
      <c r="H1592" t="s">
        <v>12448</v>
      </c>
      <c r="I1592">
        <v>4</v>
      </c>
      <c r="J1592" t="s">
        <v>6673</v>
      </c>
      <c r="K1592">
        <v>70</v>
      </c>
      <c r="L1592" t="s">
        <v>12474</v>
      </c>
      <c r="M1592" t="s">
        <v>12475</v>
      </c>
      <c r="N1592" t="s">
        <v>12476</v>
      </c>
      <c r="O1592" t="s">
        <v>12411</v>
      </c>
      <c r="P1592" t="s">
        <v>12477</v>
      </c>
      <c r="Q1592" t="s">
        <v>12478</v>
      </c>
      <c r="R1592" t="s">
        <v>12476</v>
      </c>
      <c r="S1592" s="2">
        <v>45422</v>
      </c>
      <c r="T1592" t="s">
        <v>795</v>
      </c>
      <c r="U1592" t="s">
        <v>12479</v>
      </c>
      <c r="V1592">
        <v>0</v>
      </c>
      <c r="W1592">
        <v>7</v>
      </c>
      <c r="X1592">
        <v>196898</v>
      </c>
      <c r="Y1592" t="s">
        <v>3632</v>
      </c>
      <c r="Z1592" t="s">
        <v>12478</v>
      </c>
      <c r="AA1592" t="s">
        <v>12415</v>
      </c>
      <c r="AB1592" t="s">
        <v>45</v>
      </c>
      <c r="AC1592" t="s">
        <v>12416</v>
      </c>
    </row>
    <row r="1593" spans="1:29">
      <c r="A1593" t="s">
        <v>1893</v>
      </c>
      <c r="B1593" s="1">
        <v>100042</v>
      </c>
      <c r="C1593" t="s">
        <v>159</v>
      </c>
      <c r="D1593" t="s">
        <v>1851</v>
      </c>
      <c r="E1593" s="1">
        <v>-6113</v>
      </c>
      <c r="F1593" t="s">
        <v>2613</v>
      </c>
      <c r="G1593" t="s">
        <v>2570</v>
      </c>
      <c r="H1593" t="s">
        <v>12480</v>
      </c>
      <c r="I1593">
        <v>4</v>
      </c>
      <c r="J1593" t="s">
        <v>3965</v>
      </c>
      <c r="K1593">
        <v>68</v>
      </c>
      <c r="L1593" t="s">
        <v>12481</v>
      </c>
      <c r="M1593" t="s">
        <v>12482</v>
      </c>
      <c r="N1593" t="s">
        <v>12483</v>
      </c>
      <c r="O1593" t="s">
        <v>12411</v>
      </c>
      <c r="P1593" t="s">
        <v>12484</v>
      </c>
      <c r="Q1593" t="s">
        <v>12485</v>
      </c>
      <c r="R1593" t="s">
        <v>12486</v>
      </c>
      <c r="S1593" s="2">
        <v>45247</v>
      </c>
      <c r="T1593">
        <v>0</v>
      </c>
      <c r="U1593" t="s">
        <v>12487</v>
      </c>
      <c r="V1593">
        <v>0</v>
      </c>
      <c r="W1593">
        <v>10</v>
      </c>
      <c r="X1593">
        <v>161000</v>
      </c>
      <c r="Y1593" t="s">
        <v>11721</v>
      </c>
      <c r="Z1593" t="s">
        <v>12485</v>
      </c>
      <c r="AA1593" t="s">
        <v>12415</v>
      </c>
      <c r="AB1593" t="s">
        <v>45</v>
      </c>
      <c r="AC1593" t="s">
        <v>12416</v>
      </c>
    </row>
    <row r="1594" spans="1:29">
      <c r="A1594" t="s">
        <v>1750</v>
      </c>
      <c r="B1594" s="1">
        <v>85953</v>
      </c>
      <c r="C1594" t="s">
        <v>1881</v>
      </c>
      <c r="D1594" t="s">
        <v>1851</v>
      </c>
      <c r="E1594" t="s">
        <v>12488</v>
      </c>
      <c r="F1594" t="s">
        <v>486</v>
      </c>
      <c r="G1594" t="s">
        <v>1895</v>
      </c>
      <c r="H1594" t="s">
        <v>12448</v>
      </c>
      <c r="I1594">
        <v>4</v>
      </c>
      <c r="J1594" t="s">
        <v>868</v>
      </c>
      <c r="K1594">
        <v>72</v>
      </c>
      <c r="L1594" t="s">
        <v>12489</v>
      </c>
      <c r="M1594" t="s">
        <v>12490</v>
      </c>
      <c r="N1594" t="s">
        <v>12491</v>
      </c>
      <c r="O1594" t="s">
        <v>12411</v>
      </c>
      <c r="P1594" t="s">
        <v>12492</v>
      </c>
      <c r="Q1594" t="s">
        <v>12493</v>
      </c>
      <c r="R1594" t="s">
        <v>12494</v>
      </c>
      <c r="S1594" s="2">
        <v>45296</v>
      </c>
      <c r="T1594" t="s">
        <v>4624</v>
      </c>
      <c r="U1594" t="s">
        <v>12495</v>
      </c>
      <c r="V1594">
        <v>0</v>
      </c>
      <c r="W1594">
        <v>11</v>
      </c>
      <c r="X1594">
        <v>226933</v>
      </c>
      <c r="Y1594" t="s">
        <v>1951</v>
      </c>
      <c r="Z1594" t="s">
        <v>12493</v>
      </c>
      <c r="AA1594" t="s">
        <v>12415</v>
      </c>
      <c r="AB1594" t="s">
        <v>45</v>
      </c>
      <c r="AC1594" t="s">
        <v>12416</v>
      </c>
    </row>
    <row r="1595" spans="1:29">
      <c r="A1595" t="s">
        <v>2134</v>
      </c>
      <c r="B1595" s="1">
        <v>144926</v>
      </c>
      <c r="C1595" t="s">
        <v>621</v>
      </c>
      <c r="D1595" t="s">
        <v>1851</v>
      </c>
      <c r="E1595" s="1">
        <v>-7757</v>
      </c>
      <c r="F1595" t="s">
        <v>366</v>
      </c>
      <c r="G1595" t="s">
        <v>798</v>
      </c>
      <c r="H1595" t="s">
        <v>12448</v>
      </c>
      <c r="I1595">
        <v>4</v>
      </c>
      <c r="J1595" t="s">
        <v>710</v>
      </c>
      <c r="K1595">
        <v>75</v>
      </c>
      <c r="L1595" t="s">
        <v>12496</v>
      </c>
      <c r="M1595" t="s">
        <v>12497</v>
      </c>
      <c r="N1595" t="s">
        <v>12498</v>
      </c>
      <c r="O1595" t="s">
        <v>12411</v>
      </c>
      <c r="P1595" t="s">
        <v>12499</v>
      </c>
      <c r="Q1595" t="s">
        <v>12500</v>
      </c>
      <c r="R1595" t="s">
        <v>12498</v>
      </c>
      <c r="S1595" s="2">
        <v>45156</v>
      </c>
      <c r="T1595" t="s">
        <v>12501</v>
      </c>
      <c r="U1595" t="s">
        <v>12502</v>
      </c>
      <c r="V1595">
        <v>1</v>
      </c>
      <c r="W1595">
        <v>7</v>
      </c>
      <c r="X1595">
        <v>159222</v>
      </c>
      <c r="Y1595" t="s">
        <v>491</v>
      </c>
      <c r="Z1595" t="s">
        <v>12500</v>
      </c>
      <c r="AA1595" t="s">
        <v>12415</v>
      </c>
      <c r="AB1595" t="s">
        <v>45</v>
      </c>
      <c r="AC1595" t="s">
        <v>12416</v>
      </c>
    </row>
    <row r="1596" spans="1:29">
      <c r="A1596" t="s">
        <v>3312</v>
      </c>
      <c r="B1596" s="1">
        <v>139979</v>
      </c>
      <c r="C1596" t="s">
        <v>2030</v>
      </c>
      <c r="D1596" t="s">
        <v>1851</v>
      </c>
      <c r="E1596" t="s">
        <v>12503</v>
      </c>
      <c r="F1596" t="s">
        <v>160</v>
      </c>
      <c r="G1596" t="s">
        <v>1584</v>
      </c>
      <c r="H1596" t="s">
        <v>12417</v>
      </c>
      <c r="I1596">
        <v>4</v>
      </c>
      <c r="J1596" t="s">
        <v>1599</v>
      </c>
      <c r="K1596">
        <v>70</v>
      </c>
      <c r="L1596" t="s">
        <v>12504</v>
      </c>
      <c r="M1596" t="s">
        <v>12505</v>
      </c>
      <c r="N1596" t="s">
        <v>12506</v>
      </c>
      <c r="O1596" t="s">
        <v>12411</v>
      </c>
      <c r="P1596" t="s">
        <v>12507</v>
      </c>
      <c r="Q1596" t="s">
        <v>12508</v>
      </c>
      <c r="R1596" t="s">
        <v>12506</v>
      </c>
      <c r="S1596" s="2">
        <v>44890</v>
      </c>
      <c r="T1596">
        <v>0</v>
      </c>
      <c r="U1596" t="s">
        <v>12509</v>
      </c>
      <c r="V1596">
        <v>0</v>
      </c>
      <c r="W1596">
        <v>10</v>
      </c>
      <c r="X1596">
        <v>183429</v>
      </c>
      <c r="Y1596" t="s">
        <v>12510</v>
      </c>
      <c r="Z1596" t="s">
        <v>12508</v>
      </c>
      <c r="AA1596" t="s">
        <v>12415</v>
      </c>
      <c r="AB1596" t="s">
        <v>45</v>
      </c>
      <c r="AC1596" t="s">
        <v>12416</v>
      </c>
    </row>
    <row r="1597" spans="1:29">
      <c r="A1597" t="s">
        <v>2262</v>
      </c>
      <c r="B1597" s="1">
        <v>92969</v>
      </c>
      <c r="C1597" t="s">
        <v>1443</v>
      </c>
      <c r="D1597" t="s">
        <v>1851</v>
      </c>
      <c r="E1597" s="1">
        <v>-3292</v>
      </c>
      <c r="F1597" t="s">
        <v>942</v>
      </c>
      <c r="G1597" t="s">
        <v>1617</v>
      </c>
      <c r="H1597" t="s">
        <v>12511</v>
      </c>
      <c r="I1597">
        <v>4</v>
      </c>
      <c r="J1597" t="s">
        <v>6929</v>
      </c>
      <c r="K1597">
        <v>71</v>
      </c>
      <c r="L1597" t="s">
        <v>12512</v>
      </c>
      <c r="M1597" t="s">
        <v>12513</v>
      </c>
      <c r="N1597" t="s">
        <v>12514</v>
      </c>
      <c r="O1597" t="s">
        <v>12411</v>
      </c>
      <c r="P1597" t="s">
        <v>12515</v>
      </c>
      <c r="Q1597" t="s">
        <v>12516</v>
      </c>
      <c r="R1597" t="s">
        <v>12514</v>
      </c>
      <c r="S1597" s="2">
        <v>45513</v>
      </c>
      <c r="T1597" t="s">
        <v>619</v>
      </c>
      <c r="U1597" t="s">
        <v>12517</v>
      </c>
      <c r="V1597">
        <v>0</v>
      </c>
      <c r="W1597">
        <v>4</v>
      </c>
      <c r="X1597">
        <v>128098</v>
      </c>
      <c r="Y1597" t="s">
        <v>1347</v>
      </c>
      <c r="Z1597" t="s">
        <v>12516</v>
      </c>
      <c r="AA1597" t="s">
        <v>12415</v>
      </c>
      <c r="AB1597" t="s">
        <v>45</v>
      </c>
      <c r="AC1597" t="s">
        <v>12416</v>
      </c>
    </row>
    <row r="1598" spans="1:29">
      <c r="A1598" t="s">
        <v>997</v>
      </c>
      <c r="B1598" s="1">
        <v>83679</v>
      </c>
      <c r="C1598" t="s">
        <v>2813</v>
      </c>
      <c r="D1598" t="s">
        <v>1851</v>
      </c>
      <c r="E1598" s="1">
        <v>-9738</v>
      </c>
      <c r="F1598" t="s">
        <v>757</v>
      </c>
      <c r="G1598" t="s">
        <v>4813</v>
      </c>
      <c r="H1598" t="s">
        <v>12518</v>
      </c>
      <c r="I1598">
        <v>4</v>
      </c>
      <c r="J1598" t="s">
        <v>7750</v>
      </c>
      <c r="K1598">
        <v>75</v>
      </c>
      <c r="L1598" t="s">
        <v>12519</v>
      </c>
      <c r="M1598" t="s">
        <v>12520</v>
      </c>
      <c r="N1598" t="s">
        <v>12521</v>
      </c>
      <c r="O1598" t="s">
        <v>12411</v>
      </c>
      <c r="P1598" t="s">
        <v>12522</v>
      </c>
      <c r="Q1598" t="s">
        <v>12523</v>
      </c>
      <c r="R1598" t="s">
        <v>12521</v>
      </c>
      <c r="S1598" s="2">
        <v>45215</v>
      </c>
      <c r="T1598" t="s">
        <v>329</v>
      </c>
      <c r="U1598" t="s">
        <v>12524</v>
      </c>
      <c r="V1598">
        <v>1</v>
      </c>
      <c r="W1598">
        <v>1</v>
      </c>
      <c r="X1598">
        <v>263185</v>
      </c>
      <c r="Y1598" t="s">
        <v>1444</v>
      </c>
      <c r="Z1598" t="s">
        <v>12523</v>
      </c>
      <c r="AA1598" t="s">
        <v>12415</v>
      </c>
      <c r="AB1598" t="s">
        <v>45</v>
      </c>
      <c r="AC1598" t="s">
        <v>12416</v>
      </c>
    </row>
    <row r="1599" spans="1:29">
      <c r="A1599" t="s">
        <v>2740</v>
      </c>
      <c r="B1599" s="1">
        <v>89906</v>
      </c>
      <c r="C1599" t="s">
        <v>813</v>
      </c>
      <c r="D1599" t="s">
        <v>1851</v>
      </c>
      <c r="E1599" s="1">
        <v>-5348</v>
      </c>
      <c r="F1599" t="s">
        <v>2100</v>
      </c>
      <c r="G1599" t="s">
        <v>76</v>
      </c>
      <c r="H1599" t="s">
        <v>12448</v>
      </c>
      <c r="I1599">
        <v>4</v>
      </c>
      <c r="J1599" t="s">
        <v>3965</v>
      </c>
      <c r="K1599">
        <v>73</v>
      </c>
      <c r="L1599" t="s">
        <v>12525</v>
      </c>
      <c r="M1599" t="s">
        <v>12526</v>
      </c>
      <c r="N1599" t="s">
        <v>12527</v>
      </c>
      <c r="O1599" t="s">
        <v>12411</v>
      </c>
      <c r="P1599" t="s">
        <v>12528</v>
      </c>
      <c r="Q1599" t="s">
        <v>12529</v>
      </c>
      <c r="R1599" t="s">
        <v>12527</v>
      </c>
      <c r="S1599" s="2">
        <v>45380</v>
      </c>
      <c r="T1599">
        <v>0</v>
      </c>
      <c r="U1599" t="s">
        <v>12530</v>
      </c>
      <c r="V1599">
        <v>0</v>
      </c>
      <c r="W1599">
        <v>6</v>
      </c>
      <c r="X1599">
        <v>154667</v>
      </c>
      <c r="Y1599" t="s">
        <v>1702</v>
      </c>
      <c r="Z1599" t="s">
        <v>12529</v>
      </c>
      <c r="AA1599" t="s">
        <v>12415</v>
      </c>
      <c r="AB1599" t="s">
        <v>45</v>
      </c>
      <c r="AC1599" t="s">
        <v>12416</v>
      </c>
    </row>
    <row r="1600" spans="1:29">
      <c r="A1600" t="s">
        <v>2375</v>
      </c>
      <c r="B1600" s="1">
        <v>180098</v>
      </c>
      <c r="C1600" t="s">
        <v>771</v>
      </c>
      <c r="D1600" t="s">
        <v>1851</v>
      </c>
      <c r="E1600" s="1">
        <v>-3202</v>
      </c>
      <c r="F1600" t="s">
        <v>452</v>
      </c>
      <c r="G1600" t="s">
        <v>1667</v>
      </c>
      <c r="H1600" t="s">
        <v>4832</v>
      </c>
      <c r="I1600">
        <v>4</v>
      </c>
      <c r="J1600" t="s">
        <v>1202</v>
      </c>
      <c r="K1600">
        <v>85</v>
      </c>
      <c r="L1600" t="s">
        <v>4833</v>
      </c>
      <c r="M1600" t="s">
        <v>4834</v>
      </c>
      <c r="N1600" t="s">
        <v>4835</v>
      </c>
      <c r="O1600" t="s">
        <v>12411</v>
      </c>
      <c r="P1600" t="s">
        <v>4836</v>
      </c>
      <c r="Q1600" t="s">
        <v>4837</v>
      </c>
      <c r="R1600" t="s">
        <v>4835</v>
      </c>
      <c r="S1600" s="2">
        <v>45482</v>
      </c>
      <c r="T1600">
        <v>0</v>
      </c>
      <c r="U1600" t="s">
        <v>4838</v>
      </c>
      <c r="V1600">
        <v>0</v>
      </c>
      <c r="W1600">
        <v>4</v>
      </c>
      <c r="X1600">
        <v>190667</v>
      </c>
      <c r="Y1600" t="s">
        <v>4839</v>
      </c>
      <c r="Z1600" t="s">
        <v>4837</v>
      </c>
      <c r="AA1600" t="s">
        <v>12415</v>
      </c>
      <c r="AB1600" t="s">
        <v>45</v>
      </c>
      <c r="AC1600" t="s">
        <v>12416</v>
      </c>
    </row>
    <row r="1601" spans="1:29">
      <c r="A1601" t="s">
        <v>1131</v>
      </c>
      <c r="B1601" t="s">
        <v>5808</v>
      </c>
      <c r="C1601" t="s">
        <v>448</v>
      </c>
      <c r="D1601" t="s">
        <v>5796</v>
      </c>
      <c r="E1601" s="1">
        <v>-6502</v>
      </c>
      <c r="F1601" t="s">
        <v>929</v>
      </c>
      <c r="G1601" t="s">
        <v>2794</v>
      </c>
      <c r="H1601" t="s">
        <v>5809</v>
      </c>
      <c r="I1601">
        <v>4</v>
      </c>
      <c r="J1601" t="s">
        <v>280</v>
      </c>
      <c r="K1601">
        <v>68</v>
      </c>
      <c r="L1601" t="s">
        <v>5810</v>
      </c>
      <c r="M1601" t="s">
        <v>5811</v>
      </c>
      <c r="N1601" t="s">
        <v>5812</v>
      </c>
      <c r="O1601" t="s">
        <v>12531</v>
      </c>
      <c r="P1601" t="s">
        <v>5813</v>
      </c>
      <c r="Q1601" t="s">
        <v>5814</v>
      </c>
      <c r="R1601" t="s">
        <v>5815</v>
      </c>
      <c r="S1601" s="2">
        <v>38353</v>
      </c>
      <c r="T1601">
        <v>0</v>
      </c>
      <c r="U1601" t="s">
        <v>5816</v>
      </c>
      <c r="V1601">
        <v>0</v>
      </c>
      <c r="W1601">
        <v>7</v>
      </c>
      <c r="X1601">
        <v>213200</v>
      </c>
      <c r="Y1601" t="s">
        <v>5817</v>
      </c>
      <c r="Z1601" t="s">
        <v>5814</v>
      </c>
      <c r="AA1601" t="s">
        <v>12532</v>
      </c>
      <c r="AB1601" t="s">
        <v>45</v>
      </c>
      <c r="AC1601" t="s">
        <v>12533</v>
      </c>
    </row>
    <row r="1602" spans="1:29">
      <c r="A1602" t="s">
        <v>290</v>
      </c>
      <c r="B1602" s="1">
        <v>119992</v>
      </c>
      <c r="C1602" t="s">
        <v>291</v>
      </c>
      <c r="D1602" t="s">
        <v>4201</v>
      </c>
      <c r="E1602" s="1">
        <v>-8529</v>
      </c>
      <c r="F1602" t="s">
        <v>292</v>
      </c>
      <c r="G1602" t="s">
        <v>293</v>
      </c>
      <c r="H1602" t="s">
        <v>294</v>
      </c>
      <c r="I1602">
        <v>4</v>
      </c>
      <c r="J1602" t="s">
        <v>295</v>
      </c>
      <c r="K1602">
        <v>68</v>
      </c>
      <c r="L1602" t="s">
        <v>12534</v>
      </c>
      <c r="M1602" t="s">
        <v>12535</v>
      </c>
      <c r="N1602" t="s">
        <v>298</v>
      </c>
      <c r="O1602" t="s">
        <v>12536</v>
      </c>
      <c r="P1602" t="s">
        <v>12537</v>
      </c>
      <c r="Q1602" t="s">
        <v>12538</v>
      </c>
      <c r="R1602" t="s">
        <v>298</v>
      </c>
      <c r="S1602" s="2">
        <v>45450</v>
      </c>
      <c r="T1602" t="s">
        <v>301</v>
      </c>
      <c r="U1602" t="s">
        <v>12539</v>
      </c>
      <c r="V1602">
        <v>0</v>
      </c>
      <c r="W1602">
        <v>8</v>
      </c>
      <c r="X1602">
        <v>177599</v>
      </c>
      <c r="Y1602" t="s">
        <v>303</v>
      </c>
      <c r="Z1602" t="s">
        <v>12538</v>
      </c>
      <c r="AA1602" t="s">
        <v>12540</v>
      </c>
      <c r="AB1602" t="s">
        <v>45</v>
      </c>
      <c r="AC1602" t="s">
        <v>12541</v>
      </c>
    </row>
    <row r="1603" spans="1:29">
      <c r="A1603" t="s">
        <v>250</v>
      </c>
      <c r="B1603" s="1">
        <v>119996</v>
      </c>
      <c r="C1603" t="s">
        <v>3930</v>
      </c>
      <c r="D1603" t="s">
        <v>4201</v>
      </c>
      <c r="E1603" s="1">
        <v>-6751</v>
      </c>
      <c r="F1603" t="s">
        <v>64</v>
      </c>
      <c r="G1603" t="s">
        <v>1336</v>
      </c>
      <c r="H1603" t="s">
        <v>4906</v>
      </c>
      <c r="I1603">
        <v>4</v>
      </c>
      <c r="J1603" t="s">
        <v>4907</v>
      </c>
      <c r="K1603">
        <v>83</v>
      </c>
      <c r="L1603" t="s">
        <v>4908</v>
      </c>
      <c r="M1603" t="s">
        <v>4909</v>
      </c>
      <c r="N1603" t="s">
        <v>4910</v>
      </c>
      <c r="O1603" t="s">
        <v>12536</v>
      </c>
      <c r="P1603" t="s">
        <v>4911</v>
      </c>
      <c r="Q1603" t="s">
        <v>4912</v>
      </c>
      <c r="R1603" t="s">
        <v>4910</v>
      </c>
      <c r="S1603" s="2">
        <v>45492</v>
      </c>
      <c r="T1603" t="s">
        <v>4374</v>
      </c>
      <c r="U1603" t="s">
        <v>4913</v>
      </c>
      <c r="V1603">
        <v>0</v>
      </c>
      <c r="W1603">
        <v>11</v>
      </c>
      <c r="X1603">
        <v>214000</v>
      </c>
      <c r="Y1603" t="s">
        <v>4914</v>
      </c>
      <c r="Z1603" t="s">
        <v>4912</v>
      </c>
      <c r="AA1603" t="s">
        <v>12540</v>
      </c>
      <c r="AB1603" t="s">
        <v>45</v>
      </c>
      <c r="AC1603" t="s">
        <v>12541</v>
      </c>
    </row>
    <row r="1604" spans="1:29">
      <c r="A1604" t="s">
        <v>1287</v>
      </c>
      <c r="B1604" s="1">
        <v>119986</v>
      </c>
      <c r="C1604" t="s">
        <v>770</v>
      </c>
      <c r="D1604" t="s">
        <v>4201</v>
      </c>
      <c r="E1604" s="1">
        <v>-9638</v>
      </c>
      <c r="F1604" t="s">
        <v>11931</v>
      </c>
      <c r="G1604" t="s">
        <v>5177</v>
      </c>
      <c r="H1604" t="s">
        <v>12542</v>
      </c>
      <c r="I1604">
        <v>4</v>
      </c>
      <c r="J1604" t="s">
        <v>2250</v>
      </c>
      <c r="K1604">
        <v>75</v>
      </c>
      <c r="L1604" t="s">
        <v>12543</v>
      </c>
      <c r="M1604" t="s">
        <v>12544</v>
      </c>
      <c r="N1604" t="s">
        <v>12545</v>
      </c>
      <c r="O1604" t="s">
        <v>12536</v>
      </c>
      <c r="P1604" t="s">
        <v>12546</v>
      </c>
      <c r="Q1604" t="s">
        <v>12547</v>
      </c>
      <c r="R1604" t="s">
        <v>12545</v>
      </c>
      <c r="S1604" s="2">
        <v>45450</v>
      </c>
      <c r="T1604" t="s">
        <v>1252</v>
      </c>
      <c r="U1604" t="s">
        <v>12548</v>
      </c>
      <c r="V1604">
        <v>0</v>
      </c>
      <c r="W1604">
        <v>1</v>
      </c>
      <c r="X1604">
        <v>248000</v>
      </c>
      <c r="Y1604" t="s">
        <v>12549</v>
      </c>
      <c r="Z1604" t="s">
        <v>12547</v>
      </c>
      <c r="AA1604" t="s">
        <v>12540</v>
      </c>
      <c r="AB1604" t="s">
        <v>45</v>
      </c>
      <c r="AC1604" t="s">
        <v>12541</v>
      </c>
    </row>
    <row r="1605" spans="1:29">
      <c r="A1605" t="s">
        <v>642</v>
      </c>
      <c r="B1605" s="1">
        <v>122028</v>
      </c>
      <c r="C1605" t="s">
        <v>713</v>
      </c>
      <c r="D1605" t="s">
        <v>4201</v>
      </c>
      <c r="E1605" s="1">
        <v>-7821</v>
      </c>
      <c r="F1605" t="s">
        <v>1483</v>
      </c>
      <c r="G1605" t="s">
        <v>1812</v>
      </c>
      <c r="H1605" t="s">
        <v>12550</v>
      </c>
      <c r="I1605">
        <v>4</v>
      </c>
      <c r="J1605" t="s">
        <v>760</v>
      </c>
      <c r="K1605">
        <v>69</v>
      </c>
      <c r="L1605" t="s">
        <v>12551</v>
      </c>
      <c r="M1605" t="s">
        <v>12552</v>
      </c>
      <c r="N1605" t="s">
        <v>12553</v>
      </c>
      <c r="O1605" t="s">
        <v>12536</v>
      </c>
      <c r="P1605" t="s">
        <v>12554</v>
      </c>
      <c r="Q1605" t="s">
        <v>12555</v>
      </c>
      <c r="R1605" t="s">
        <v>12553</v>
      </c>
      <c r="S1605" s="2">
        <v>45534</v>
      </c>
      <c r="T1605" t="s">
        <v>6513</v>
      </c>
      <c r="U1605" t="s">
        <v>12556</v>
      </c>
      <c r="V1605">
        <v>1</v>
      </c>
      <c r="W1605">
        <v>1</v>
      </c>
      <c r="X1605">
        <v>184500</v>
      </c>
      <c r="Y1605" t="s">
        <v>710</v>
      </c>
      <c r="Z1605" t="s">
        <v>12555</v>
      </c>
      <c r="AA1605" t="s">
        <v>12540</v>
      </c>
      <c r="AB1605" t="s">
        <v>45</v>
      </c>
      <c r="AC1605" t="s">
        <v>12541</v>
      </c>
    </row>
    <row r="1606" spans="1:29">
      <c r="A1606" t="s">
        <v>1236</v>
      </c>
      <c r="B1606" s="1">
        <v>120036</v>
      </c>
      <c r="C1606" t="s">
        <v>2721</v>
      </c>
      <c r="D1606" t="s">
        <v>4201</v>
      </c>
      <c r="E1606" s="1">
        <v>-6048</v>
      </c>
      <c r="F1606" t="s">
        <v>331</v>
      </c>
      <c r="G1606" t="s">
        <v>1894</v>
      </c>
      <c r="H1606" t="s">
        <v>12557</v>
      </c>
      <c r="I1606">
        <v>4</v>
      </c>
      <c r="J1606" t="s">
        <v>3294</v>
      </c>
      <c r="K1606">
        <v>71</v>
      </c>
      <c r="L1606" t="s">
        <v>12558</v>
      </c>
      <c r="M1606" t="s">
        <v>12559</v>
      </c>
      <c r="N1606" t="s">
        <v>12560</v>
      </c>
      <c r="O1606" t="s">
        <v>12536</v>
      </c>
      <c r="P1606" t="s">
        <v>12561</v>
      </c>
      <c r="Q1606" t="s">
        <v>12562</v>
      </c>
      <c r="R1606" t="s">
        <v>12560</v>
      </c>
      <c r="S1606" s="2">
        <v>45555</v>
      </c>
      <c r="T1606" t="s">
        <v>2219</v>
      </c>
      <c r="U1606" t="s">
        <v>12563</v>
      </c>
      <c r="V1606">
        <v>0</v>
      </c>
      <c r="W1606">
        <v>9</v>
      </c>
      <c r="X1606">
        <v>140500</v>
      </c>
      <c r="Y1606" t="s">
        <v>3957</v>
      </c>
      <c r="Z1606" t="s">
        <v>12562</v>
      </c>
      <c r="AA1606" t="s">
        <v>12540</v>
      </c>
      <c r="AB1606" t="s">
        <v>45</v>
      </c>
      <c r="AC1606" t="s">
        <v>12541</v>
      </c>
    </row>
    <row r="1607" spans="1:29">
      <c r="A1607" t="s">
        <v>2631</v>
      </c>
      <c r="B1607" s="1">
        <v>122011</v>
      </c>
      <c r="C1607" t="s">
        <v>2251</v>
      </c>
      <c r="D1607" t="s">
        <v>4201</v>
      </c>
      <c r="E1607" s="1">
        <v>-6635</v>
      </c>
      <c r="F1607" t="s">
        <v>2776</v>
      </c>
      <c r="G1607" t="s">
        <v>110</v>
      </c>
      <c r="H1607" t="s">
        <v>5116</v>
      </c>
      <c r="I1607">
        <v>4</v>
      </c>
      <c r="J1607" t="s">
        <v>3087</v>
      </c>
      <c r="K1607">
        <v>79</v>
      </c>
      <c r="L1607" t="s">
        <v>5117</v>
      </c>
      <c r="M1607" t="s">
        <v>5118</v>
      </c>
      <c r="N1607" t="s">
        <v>5119</v>
      </c>
      <c r="O1607" t="s">
        <v>12536</v>
      </c>
      <c r="P1607" t="s">
        <v>5120</v>
      </c>
      <c r="Q1607" t="s">
        <v>5121</v>
      </c>
      <c r="R1607" t="s">
        <v>5122</v>
      </c>
      <c r="S1607" s="2">
        <v>45282</v>
      </c>
      <c r="T1607" t="s">
        <v>131</v>
      </c>
      <c r="U1607" t="s">
        <v>5123</v>
      </c>
      <c r="V1607">
        <v>0</v>
      </c>
      <c r="W1607">
        <v>10</v>
      </c>
      <c r="X1607">
        <v>208525</v>
      </c>
      <c r="Y1607" t="s">
        <v>1431</v>
      </c>
      <c r="Z1607" t="s">
        <v>5121</v>
      </c>
      <c r="AA1607" t="s">
        <v>12540</v>
      </c>
      <c r="AB1607" t="s">
        <v>45</v>
      </c>
      <c r="AC1607" t="s">
        <v>12541</v>
      </c>
    </row>
    <row r="1608" spans="1:29">
      <c r="A1608" t="s">
        <v>916</v>
      </c>
      <c r="B1608" s="1">
        <v>123993</v>
      </c>
      <c r="C1608" t="s">
        <v>250</v>
      </c>
      <c r="D1608" t="s">
        <v>4201</v>
      </c>
      <c r="E1608" s="1">
        <v>-6995</v>
      </c>
      <c r="F1608" t="s">
        <v>5083</v>
      </c>
      <c r="G1608" t="s">
        <v>190</v>
      </c>
      <c r="H1608" t="s">
        <v>12564</v>
      </c>
      <c r="I1608">
        <v>4</v>
      </c>
      <c r="J1608" t="s">
        <v>608</v>
      </c>
      <c r="K1608">
        <v>70</v>
      </c>
      <c r="L1608" t="s">
        <v>12565</v>
      </c>
      <c r="M1608" t="s">
        <v>12566</v>
      </c>
      <c r="N1608" t="s">
        <v>12567</v>
      </c>
      <c r="O1608" t="s">
        <v>12536</v>
      </c>
      <c r="P1608" t="s">
        <v>12568</v>
      </c>
      <c r="Q1608" t="s">
        <v>12569</v>
      </c>
      <c r="R1608" t="s">
        <v>12567</v>
      </c>
      <c r="S1608" s="2">
        <v>45273</v>
      </c>
      <c r="T1608" t="s">
        <v>12570</v>
      </c>
      <c r="U1608" t="s">
        <v>12571</v>
      </c>
      <c r="V1608">
        <v>0</v>
      </c>
      <c r="W1608">
        <v>10</v>
      </c>
      <c r="X1608">
        <v>197695</v>
      </c>
      <c r="Y1608" t="s">
        <v>7327</v>
      </c>
      <c r="Z1608" t="s">
        <v>12569</v>
      </c>
      <c r="AA1608" t="s">
        <v>12540</v>
      </c>
      <c r="AB1608" t="s">
        <v>45</v>
      </c>
      <c r="AC1608" t="s">
        <v>12541</v>
      </c>
    </row>
    <row r="1609" spans="1:29">
      <c r="A1609" t="s">
        <v>6513</v>
      </c>
      <c r="B1609" s="1">
        <v>123004</v>
      </c>
      <c r="C1609" t="s">
        <v>392</v>
      </c>
      <c r="D1609" t="s">
        <v>4201</v>
      </c>
      <c r="E1609" s="1">
        <v>-6132</v>
      </c>
      <c r="F1609" t="s">
        <v>135</v>
      </c>
      <c r="G1609" t="s">
        <v>2089</v>
      </c>
      <c r="H1609" t="s">
        <v>12572</v>
      </c>
      <c r="I1609">
        <v>4</v>
      </c>
      <c r="J1609" t="s">
        <v>3294</v>
      </c>
      <c r="K1609">
        <v>68</v>
      </c>
      <c r="L1609" t="s">
        <v>12573</v>
      </c>
      <c r="M1609" t="s">
        <v>12574</v>
      </c>
      <c r="N1609" t="s">
        <v>3938</v>
      </c>
      <c r="O1609" t="s">
        <v>12536</v>
      </c>
      <c r="P1609" t="s">
        <v>12575</v>
      </c>
      <c r="Q1609" t="s">
        <v>12576</v>
      </c>
      <c r="R1609" t="s">
        <v>3938</v>
      </c>
      <c r="S1609" s="2">
        <v>45100</v>
      </c>
      <c r="T1609" t="s">
        <v>4243</v>
      </c>
      <c r="U1609" t="s">
        <v>12577</v>
      </c>
      <c r="V1609">
        <v>0</v>
      </c>
      <c r="W1609">
        <v>1</v>
      </c>
      <c r="X1609">
        <v>201713</v>
      </c>
      <c r="Y1609" t="s">
        <v>4496</v>
      </c>
      <c r="Z1609" t="s">
        <v>12576</v>
      </c>
      <c r="AA1609" t="s">
        <v>12540</v>
      </c>
      <c r="AB1609" t="s">
        <v>45</v>
      </c>
      <c r="AC1609" t="s">
        <v>12541</v>
      </c>
    </row>
    <row r="1610" spans="1:29">
      <c r="A1610" t="s">
        <v>161</v>
      </c>
      <c r="B1610" s="1">
        <v>121843</v>
      </c>
      <c r="C1610" t="s">
        <v>293</v>
      </c>
      <c r="D1610" t="s">
        <v>4201</v>
      </c>
      <c r="E1610" s="1">
        <v>-11475</v>
      </c>
      <c r="F1610" t="s">
        <v>2580</v>
      </c>
      <c r="G1610" t="s">
        <v>606</v>
      </c>
      <c r="H1610" t="s">
        <v>12578</v>
      </c>
      <c r="I1610">
        <v>4</v>
      </c>
      <c r="J1610" t="s">
        <v>12579</v>
      </c>
      <c r="K1610">
        <v>70</v>
      </c>
      <c r="L1610" t="s">
        <v>12580</v>
      </c>
      <c r="M1610" t="s">
        <v>12581</v>
      </c>
      <c r="N1610" t="s">
        <v>12582</v>
      </c>
      <c r="O1610" t="s">
        <v>12536</v>
      </c>
      <c r="P1610" t="s">
        <v>12583</v>
      </c>
      <c r="Q1610" t="s">
        <v>12584</v>
      </c>
      <c r="R1610" t="s">
        <v>12585</v>
      </c>
      <c r="S1610" s="2">
        <v>45499</v>
      </c>
      <c r="T1610" t="s">
        <v>713</v>
      </c>
      <c r="U1610" t="s">
        <v>12586</v>
      </c>
      <c r="V1610">
        <v>0</v>
      </c>
      <c r="W1610">
        <v>5</v>
      </c>
      <c r="X1610">
        <v>253770</v>
      </c>
      <c r="Y1610" t="s">
        <v>2152</v>
      </c>
      <c r="Z1610" t="s">
        <v>12584</v>
      </c>
      <c r="AA1610" t="s">
        <v>12540</v>
      </c>
      <c r="AB1610" t="s">
        <v>45</v>
      </c>
      <c r="AC1610" t="s">
        <v>12541</v>
      </c>
    </row>
    <row r="1611" spans="1:29">
      <c r="A1611" t="s">
        <v>2125</v>
      </c>
      <c r="B1611" s="1">
        <v>120033</v>
      </c>
      <c r="C1611" t="s">
        <v>2509</v>
      </c>
      <c r="D1611" t="s">
        <v>4201</v>
      </c>
      <c r="E1611" s="1">
        <v>-8751</v>
      </c>
      <c r="F1611" t="s">
        <v>211</v>
      </c>
      <c r="G1611" t="s">
        <v>7327</v>
      </c>
      <c r="H1611" t="s">
        <v>10389</v>
      </c>
      <c r="I1611">
        <v>4</v>
      </c>
      <c r="J1611" t="s">
        <v>10390</v>
      </c>
      <c r="K1611">
        <v>74</v>
      </c>
      <c r="L1611" t="s">
        <v>10391</v>
      </c>
      <c r="M1611" t="s">
        <v>10392</v>
      </c>
      <c r="N1611" t="s">
        <v>10393</v>
      </c>
      <c r="O1611" t="s">
        <v>12536</v>
      </c>
      <c r="P1611" t="s">
        <v>10394</v>
      </c>
      <c r="Q1611" t="s">
        <v>10395</v>
      </c>
      <c r="R1611" t="s">
        <v>10396</v>
      </c>
      <c r="S1611" s="2">
        <v>45226</v>
      </c>
      <c r="T1611" t="s">
        <v>4814</v>
      </c>
      <c r="U1611" t="s">
        <v>10397</v>
      </c>
      <c r="V1611">
        <v>0</v>
      </c>
      <c r="W1611">
        <v>7</v>
      </c>
      <c r="X1611">
        <v>208135</v>
      </c>
      <c r="Y1611" t="s">
        <v>4814</v>
      </c>
      <c r="Z1611" t="s">
        <v>10395</v>
      </c>
      <c r="AA1611" t="s">
        <v>12540</v>
      </c>
      <c r="AB1611" t="s">
        <v>45</v>
      </c>
      <c r="AC1611" t="s">
        <v>12541</v>
      </c>
    </row>
    <row r="1612" spans="1:29">
      <c r="A1612" t="s">
        <v>5174</v>
      </c>
      <c r="B1612" t="s">
        <v>4668</v>
      </c>
      <c r="C1612" t="s">
        <v>62</v>
      </c>
      <c r="D1612" t="s">
        <v>4201</v>
      </c>
      <c r="E1612" s="1">
        <v>-8238</v>
      </c>
      <c r="F1612" t="s">
        <v>2844</v>
      </c>
      <c r="G1612" t="s">
        <v>1666</v>
      </c>
      <c r="H1612" t="s">
        <v>12587</v>
      </c>
      <c r="I1612">
        <v>4</v>
      </c>
      <c r="J1612" t="s">
        <v>110</v>
      </c>
      <c r="K1612">
        <v>69</v>
      </c>
      <c r="L1612" t="s">
        <v>12588</v>
      </c>
      <c r="M1612" t="s">
        <v>12589</v>
      </c>
      <c r="N1612" t="s">
        <v>12590</v>
      </c>
      <c r="O1612" t="s">
        <v>12536</v>
      </c>
      <c r="P1612" t="s">
        <v>12591</v>
      </c>
      <c r="Q1612" t="s">
        <v>12592</v>
      </c>
      <c r="R1612" t="s">
        <v>12593</v>
      </c>
      <c r="S1612" s="2">
        <v>45345</v>
      </c>
      <c r="T1612" t="s">
        <v>3347</v>
      </c>
      <c r="U1612" t="s">
        <v>12594</v>
      </c>
      <c r="V1612">
        <v>1</v>
      </c>
      <c r="W1612">
        <v>1</v>
      </c>
      <c r="X1612">
        <v>213768</v>
      </c>
      <c r="Y1612" t="s">
        <v>12595</v>
      </c>
      <c r="Z1612" t="s">
        <v>12592</v>
      </c>
      <c r="AA1612" t="s">
        <v>12540</v>
      </c>
      <c r="AB1612" t="s">
        <v>45</v>
      </c>
      <c r="AC1612" t="s">
        <v>12541</v>
      </c>
    </row>
    <row r="1613" spans="1:29">
      <c r="A1613" t="s">
        <v>8520</v>
      </c>
      <c r="B1613" s="1">
        <v>87587</v>
      </c>
      <c r="C1613" t="s">
        <v>1785</v>
      </c>
      <c r="D1613" t="s">
        <v>1813</v>
      </c>
      <c r="E1613" s="1">
        <v>-33766</v>
      </c>
      <c r="F1613" t="s">
        <v>757</v>
      </c>
      <c r="G1613" t="s">
        <v>526</v>
      </c>
      <c r="H1613" t="s">
        <v>12596</v>
      </c>
      <c r="I1613">
        <v>4</v>
      </c>
      <c r="J1613" t="s">
        <v>505</v>
      </c>
      <c r="K1613">
        <v>71</v>
      </c>
      <c r="L1613" t="s">
        <v>12597</v>
      </c>
      <c r="M1613" t="s">
        <v>12598</v>
      </c>
      <c r="N1613" t="s">
        <v>12599</v>
      </c>
      <c r="O1613" t="s">
        <v>12600</v>
      </c>
      <c r="P1613" t="s">
        <v>12601</v>
      </c>
      <c r="Q1613" t="s">
        <v>12602</v>
      </c>
      <c r="R1613" t="s">
        <v>12603</v>
      </c>
      <c r="S1613" s="2">
        <v>43987</v>
      </c>
      <c r="T1613" t="s">
        <v>1652</v>
      </c>
      <c r="U1613" t="s">
        <v>12604</v>
      </c>
      <c r="V1613">
        <v>0</v>
      </c>
      <c r="W1613">
        <v>8</v>
      </c>
      <c r="X1613">
        <v>64788</v>
      </c>
      <c r="Y1613" t="s">
        <v>9582</v>
      </c>
      <c r="Z1613" t="s">
        <v>12602</v>
      </c>
      <c r="AA1613" t="s">
        <v>12605</v>
      </c>
      <c r="AB1613" t="s">
        <v>45</v>
      </c>
      <c r="AC1613" t="s">
        <v>12606</v>
      </c>
    </row>
    <row r="1614" spans="1:29">
      <c r="A1614" t="s">
        <v>5045</v>
      </c>
      <c r="B1614" s="1">
        <v>132614</v>
      </c>
      <c r="C1614" t="s">
        <v>201</v>
      </c>
      <c r="D1614" t="s">
        <v>1813</v>
      </c>
      <c r="E1614" s="1">
        <v>-25398</v>
      </c>
      <c r="F1614" t="s">
        <v>10236</v>
      </c>
      <c r="G1614" t="s">
        <v>6164</v>
      </c>
      <c r="H1614" t="s">
        <v>12607</v>
      </c>
      <c r="I1614">
        <v>1</v>
      </c>
      <c r="J1614" t="s">
        <v>5872</v>
      </c>
      <c r="K1614">
        <v>70</v>
      </c>
      <c r="L1614" t="s">
        <v>12608</v>
      </c>
      <c r="M1614" t="s">
        <v>12609</v>
      </c>
      <c r="N1614" t="s">
        <v>12610</v>
      </c>
      <c r="O1614" t="s">
        <v>12600</v>
      </c>
      <c r="P1614" t="s">
        <v>12611</v>
      </c>
      <c r="Q1614" t="s">
        <v>12612</v>
      </c>
      <c r="R1614" t="s">
        <v>12613</v>
      </c>
      <c r="S1614" s="2">
        <v>37987</v>
      </c>
      <c r="T1614" t="s">
        <v>684</v>
      </c>
      <c r="U1614" t="s">
        <v>12614</v>
      </c>
      <c r="V1614">
        <v>1</v>
      </c>
      <c r="W1614">
        <v>8</v>
      </c>
      <c r="X1614">
        <v>357707</v>
      </c>
      <c r="Y1614" t="s">
        <v>1849</v>
      </c>
      <c r="Z1614" t="s">
        <v>12612</v>
      </c>
      <c r="AA1614" t="s">
        <v>12605</v>
      </c>
      <c r="AB1614" t="s">
        <v>45</v>
      </c>
      <c r="AC1614" t="s">
        <v>12606</v>
      </c>
    </row>
    <row r="1615" spans="1:29">
      <c r="A1615" t="s">
        <v>2795</v>
      </c>
      <c r="B1615" t="s">
        <v>12615</v>
      </c>
      <c r="C1615" t="s">
        <v>972</v>
      </c>
      <c r="D1615" t="s">
        <v>1813</v>
      </c>
      <c r="E1615" s="1">
        <v>-21134</v>
      </c>
      <c r="F1615" t="s">
        <v>189</v>
      </c>
      <c r="G1615" t="s">
        <v>144</v>
      </c>
      <c r="H1615" t="s">
        <v>12616</v>
      </c>
      <c r="I1615">
        <v>5</v>
      </c>
      <c r="J1615" t="s">
        <v>1269</v>
      </c>
      <c r="K1615">
        <v>71</v>
      </c>
      <c r="L1615" t="s">
        <v>12617</v>
      </c>
      <c r="M1615" t="s">
        <v>12618</v>
      </c>
      <c r="N1615" t="s">
        <v>12619</v>
      </c>
      <c r="O1615" t="s">
        <v>12600</v>
      </c>
      <c r="P1615" t="s">
        <v>12620</v>
      </c>
      <c r="Q1615" t="s">
        <v>12621</v>
      </c>
      <c r="R1615" t="s">
        <v>12619</v>
      </c>
      <c r="S1615" s="2">
        <v>44789</v>
      </c>
      <c r="T1615" t="s">
        <v>9354</v>
      </c>
      <c r="U1615" t="s">
        <v>12622</v>
      </c>
      <c r="V1615">
        <v>0</v>
      </c>
      <c r="W1615">
        <v>8</v>
      </c>
      <c r="X1615">
        <v>154500</v>
      </c>
      <c r="Y1615" t="s">
        <v>8659</v>
      </c>
      <c r="Z1615" t="s">
        <v>12621</v>
      </c>
      <c r="AA1615" t="s">
        <v>12605</v>
      </c>
      <c r="AB1615" t="s">
        <v>45</v>
      </c>
      <c r="AC1615" t="s">
        <v>12606</v>
      </c>
    </row>
    <row r="1616" spans="1:29">
      <c r="A1616" t="s">
        <v>3913</v>
      </c>
      <c r="B1616" s="1">
        <v>95217</v>
      </c>
      <c r="C1616" t="s">
        <v>1455</v>
      </c>
      <c r="D1616" t="s">
        <v>1813</v>
      </c>
      <c r="E1616" s="1">
        <v>-20707</v>
      </c>
      <c r="F1616" t="s">
        <v>437</v>
      </c>
      <c r="G1616" t="s">
        <v>701</v>
      </c>
      <c r="H1616" t="s">
        <v>12623</v>
      </c>
      <c r="I1616">
        <v>1</v>
      </c>
      <c r="J1616" t="s">
        <v>1494</v>
      </c>
      <c r="K1616">
        <v>70</v>
      </c>
      <c r="L1616" t="s">
        <v>12624</v>
      </c>
      <c r="M1616" t="s">
        <v>12625</v>
      </c>
      <c r="N1616" t="s">
        <v>12626</v>
      </c>
      <c r="O1616" t="s">
        <v>12600</v>
      </c>
      <c r="P1616" t="s">
        <v>12627</v>
      </c>
      <c r="Q1616" t="s">
        <v>12628</v>
      </c>
      <c r="R1616" t="s">
        <v>12629</v>
      </c>
      <c r="S1616" s="2">
        <v>44001</v>
      </c>
      <c r="T1616" t="s">
        <v>5527</v>
      </c>
      <c r="U1616" t="s">
        <v>12630</v>
      </c>
      <c r="V1616">
        <v>0</v>
      </c>
      <c r="W1616">
        <v>9</v>
      </c>
      <c r="X1616">
        <v>78413</v>
      </c>
      <c r="Y1616" t="s">
        <v>12631</v>
      </c>
      <c r="Z1616" t="s">
        <v>12628</v>
      </c>
      <c r="AA1616" t="s">
        <v>12605</v>
      </c>
      <c r="AB1616" t="s">
        <v>45</v>
      </c>
      <c r="AC1616" t="s">
        <v>12606</v>
      </c>
    </row>
    <row r="1617" spans="1:29">
      <c r="A1617" t="s">
        <v>2280</v>
      </c>
      <c r="B1617" s="1">
        <v>128563</v>
      </c>
      <c r="C1617" t="s">
        <v>2970</v>
      </c>
      <c r="D1617" t="s">
        <v>1813</v>
      </c>
      <c r="E1617" t="s">
        <v>12632</v>
      </c>
      <c r="F1617" t="s">
        <v>757</v>
      </c>
      <c r="G1617" t="s">
        <v>4606</v>
      </c>
      <c r="H1617" t="s">
        <v>12616</v>
      </c>
      <c r="I1617">
        <v>4</v>
      </c>
      <c r="J1617" t="s">
        <v>4125</v>
      </c>
      <c r="K1617">
        <v>72</v>
      </c>
      <c r="L1617" t="s">
        <v>12633</v>
      </c>
      <c r="M1617" t="s">
        <v>12634</v>
      </c>
      <c r="N1617" t="s">
        <v>12635</v>
      </c>
      <c r="O1617" t="s">
        <v>12600</v>
      </c>
      <c r="P1617" t="s">
        <v>12636</v>
      </c>
      <c r="Q1617" t="s">
        <v>12637</v>
      </c>
      <c r="R1617" t="s">
        <v>12635</v>
      </c>
      <c r="S1617" s="2">
        <v>45072</v>
      </c>
      <c r="T1617" t="s">
        <v>2518</v>
      </c>
      <c r="U1617" t="s">
        <v>12638</v>
      </c>
      <c r="V1617">
        <v>0</v>
      </c>
      <c r="W1617">
        <v>2</v>
      </c>
      <c r="X1617">
        <v>137547</v>
      </c>
      <c r="Y1617" t="s">
        <v>12639</v>
      </c>
      <c r="Z1617" t="s">
        <v>12637</v>
      </c>
      <c r="AA1617" t="s">
        <v>12605</v>
      </c>
      <c r="AB1617" t="s">
        <v>45</v>
      </c>
      <c r="AC1617" t="s">
        <v>12606</v>
      </c>
    </row>
    <row r="1618" spans="1:29">
      <c r="A1618" t="s">
        <v>6350</v>
      </c>
      <c r="B1618" s="1">
        <v>62881</v>
      </c>
      <c r="C1618" t="s">
        <v>2060</v>
      </c>
      <c r="D1618" t="s">
        <v>1813</v>
      </c>
      <c r="E1618" s="1">
        <v>-16806</v>
      </c>
      <c r="F1618" t="s">
        <v>8157</v>
      </c>
      <c r="G1618" t="s">
        <v>3146</v>
      </c>
      <c r="H1618" t="s">
        <v>12640</v>
      </c>
      <c r="I1618">
        <v>4</v>
      </c>
      <c r="J1618" t="s">
        <v>1269</v>
      </c>
      <c r="K1618">
        <v>71</v>
      </c>
      <c r="L1618" t="s">
        <v>12641</v>
      </c>
      <c r="M1618" t="s">
        <v>12642</v>
      </c>
      <c r="N1618" t="s">
        <v>12643</v>
      </c>
      <c r="O1618" t="s">
        <v>12600</v>
      </c>
      <c r="P1618" t="s">
        <v>12644</v>
      </c>
      <c r="Q1618" t="s">
        <v>12645</v>
      </c>
      <c r="R1618" t="s">
        <v>12646</v>
      </c>
      <c r="S1618" s="2">
        <v>40368</v>
      </c>
      <c r="T1618" t="s">
        <v>2401</v>
      </c>
      <c r="U1618" t="s">
        <v>12647</v>
      </c>
      <c r="V1618">
        <v>1</v>
      </c>
      <c r="W1618">
        <v>7</v>
      </c>
      <c r="X1618">
        <v>275556</v>
      </c>
      <c r="Y1618" t="s">
        <v>1800</v>
      </c>
      <c r="Z1618" t="s">
        <v>12645</v>
      </c>
      <c r="AA1618" t="s">
        <v>12605</v>
      </c>
      <c r="AB1618" t="s">
        <v>45</v>
      </c>
      <c r="AC1618" t="s">
        <v>12606</v>
      </c>
    </row>
    <row r="1619" spans="1:29">
      <c r="A1619" t="s">
        <v>2963</v>
      </c>
      <c r="B1619" s="1">
        <v>91038</v>
      </c>
      <c r="C1619" t="s">
        <v>902</v>
      </c>
      <c r="D1619" t="s">
        <v>4201</v>
      </c>
      <c r="E1619" s="1">
        <v>-5183</v>
      </c>
      <c r="F1619" t="s">
        <v>3163</v>
      </c>
      <c r="G1619" t="s">
        <v>3735</v>
      </c>
      <c r="H1619" t="s">
        <v>12648</v>
      </c>
      <c r="I1619">
        <v>4</v>
      </c>
      <c r="J1619" t="s">
        <v>9332</v>
      </c>
      <c r="K1619">
        <v>73</v>
      </c>
      <c r="L1619" t="s">
        <v>12649</v>
      </c>
      <c r="M1619" t="s">
        <v>12650</v>
      </c>
      <c r="N1619" t="s">
        <v>12651</v>
      </c>
      <c r="O1619" t="s">
        <v>12652</v>
      </c>
      <c r="P1619" t="s">
        <v>12653</v>
      </c>
      <c r="Q1619" t="s">
        <v>12654</v>
      </c>
      <c r="R1619" t="s">
        <v>12651</v>
      </c>
      <c r="S1619">
        <v>2010</v>
      </c>
      <c r="T1619" t="s">
        <v>9541</v>
      </c>
      <c r="U1619" t="s">
        <v>12655</v>
      </c>
      <c r="V1619">
        <v>0</v>
      </c>
      <c r="W1619">
        <v>9</v>
      </c>
      <c r="X1619">
        <v>258413</v>
      </c>
      <c r="Y1619" t="s">
        <v>12656</v>
      </c>
      <c r="Z1619" t="s">
        <v>12654</v>
      </c>
      <c r="AA1619" t="s">
        <v>12657</v>
      </c>
      <c r="AB1619" t="s">
        <v>45</v>
      </c>
      <c r="AC1619" t="s">
        <v>12658</v>
      </c>
    </row>
    <row r="1620" spans="1:29">
      <c r="A1620" t="s">
        <v>2013</v>
      </c>
      <c r="B1620" s="1">
        <v>82019</v>
      </c>
      <c r="C1620" t="s">
        <v>10021</v>
      </c>
      <c r="D1620" t="s">
        <v>4201</v>
      </c>
      <c r="E1620" s="1">
        <v>-20394</v>
      </c>
      <c r="F1620" t="s">
        <v>1643</v>
      </c>
      <c r="G1620" t="s">
        <v>757</v>
      </c>
      <c r="H1620" t="s">
        <v>12659</v>
      </c>
      <c r="I1620">
        <v>4</v>
      </c>
      <c r="J1620" t="s">
        <v>531</v>
      </c>
      <c r="K1620">
        <v>70</v>
      </c>
      <c r="L1620" t="s">
        <v>12660</v>
      </c>
      <c r="M1620" t="s">
        <v>12661</v>
      </c>
      <c r="N1620" t="s">
        <v>12662</v>
      </c>
      <c r="O1620" t="s">
        <v>12652</v>
      </c>
      <c r="P1620" t="s">
        <v>12663</v>
      </c>
      <c r="Q1620" t="s">
        <v>12664</v>
      </c>
      <c r="R1620" t="s">
        <v>12662</v>
      </c>
      <c r="S1620" s="2">
        <v>45100</v>
      </c>
      <c r="T1620" t="s">
        <v>238</v>
      </c>
      <c r="U1620" t="s">
        <v>12665</v>
      </c>
      <c r="V1620">
        <v>0</v>
      </c>
      <c r="W1620">
        <v>8</v>
      </c>
      <c r="X1620">
        <v>99672</v>
      </c>
      <c r="Y1620" t="s">
        <v>2211</v>
      </c>
      <c r="Z1620" t="s">
        <v>12664</v>
      </c>
      <c r="AA1620" t="s">
        <v>12657</v>
      </c>
      <c r="AB1620" t="s">
        <v>45</v>
      </c>
      <c r="AC1620" t="s">
        <v>12658</v>
      </c>
    </row>
    <row r="1621" spans="1:29">
      <c r="A1621" t="s">
        <v>5036</v>
      </c>
      <c r="B1621" s="1">
        <v>67238</v>
      </c>
      <c r="C1621" t="s">
        <v>2802</v>
      </c>
      <c r="D1621" t="s">
        <v>4201</v>
      </c>
      <c r="E1621" s="1">
        <v>-27338</v>
      </c>
      <c r="F1621" t="s">
        <v>3205</v>
      </c>
      <c r="G1621" t="s">
        <v>6587</v>
      </c>
      <c r="H1621" t="s">
        <v>12666</v>
      </c>
      <c r="I1621">
        <v>4</v>
      </c>
      <c r="J1621" t="s">
        <v>8170</v>
      </c>
      <c r="K1621">
        <v>70</v>
      </c>
      <c r="L1621" t="s">
        <v>12667</v>
      </c>
      <c r="M1621" t="s">
        <v>12668</v>
      </c>
      <c r="N1621" t="s">
        <v>12669</v>
      </c>
      <c r="O1621" t="s">
        <v>12652</v>
      </c>
      <c r="P1621" t="s">
        <v>12670</v>
      </c>
      <c r="Q1621" t="s">
        <v>12671</v>
      </c>
      <c r="R1621" t="s">
        <v>12669</v>
      </c>
      <c r="S1621" s="2">
        <v>44827</v>
      </c>
      <c r="T1621" t="s">
        <v>2710</v>
      </c>
      <c r="U1621" t="s">
        <v>12672</v>
      </c>
      <c r="V1621">
        <v>1</v>
      </c>
      <c r="W1621">
        <v>5</v>
      </c>
      <c r="X1621">
        <v>86320</v>
      </c>
      <c r="Y1621" t="s">
        <v>5611</v>
      </c>
      <c r="Z1621" t="s">
        <v>12671</v>
      </c>
      <c r="AA1621" t="s">
        <v>12657</v>
      </c>
      <c r="AB1621" t="s">
        <v>45</v>
      </c>
      <c r="AC1621" t="s">
        <v>12658</v>
      </c>
    </row>
    <row r="1622" spans="1:29">
      <c r="A1622" t="s">
        <v>376</v>
      </c>
      <c r="B1622" s="1">
        <v>117987</v>
      </c>
      <c r="C1622" t="s">
        <v>3085</v>
      </c>
      <c r="D1622" t="s">
        <v>4201</v>
      </c>
      <c r="E1622" s="1">
        <v>-7578</v>
      </c>
      <c r="F1622" t="s">
        <v>12673</v>
      </c>
      <c r="G1622" t="s">
        <v>435</v>
      </c>
      <c r="H1622" t="s">
        <v>12674</v>
      </c>
      <c r="I1622">
        <v>4</v>
      </c>
      <c r="J1622" t="s">
        <v>7064</v>
      </c>
      <c r="K1622">
        <v>69</v>
      </c>
      <c r="L1622" t="s">
        <v>12675</v>
      </c>
      <c r="M1622" t="s">
        <v>12676</v>
      </c>
      <c r="N1622" t="s">
        <v>12677</v>
      </c>
      <c r="O1622" t="s">
        <v>12652</v>
      </c>
      <c r="P1622" t="s">
        <v>12678</v>
      </c>
      <c r="Q1622" t="s">
        <v>12679</v>
      </c>
      <c r="R1622" t="s">
        <v>6564</v>
      </c>
      <c r="S1622">
        <v>2015</v>
      </c>
      <c r="T1622" t="s">
        <v>9354</v>
      </c>
      <c r="U1622" t="s">
        <v>12680</v>
      </c>
      <c r="V1622">
        <v>0</v>
      </c>
      <c r="W1622">
        <v>8</v>
      </c>
      <c r="X1622">
        <v>218384</v>
      </c>
      <c r="Y1622" t="s">
        <v>12681</v>
      </c>
      <c r="Z1622" t="s">
        <v>12679</v>
      </c>
      <c r="AA1622" t="s">
        <v>12657</v>
      </c>
      <c r="AB1622" t="s">
        <v>45</v>
      </c>
      <c r="AC1622" t="s">
        <v>12658</v>
      </c>
    </row>
    <row r="1623" spans="1:29">
      <c r="A1623" t="s">
        <v>1371</v>
      </c>
      <c r="B1623" s="1">
        <v>141931</v>
      </c>
      <c r="C1623" t="s">
        <v>1492</v>
      </c>
      <c r="D1623" t="s">
        <v>4201</v>
      </c>
      <c r="E1623" t="s">
        <v>12682</v>
      </c>
      <c r="F1623" t="s">
        <v>1643</v>
      </c>
      <c r="G1623" t="s">
        <v>1959</v>
      </c>
      <c r="H1623" t="s">
        <v>12683</v>
      </c>
      <c r="I1623">
        <v>4</v>
      </c>
      <c r="J1623" t="s">
        <v>645</v>
      </c>
      <c r="K1623">
        <v>74</v>
      </c>
      <c r="L1623" t="s">
        <v>12684</v>
      </c>
      <c r="M1623" t="s">
        <v>12685</v>
      </c>
      <c r="N1623" t="s">
        <v>12686</v>
      </c>
      <c r="O1623" t="s">
        <v>12652</v>
      </c>
      <c r="P1623" t="s">
        <v>12687</v>
      </c>
      <c r="Q1623" t="s">
        <v>12688</v>
      </c>
      <c r="R1623" t="s">
        <v>12689</v>
      </c>
      <c r="S1623" s="2">
        <v>43945</v>
      </c>
      <c r="T1623" t="s">
        <v>319</v>
      </c>
      <c r="U1623" t="s">
        <v>12690</v>
      </c>
      <c r="V1623">
        <v>1</v>
      </c>
      <c r="W1623">
        <v>2</v>
      </c>
      <c r="X1623">
        <v>277711</v>
      </c>
      <c r="Y1623" t="s">
        <v>10054</v>
      </c>
      <c r="Z1623" t="s">
        <v>12688</v>
      </c>
      <c r="AA1623" t="s">
        <v>12657</v>
      </c>
      <c r="AB1623" t="s">
        <v>45</v>
      </c>
      <c r="AC1623" t="s">
        <v>12658</v>
      </c>
    </row>
    <row r="1624" spans="1:29">
      <c r="A1624" t="s">
        <v>1949</v>
      </c>
      <c r="B1624" s="1">
        <v>170084</v>
      </c>
      <c r="C1624" t="s">
        <v>1025</v>
      </c>
      <c r="D1624" t="s">
        <v>4201</v>
      </c>
      <c r="E1624" s="1">
        <v>-8849</v>
      </c>
      <c r="F1624" t="s">
        <v>4565</v>
      </c>
      <c r="G1624" t="s">
        <v>409</v>
      </c>
      <c r="H1624" t="s">
        <v>12691</v>
      </c>
      <c r="I1624">
        <v>5</v>
      </c>
      <c r="J1624" t="s">
        <v>10841</v>
      </c>
      <c r="K1624">
        <v>68</v>
      </c>
      <c r="L1624" t="s">
        <v>12692</v>
      </c>
      <c r="M1624" t="s">
        <v>12693</v>
      </c>
      <c r="N1624" t="s">
        <v>12694</v>
      </c>
      <c r="O1624" t="s">
        <v>12652</v>
      </c>
      <c r="P1624" t="s">
        <v>12695</v>
      </c>
      <c r="Q1624" t="s">
        <v>12696</v>
      </c>
      <c r="R1624" t="s">
        <v>12697</v>
      </c>
      <c r="S1624" s="2">
        <v>41821</v>
      </c>
      <c r="T1624" t="s">
        <v>6765</v>
      </c>
      <c r="U1624" t="s">
        <v>12698</v>
      </c>
      <c r="V1624">
        <v>1</v>
      </c>
      <c r="W1624">
        <v>8</v>
      </c>
      <c r="X1624">
        <v>212939</v>
      </c>
      <c r="Y1624" t="s">
        <v>5257</v>
      </c>
      <c r="Z1624" t="s">
        <v>12696</v>
      </c>
      <c r="AA1624" t="s">
        <v>12657</v>
      </c>
      <c r="AB1624" t="s">
        <v>45</v>
      </c>
      <c r="AC1624" t="s">
        <v>12658</v>
      </c>
    </row>
    <row r="1625" spans="1:29">
      <c r="A1625" t="s">
        <v>4222</v>
      </c>
      <c r="B1625" s="1">
        <v>113861</v>
      </c>
      <c r="C1625" t="s">
        <v>420</v>
      </c>
      <c r="D1625" t="s">
        <v>4201</v>
      </c>
      <c r="E1625" s="1">
        <v>-9291</v>
      </c>
      <c r="F1625" t="s">
        <v>6720</v>
      </c>
      <c r="G1625" t="s">
        <v>3724</v>
      </c>
      <c r="H1625" t="s">
        <v>12699</v>
      </c>
      <c r="I1625">
        <v>4</v>
      </c>
      <c r="J1625" t="s">
        <v>3218</v>
      </c>
      <c r="K1625">
        <v>72</v>
      </c>
      <c r="L1625" t="s">
        <v>12700</v>
      </c>
      <c r="M1625" t="s">
        <v>12701</v>
      </c>
      <c r="N1625" t="s">
        <v>12702</v>
      </c>
      <c r="O1625" t="s">
        <v>12652</v>
      </c>
      <c r="P1625" t="s">
        <v>12703</v>
      </c>
      <c r="Q1625" t="s">
        <v>12704</v>
      </c>
      <c r="R1625" t="s">
        <v>12705</v>
      </c>
      <c r="S1625" s="2">
        <v>44672</v>
      </c>
      <c r="T1625" t="s">
        <v>2251</v>
      </c>
      <c r="U1625" t="s">
        <v>12706</v>
      </c>
      <c r="V1625">
        <v>1</v>
      </c>
      <c r="W1625">
        <v>2</v>
      </c>
      <c r="X1625">
        <v>69565</v>
      </c>
      <c r="Y1625" t="s">
        <v>1361</v>
      </c>
      <c r="Z1625" t="s">
        <v>12704</v>
      </c>
      <c r="AA1625" t="s">
        <v>12657</v>
      </c>
      <c r="AB1625" t="s">
        <v>45</v>
      </c>
      <c r="AC1625" t="s">
        <v>12658</v>
      </c>
    </row>
    <row r="1626" spans="1:29">
      <c r="A1626" t="s">
        <v>3095</v>
      </c>
      <c r="B1626" s="1">
        <v>106896</v>
      </c>
      <c r="C1626" t="s">
        <v>8493</v>
      </c>
      <c r="D1626" t="s">
        <v>4201</v>
      </c>
      <c r="E1626" s="1">
        <v>-13928</v>
      </c>
      <c r="F1626" t="s">
        <v>189</v>
      </c>
      <c r="G1626" t="s">
        <v>408</v>
      </c>
      <c r="H1626" t="s">
        <v>4513</v>
      </c>
      <c r="I1626">
        <v>4</v>
      </c>
      <c r="J1626" t="s">
        <v>3837</v>
      </c>
      <c r="K1626">
        <v>70</v>
      </c>
      <c r="L1626" t="s">
        <v>12707</v>
      </c>
      <c r="M1626" t="s">
        <v>12708</v>
      </c>
      <c r="N1626" t="s">
        <v>4516</v>
      </c>
      <c r="O1626" t="s">
        <v>12652</v>
      </c>
      <c r="P1626" t="s">
        <v>12709</v>
      </c>
      <c r="Q1626" t="s">
        <v>12710</v>
      </c>
      <c r="R1626" t="s">
        <v>12711</v>
      </c>
      <c r="S1626" s="2">
        <v>36962</v>
      </c>
      <c r="T1626" t="s">
        <v>3174</v>
      </c>
      <c r="U1626" t="s">
        <v>4520</v>
      </c>
      <c r="V1626">
        <v>0</v>
      </c>
      <c r="W1626">
        <v>9</v>
      </c>
      <c r="X1626">
        <v>345187</v>
      </c>
      <c r="Y1626" t="s">
        <v>5559</v>
      </c>
      <c r="Z1626" t="s">
        <v>12710</v>
      </c>
      <c r="AA1626" t="s">
        <v>12657</v>
      </c>
      <c r="AB1626" t="s">
        <v>45</v>
      </c>
      <c r="AC1626" t="s">
        <v>12658</v>
      </c>
    </row>
    <row r="1627" spans="1:29">
      <c r="A1627" t="s">
        <v>76</v>
      </c>
      <c r="B1627" s="1">
        <v>130032</v>
      </c>
      <c r="C1627" t="s">
        <v>360</v>
      </c>
      <c r="D1627" t="s">
        <v>4201</v>
      </c>
      <c r="E1627" s="1">
        <v>-7309</v>
      </c>
      <c r="F1627" t="s">
        <v>12712</v>
      </c>
      <c r="G1627" t="s">
        <v>2043</v>
      </c>
      <c r="H1627" t="s">
        <v>12674</v>
      </c>
      <c r="I1627">
        <v>4</v>
      </c>
      <c r="J1627" t="s">
        <v>2051</v>
      </c>
      <c r="K1627">
        <v>73</v>
      </c>
      <c r="L1627" t="s">
        <v>12713</v>
      </c>
      <c r="M1627" t="s">
        <v>12714</v>
      </c>
      <c r="N1627" t="s">
        <v>12715</v>
      </c>
      <c r="O1627" t="s">
        <v>12652</v>
      </c>
      <c r="P1627" t="s">
        <v>12716</v>
      </c>
      <c r="Q1627" t="s">
        <v>12717</v>
      </c>
      <c r="R1627" t="s">
        <v>12718</v>
      </c>
      <c r="S1627" s="2">
        <v>42073</v>
      </c>
      <c r="T1627" t="s">
        <v>2210</v>
      </c>
      <c r="U1627" t="s">
        <v>12719</v>
      </c>
      <c r="V1627">
        <v>0</v>
      </c>
      <c r="W1627">
        <v>9</v>
      </c>
      <c r="X1627">
        <v>222000</v>
      </c>
      <c r="Y1627" t="s">
        <v>2365</v>
      </c>
      <c r="Z1627" t="s">
        <v>12717</v>
      </c>
      <c r="AA1627" t="s">
        <v>12657</v>
      </c>
      <c r="AB1627" t="s">
        <v>45</v>
      </c>
      <c r="AC1627" t="s">
        <v>12658</v>
      </c>
    </row>
    <row r="1628" spans="1:29">
      <c r="A1628" t="s">
        <v>1737</v>
      </c>
      <c r="B1628" t="s">
        <v>5245</v>
      </c>
      <c r="C1628" t="s">
        <v>1825</v>
      </c>
      <c r="D1628" t="s">
        <v>1851</v>
      </c>
      <c r="E1628" t="s">
        <v>5246</v>
      </c>
      <c r="F1628" t="s">
        <v>2844</v>
      </c>
      <c r="G1628" t="s">
        <v>5247</v>
      </c>
      <c r="H1628" t="s">
        <v>2296</v>
      </c>
      <c r="I1628">
        <v>4</v>
      </c>
      <c r="J1628" t="s">
        <v>5248</v>
      </c>
      <c r="K1628">
        <v>77</v>
      </c>
      <c r="L1628" t="s">
        <v>5249</v>
      </c>
      <c r="M1628" t="s">
        <v>5250</v>
      </c>
      <c r="N1628" t="s">
        <v>5251</v>
      </c>
      <c r="O1628" t="s">
        <v>12720</v>
      </c>
      <c r="P1628" t="s">
        <v>5252</v>
      </c>
      <c r="Q1628" t="s">
        <v>5253</v>
      </c>
      <c r="R1628" t="s">
        <v>5251</v>
      </c>
      <c r="S1628" s="2">
        <v>44763</v>
      </c>
      <c r="T1628">
        <v>0</v>
      </c>
      <c r="U1628" t="s">
        <v>5254</v>
      </c>
      <c r="V1628">
        <v>1</v>
      </c>
      <c r="W1628">
        <v>6</v>
      </c>
      <c r="X1628">
        <v>97393</v>
      </c>
      <c r="Y1628" t="s">
        <v>3736</v>
      </c>
      <c r="Z1628" t="s">
        <v>5253</v>
      </c>
      <c r="AA1628" t="s">
        <v>12721</v>
      </c>
      <c r="AB1628" t="s">
        <v>45</v>
      </c>
      <c r="AC1628" t="s">
        <v>12722</v>
      </c>
    </row>
    <row r="1629" spans="1:29">
      <c r="A1629" t="s">
        <v>799</v>
      </c>
      <c r="B1629" t="s">
        <v>12723</v>
      </c>
      <c r="C1629" t="s">
        <v>48</v>
      </c>
      <c r="D1629" t="s">
        <v>1851</v>
      </c>
      <c r="E1629" s="1">
        <v>-11197</v>
      </c>
      <c r="F1629" t="s">
        <v>134</v>
      </c>
      <c r="G1629" t="s">
        <v>1724</v>
      </c>
      <c r="H1629" t="s">
        <v>2296</v>
      </c>
      <c r="I1629">
        <v>4</v>
      </c>
      <c r="J1629" t="s">
        <v>240</v>
      </c>
      <c r="K1629">
        <v>72</v>
      </c>
      <c r="L1629" t="s">
        <v>12724</v>
      </c>
      <c r="M1629" t="s">
        <v>12725</v>
      </c>
      <c r="N1629" t="s">
        <v>12726</v>
      </c>
      <c r="O1629" t="s">
        <v>12720</v>
      </c>
      <c r="P1629" t="s">
        <v>12727</v>
      </c>
      <c r="Q1629" t="s">
        <v>12728</v>
      </c>
      <c r="R1629" t="s">
        <v>12726</v>
      </c>
      <c r="S1629" s="2">
        <v>44910</v>
      </c>
      <c r="T1629">
        <v>0</v>
      </c>
      <c r="U1629" t="s">
        <v>12729</v>
      </c>
      <c r="V1629">
        <v>0</v>
      </c>
      <c r="W1629">
        <v>2</v>
      </c>
      <c r="X1629">
        <v>174247</v>
      </c>
      <c r="Y1629" t="s">
        <v>621</v>
      </c>
      <c r="Z1629" t="s">
        <v>12728</v>
      </c>
      <c r="AA1629" t="s">
        <v>12721</v>
      </c>
      <c r="AB1629" t="s">
        <v>45</v>
      </c>
      <c r="AC1629" t="s">
        <v>12722</v>
      </c>
    </row>
    <row r="1630" spans="1:29">
      <c r="A1630" t="s">
        <v>438</v>
      </c>
      <c r="B1630" s="1">
        <v>141849</v>
      </c>
      <c r="C1630" t="s">
        <v>10020</v>
      </c>
      <c r="D1630" t="s">
        <v>1851</v>
      </c>
      <c r="E1630" t="s">
        <v>12730</v>
      </c>
      <c r="F1630" t="s">
        <v>1483</v>
      </c>
      <c r="G1630" t="s">
        <v>1554</v>
      </c>
      <c r="H1630" t="s">
        <v>12731</v>
      </c>
      <c r="I1630">
        <v>4</v>
      </c>
      <c r="J1630" t="s">
        <v>621</v>
      </c>
      <c r="K1630">
        <v>69</v>
      </c>
      <c r="L1630" t="s">
        <v>12732</v>
      </c>
      <c r="M1630" t="s">
        <v>12733</v>
      </c>
      <c r="N1630" t="s">
        <v>12734</v>
      </c>
      <c r="O1630" t="s">
        <v>12720</v>
      </c>
      <c r="P1630" t="s">
        <v>12735</v>
      </c>
      <c r="Q1630" t="s">
        <v>12736</v>
      </c>
      <c r="R1630" t="s">
        <v>12734</v>
      </c>
      <c r="S1630" s="2">
        <v>44616</v>
      </c>
      <c r="T1630">
        <v>0</v>
      </c>
      <c r="U1630" t="s">
        <v>12737</v>
      </c>
      <c r="V1630">
        <v>1</v>
      </c>
      <c r="W1630">
        <v>1</v>
      </c>
      <c r="X1630">
        <v>108169</v>
      </c>
      <c r="Y1630" t="s">
        <v>4345</v>
      </c>
      <c r="Z1630" t="s">
        <v>12736</v>
      </c>
      <c r="AA1630" t="s">
        <v>12721</v>
      </c>
      <c r="AB1630" t="s">
        <v>45</v>
      </c>
      <c r="AC1630" t="s">
        <v>12722</v>
      </c>
    </row>
    <row r="1631" spans="1:29">
      <c r="A1631" t="s">
        <v>1163</v>
      </c>
      <c r="B1631" s="1">
        <v>140065</v>
      </c>
      <c r="C1631" t="s">
        <v>7081</v>
      </c>
      <c r="D1631" t="s">
        <v>1851</v>
      </c>
      <c r="E1631" s="1">
        <v>-4429</v>
      </c>
      <c r="F1631" t="s">
        <v>785</v>
      </c>
      <c r="G1631" t="s">
        <v>2151</v>
      </c>
      <c r="H1631" t="s">
        <v>5124</v>
      </c>
      <c r="I1631">
        <v>4</v>
      </c>
      <c r="J1631" t="s">
        <v>1434</v>
      </c>
      <c r="K1631">
        <v>69</v>
      </c>
      <c r="L1631" t="s">
        <v>12738</v>
      </c>
      <c r="M1631" t="s">
        <v>12739</v>
      </c>
      <c r="N1631" t="s">
        <v>12740</v>
      </c>
      <c r="O1631" t="s">
        <v>12720</v>
      </c>
      <c r="P1631" t="s">
        <v>12741</v>
      </c>
      <c r="Q1631" t="s">
        <v>12742</v>
      </c>
      <c r="R1631" t="s">
        <v>12743</v>
      </c>
      <c r="S1631" s="2">
        <v>45081</v>
      </c>
      <c r="T1631" t="s">
        <v>12744</v>
      </c>
      <c r="U1631" t="s">
        <v>12745</v>
      </c>
      <c r="V1631">
        <v>1</v>
      </c>
      <c r="W1631">
        <v>1</v>
      </c>
      <c r="X1631">
        <v>198027</v>
      </c>
      <c r="Y1631" t="s">
        <v>2833</v>
      </c>
      <c r="Z1631" t="s">
        <v>12742</v>
      </c>
      <c r="AA1631" t="s">
        <v>12721</v>
      </c>
      <c r="AB1631" t="s">
        <v>45</v>
      </c>
      <c r="AC1631" t="s">
        <v>12722</v>
      </c>
    </row>
    <row r="1632" spans="1:29">
      <c r="A1632" t="s">
        <v>380</v>
      </c>
      <c r="B1632" s="1">
        <v>149987</v>
      </c>
      <c r="C1632" t="s">
        <v>1431</v>
      </c>
      <c r="D1632" t="s">
        <v>667</v>
      </c>
      <c r="E1632" t="s">
        <v>2294</v>
      </c>
      <c r="F1632" t="s">
        <v>9907</v>
      </c>
      <c r="G1632" t="s">
        <v>550</v>
      </c>
      <c r="H1632" t="s">
        <v>12746</v>
      </c>
      <c r="I1632">
        <v>4</v>
      </c>
      <c r="J1632" t="s">
        <v>3485</v>
      </c>
      <c r="K1632">
        <v>74</v>
      </c>
      <c r="L1632" t="s">
        <v>12747</v>
      </c>
      <c r="M1632" t="s">
        <v>12748</v>
      </c>
      <c r="N1632" t="s">
        <v>12749</v>
      </c>
      <c r="O1632" t="s">
        <v>12750</v>
      </c>
      <c r="P1632" t="s">
        <v>12751</v>
      </c>
      <c r="Q1632" t="s">
        <v>12752</v>
      </c>
      <c r="R1632" t="s">
        <v>12753</v>
      </c>
      <c r="S1632" s="2">
        <v>37803</v>
      </c>
      <c r="T1632" t="s">
        <v>12754</v>
      </c>
      <c r="U1632" t="s">
        <v>12755</v>
      </c>
      <c r="V1632">
        <v>0</v>
      </c>
      <c r="W1632">
        <v>9</v>
      </c>
      <c r="X1632">
        <v>267600</v>
      </c>
      <c r="Y1632" t="s">
        <v>604</v>
      </c>
      <c r="Z1632" t="s">
        <v>12752</v>
      </c>
      <c r="AA1632" t="s">
        <v>12756</v>
      </c>
      <c r="AB1632" t="s">
        <v>45</v>
      </c>
      <c r="AC1632" t="s">
        <v>12757</v>
      </c>
    </row>
    <row r="1633" spans="1:29">
      <c r="A1633" t="s">
        <v>380</v>
      </c>
      <c r="B1633" s="1">
        <v>97007</v>
      </c>
      <c r="C1633" t="s">
        <v>1631</v>
      </c>
      <c r="D1633" t="s">
        <v>667</v>
      </c>
      <c r="E1633" s="1">
        <v>-4419</v>
      </c>
      <c r="F1633" t="s">
        <v>12758</v>
      </c>
      <c r="G1633" t="s">
        <v>12759</v>
      </c>
      <c r="H1633" t="s">
        <v>12760</v>
      </c>
      <c r="I1633">
        <v>4</v>
      </c>
      <c r="J1633" t="s">
        <v>570</v>
      </c>
      <c r="K1633">
        <v>72</v>
      </c>
      <c r="L1633" t="s">
        <v>12761</v>
      </c>
      <c r="M1633" t="s">
        <v>12762</v>
      </c>
      <c r="N1633" t="s">
        <v>12763</v>
      </c>
      <c r="O1633" t="s">
        <v>12750</v>
      </c>
      <c r="P1633" t="s">
        <v>12764</v>
      </c>
      <c r="Q1633" t="s">
        <v>12765</v>
      </c>
      <c r="R1633" t="s">
        <v>12766</v>
      </c>
      <c r="S1633" s="2">
        <v>37987</v>
      </c>
      <c r="T1633">
        <v>0</v>
      </c>
      <c r="U1633" t="s">
        <v>12767</v>
      </c>
      <c r="V1633">
        <v>0</v>
      </c>
      <c r="W1633">
        <v>6</v>
      </c>
      <c r="X1633">
        <v>216707</v>
      </c>
      <c r="Y1633" t="s">
        <v>6655</v>
      </c>
      <c r="Z1633" t="s">
        <v>12765</v>
      </c>
      <c r="AA1633" t="s">
        <v>12756</v>
      </c>
      <c r="AB1633" t="s">
        <v>45</v>
      </c>
      <c r="AC1633" t="s">
        <v>12757</v>
      </c>
    </row>
    <row r="1634" spans="1:29">
      <c r="A1634" t="s">
        <v>6765</v>
      </c>
      <c r="B1634" s="1">
        <v>97027</v>
      </c>
      <c r="C1634" t="s">
        <v>892</v>
      </c>
      <c r="D1634" t="s">
        <v>667</v>
      </c>
      <c r="E1634" s="1">
        <v>-3564</v>
      </c>
      <c r="F1634" t="s">
        <v>12768</v>
      </c>
      <c r="G1634" t="s">
        <v>3379</v>
      </c>
      <c r="H1634" t="s">
        <v>12760</v>
      </c>
      <c r="I1634">
        <v>4</v>
      </c>
      <c r="J1634" t="s">
        <v>3913</v>
      </c>
      <c r="K1634">
        <v>72</v>
      </c>
      <c r="L1634" t="s">
        <v>12769</v>
      </c>
      <c r="M1634" t="s">
        <v>12770</v>
      </c>
      <c r="N1634" t="s">
        <v>12771</v>
      </c>
      <c r="O1634" t="s">
        <v>12750</v>
      </c>
      <c r="P1634" t="s">
        <v>12772</v>
      </c>
      <c r="Q1634" t="s">
        <v>12773</v>
      </c>
      <c r="R1634" t="s">
        <v>12774</v>
      </c>
      <c r="S1634" s="2">
        <v>37257</v>
      </c>
      <c r="T1634">
        <v>0</v>
      </c>
      <c r="U1634" t="s">
        <v>12775</v>
      </c>
      <c r="V1634">
        <v>1</v>
      </c>
      <c r="W1634">
        <v>7</v>
      </c>
      <c r="X1634">
        <v>205373</v>
      </c>
      <c r="Y1634" t="s">
        <v>703</v>
      </c>
      <c r="Z1634" t="s">
        <v>12773</v>
      </c>
      <c r="AA1634" t="s">
        <v>12756</v>
      </c>
      <c r="AB1634" t="s">
        <v>45</v>
      </c>
      <c r="AC1634" t="s">
        <v>12757</v>
      </c>
    </row>
    <row r="1635" spans="1:29">
      <c r="A1635" t="s">
        <v>1300</v>
      </c>
      <c r="B1635" s="1">
        <v>129944</v>
      </c>
      <c r="C1635" t="s">
        <v>2401</v>
      </c>
      <c r="D1635" t="s">
        <v>667</v>
      </c>
      <c r="E1635" s="1">
        <v>-6077</v>
      </c>
      <c r="F1635" t="s">
        <v>375</v>
      </c>
      <c r="G1635" t="s">
        <v>3724</v>
      </c>
      <c r="H1635" t="s">
        <v>12760</v>
      </c>
      <c r="I1635">
        <v>4</v>
      </c>
      <c r="J1635" t="s">
        <v>8187</v>
      </c>
      <c r="K1635">
        <v>77</v>
      </c>
      <c r="L1635" t="s">
        <v>12776</v>
      </c>
      <c r="M1635" t="s">
        <v>12777</v>
      </c>
      <c r="N1635" t="s">
        <v>12771</v>
      </c>
      <c r="O1635" t="s">
        <v>12750</v>
      </c>
      <c r="P1635" t="s">
        <v>12778</v>
      </c>
      <c r="Q1635" t="s">
        <v>12779</v>
      </c>
      <c r="R1635" t="s">
        <v>12780</v>
      </c>
      <c r="S1635" s="2">
        <v>37257</v>
      </c>
      <c r="T1635" t="s">
        <v>12781</v>
      </c>
      <c r="U1635" t="s">
        <v>12775</v>
      </c>
      <c r="V1635">
        <v>1</v>
      </c>
      <c r="W1635">
        <v>4</v>
      </c>
      <c r="X1635">
        <v>250693</v>
      </c>
      <c r="Y1635" t="s">
        <v>2063</v>
      </c>
      <c r="Z1635" t="s">
        <v>12779</v>
      </c>
      <c r="AA1635" t="s">
        <v>12756</v>
      </c>
      <c r="AB1635" t="s">
        <v>45</v>
      </c>
      <c r="AC1635" t="s">
        <v>12757</v>
      </c>
    </row>
    <row r="1636" spans="1:29">
      <c r="A1636" t="s">
        <v>1839</v>
      </c>
      <c r="B1636" s="1">
        <v>121989</v>
      </c>
      <c r="C1636" t="s">
        <v>2786</v>
      </c>
      <c r="D1636" t="s">
        <v>667</v>
      </c>
      <c r="E1636" s="1">
        <v>-13148</v>
      </c>
      <c r="F1636" t="s">
        <v>12782</v>
      </c>
      <c r="G1636" t="s">
        <v>2832</v>
      </c>
      <c r="H1636" t="s">
        <v>12783</v>
      </c>
      <c r="I1636">
        <v>4</v>
      </c>
      <c r="J1636" t="s">
        <v>1087</v>
      </c>
      <c r="K1636">
        <v>70</v>
      </c>
      <c r="L1636" t="s">
        <v>12784</v>
      </c>
      <c r="M1636" t="s">
        <v>12785</v>
      </c>
      <c r="N1636" t="s">
        <v>12786</v>
      </c>
      <c r="O1636" t="s">
        <v>12750</v>
      </c>
      <c r="P1636" t="s">
        <v>12787</v>
      </c>
      <c r="Q1636" t="s">
        <v>12788</v>
      </c>
      <c r="R1636" t="s">
        <v>12789</v>
      </c>
      <c r="S1636" s="2">
        <v>36161</v>
      </c>
      <c r="T1636" t="s">
        <v>12790</v>
      </c>
      <c r="U1636" t="s">
        <v>12791</v>
      </c>
      <c r="V1636">
        <v>1</v>
      </c>
      <c r="W1636">
        <v>0</v>
      </c>
      <c r="X1636">
        <v>268867</v>
      </c>
      <c r="Y1636" t="s">
        <v>1324</v>
      </c>
      <c r="Z1636" t="s">
        <v>12788</v>
      </c>
      <c r="AA1636" t="s">
        <v>12756</v>
      </c>
      <c r="AB1636" t="s">
        <v>45</v>
      </c>
      <c r="AC1636" t="s">
        <v>12757</v>
      </c>
    </row>
    <row r="1637" spans="1:29">
      <c r="A1637" t="s">
        <v>92</v>
      </c>
      <c r="B1637" s="1">
        <v>123003</v>
      </c>
      <c r="C1637" t="s">
        <v>1990</v>
      </c>
      <c r="D1637" t="s">
        <v>667</v>
      </c>
      <c r="E1637" s="1">
        <v>-3546</v>
      </c>
      <c r="F1637" t="s">
        <v>1211</v>
      </c>
      <c r="G1637" t="s">
        <v>173</v>
      </c>
      <c r="H1637" t="s">
        <v>12792</v>
      </c>
      <c r="I1637">
        <v>4</v>
      </c>
      <c r="J1637" t="s">
        <v>8542</v>
      </c>
      <c r="K1637">
        <v>70</v>
      </c>
      <c r="L1637" t="s">
        <v>12793</v>
      </c>
      <c r="M1637" t="s">
        <v>12794</v>
      </c>
      <c r="N1637" t="s">
        <v>12795</v>
      </c>
      <c r="O1637" t="s">
        <v>12750</v>
      </c>
      <c r="P1637" t="s">
        <v>12796</v>
      </c>
      <c r="Q1637" t="s">
        <v>12797</v>
      </c>
      <c r="R1637" t="s">
        <v>6769</v>
      </c>
      <c r="S1637">
        <v>2008</v>
      </c>
      <c r="T1637" t="s">
        <v>9492</v>
      </c>
      <c r="U1637" t="s">
        <v>12798</v>
      </c>
      <c r="V1637">
        <v>1</v>
      </c>
      <c r="W1637">
        <v>7</v>
      </c>
      <c r="X1637">
        <v>222987</v>
      </c>
      <c r="Y1637" t="s">
        <v>12799</v>
      </c>
      <c r="Z1637" t="s">
        <v>12797</v>
      </c>
      <c r="AA1637" t="s">
        <v>12756</v>
      </c>
      <c r="AB1637" t="s">
        <v>45</v>
      </c>
      <c r="AC1637" t="s">
        <v>12757</v>
      </c>
    </row>
    <row r="1638" spans="1:29">
      <c r="A1638" t="s">
        <v>29</v>
      </c>
      <c r="B1638" s="1">
        <v>170391</v>
      </c>
      <c r="C1638" t="s">
        <v>438</v>
      </c>
      <c r="D1638" t="s">
        <v>667</v>
      </c>
      <c r="E1638" s="1">
        <v>-6127</v>
      </c>
      <c r="F1638" t="s">
        <v>1528</v>
      </c>
      <c r="G1638" t="s">
        <v>1336</v>
      </c>
      <c r="H1638" t="s">
        <v>12800</v>
      </c>
      <c r="I1638">
        <v>3</v>
      </c>
      <c r="J1638" t="s">
        <v>7595</v>
      </c>
      <c r="K1638">
        <v>77</v>
      </c>
      <c r="L1638" t="s">
        <v>12801</v>
      </c>
      <c r="M1638" t="s">
        <v>12802</v>
      </c>
      <c r="N1638" t="s">
        <v>12803</v>
      </c>
      <c r="O1638" t="s">
        <v>12750</v>
      </c>
      <c r="P1638" t="s">
        <v>12804</v>
      </c>
      <c r="Q1638" t="s">
        <v>12805</v>
      </c>
      <c r="R1638" t="s">
        <v>12806</v>
      </c>
      <c r="S1638" s="2">
        <v>40218</v>
      </c>
      <c r="T1638">
        <v>0</v>
      </c>
      <c r="U1638" t="s">
        <v>12807</v>
      </c>
      <c r="V1638">
        <v>1</v>
      </c>
      <c r="W1638">
        <v>1</v>
      </c>
      <c r="X1638">
        <v>205160</v>
      </c>
      <c r="Y1638" t="s">
        <v>6699</v>
      </c>
      <c r="Z1638" t="s">
        <v>12805</v>
      </c>
      <c r="AA1638" t="s">
        <v>12756</v>
      </c>
      <c r="AB1638" t="s">
        <v>45</v>
      </c>
      <c r="AC1638" t="s">
        <v>12757</v>
      </c>
    </row>
    <row r="1639" spans="1:29">
      <c r="A1639" t="s">
        <v>2832</v>
      </c>
      <c r="B1639" t="s">
        <v>12808</v>
      </c>
      <c r="C1639" t="s">
        <v>3163</v>
      </c>
      <c r="D1639" t="s">
        <v>667</v>
      </c>
      <c r="E1639" s="1">
        <v>-6453</v>
      </c>
      <c r="F1639" t="s">
        <v>3896</v>
      </c>
      <c r="G1639" t="s">
        <v>452</v>
      </c>
      <c r="H1639" t="s">
        <v>12800</v>
      </c>
      <c r="I1639">
        <v>3</v>
      </c>
      <c r="J1639" t="s">
        <v>8380</v>
      </c>
      <c r="K1639">
        <v>75</v>
      </c>
      <c r="L1639" t="s">
        <v>12809</v>
      </c>
      <c r="M1639" t="s">
        <v>12810</v>
      </c>
      <c r="N1639" t="s">
        <v>12811</v>
      </c>
      <c r="O1639" t="s">
        <v>12750</v>
      </c>
      <c r="P1639" t="s">
        <v>12812</v>
      </c>
      <c r="Q1639" t="s">
        <v>12813</v>
      </c>
      <c r="R1639" t="s">
        <v>12814</v>
      </c>
      <c r="S1639">
        <v>2006</v>
      </c>
      <c r="T1639">
        <v>0</v>
      </c>
      <c r="U1639" t="s">
        <v>12815</v>
      </c>
      <c r="V1639">
        <v>1</v>
      </c>
      <c r="W1639">
        <v>5</v>
      </c>
      <c r="X1639">
        <v>193827</v>
      </c>
      <c r="Y1639" t="s">
        <v>346</v>
      </c>
      <c r="Z1639" t="s">
        <v>12813</v>
      </c>
      <c r="AA1639" t="s">
        <v>12756</v>
      </c>
      <c r="AB1639" t="s">
        <v>45</v>
      </c>
      <c r="AC1639" t="s">
        <v>12757</v>
      </c>
    </row>
    <row r="1640" spans="1:29">
      <c r="A1640" t="s">
        <v>4222</v>
      </c>
      <c r="B1640" s="1">
        <v>84098</v>
      </c>
      <c r="C1640" t="s">
        <v>606</v>
      </c>
      <c r="D1640" t="s">
        <v>667</v>
      </c>
      <c r="E1640" s="1">
        <v>-4417</v>
      </c>
      <c r="F1640" t="s">
        <v>1864</v>
      </c>
      <c r="G1640" t="s">
        <v>377</v>
      </c>
      <c r="H1640" t="s">
        <v>12816</v>
      </c>
      <c r="I1640">
        <v>4</v>
      </c>
      <c r="J1640" t="s">
        <v>8038</v>
      </c>
      <c r="K1640">
        <v>68</v>
      </c>
      <c r="L1640" t="s">
        <v>12817</v>
      </c>
      <c r="M1640" t="s">
        <v>12818</v>
      </c>
      <c r="N1640" t="s">
        <v>12771</v>
      </c>
      <c r="O1640" t="s">
        <v>12750</v>
      </c>
      <c r="P1640" t="s">
        <v>12819</v>
      </c>
      <c r="Q1640" t="s">
        <v>12820</v>
      </c>
      <c r="R1640" t="s">
        <v>12821</v>
      </c>
      <c r="S1640" s="2">
        <v>37257</v>
      </c>
      <c r="T1640">
        <v>0</v>
      </c>
      <c r="U1640" t="s">
        <v>12775</v>
      </c>
      <c r="V1640">
        <v>1</v>
      </c>
      <c r="W1640">
        <v>7</v>
      </c>
      <c r="X1640">
        <v>238133</v>
      </c>
      <c r="Y1640" t="s">
        <v>2020</v>
      </c>
      <c r="Z1640" t="s">
        <v>12820</v>
      </c>
      <c r="AA1640" t="s">
        <v>12756</v>
      </c>
      <c r="AB1640" t="s">
        <v>45</v>
      </c>
      <c r="AC1640" t="s">
        <v>12757</v>
      </c>
    </row>
    <row r="1641" spans="1:29">
      <c r="A1641" t="s">
        <v>814</v>
      </c>
      <c r="B1641" s="1">
        <v>106196</v>
      </c>
      <c r="C1641" t="s">
        <v>1608</v>
      </c>
      <c r="D1641" t="s">
        <v>667</v>
      </c>
      <c r="E1641" s="1">
        <v>-6369</v>
      </c>
      <c r="F1641" t="s">
        <v>2488</v>
      </c>
      <c r="G1641" t="s">
        <v>902</v>
      </c>
      <c r="H1641" t="s">
        <v>12822</v>
      </c>
      <c r="I1641">
        <v>4</v>
      </c>
      <c r="J1641" t="s">
        <v>5735</v>
      </c>
      <c r="K1641">
        <v>68</v>
      </c>
      <c r="L1641" t="s">
        <v>12823</v>
      </c>
      <c r="M1641" t="s">
        <v>12824</v>
      </c>
      <c r="N1641" t="s">
        <v>12825</v>
      </c>
      <c r="O1641" t="s">
        <v>12750</v>
      </c>
      <c r="P1641" t="s">
        <v>12826</v>
      </c>
      <c r="Q1641" t="s">
        <v>12827</v>
      </c>
      <c r="R1641" t="s">
        <v>12828</v>
      </c>
      <c r="S1641" s="2">
        <v>37551</v>
      </c>
      <c r="T1641" t="s">
        <v>2466</v>
      </c>
      <c r="U1641" t="s">
        <v>12829</v>
      </c>
      <c r="V1641">
        <v>1</v>
      </c>
      <c r="W1641">
        <v>2</v>
      </c>
      <c r="X1641">
        <v>206133</v>
      </c>
      <c r="Y1641" t="s">
        <v>1211</v>
      </c>
      <c r="Z1641" t="s">
        <v>12827</v>
      </c>
      <c r="AA1641" t="s">
        <v>12756</v>
      </c>
      <c r="AB1641" t="s">
        <v>45</v>
      </c>
      <c r="AC1641" t="s">
        <v>12757</v>
      </c>
    </row>
    <row r="1642" spans="1:29">
      <c r="A1642" t="s">
        <v>2293</v>
      </c>
      <c r="B1642" s="1">
        <v>125796</v>
      </c>
      <c r="C1642" t="s">
        <v>1868</v>
      </c>
      <c r="D1642" t="s">
        <v>667</v>
      </c>
      <c r="E1642" s="1">
        <v>-5657</v>
      </c>
      <c r="F1642" t="s">
        <v>255</v>
      </c>
      <c r="G1642" t="s">
        <v>2751</v>
      </c>
      <c r="H1642" t="s">
        <v>12830</v>
      </c>
      <c r="I1642">
        <v>4</v>
      </c>
      <c r="J1642" t="s">
        <v>6281</v>
      </c>
      <c r="K1642">
        <v>68</v>
      </c>
      <c r="L1642" t="s">
        <v>12831</v>
      </c>
      <c r="M1642" t="s">
        <v>12832</v>
      </c>
      <c r="N1642" t="s">
        <v>12833</v>
      </c>
      <c r="O1642" t="s">
        <v>12750</v>
      </c>
      <c r="P1642" t="s">
        <v>12834</v>
      </c>
      <c r="Q1642" t="s">
        <v>12835</v>
      </c>
      <c r="R1642" t="s">
        <v>12836</v>
      </c>
      <c r="S1642">
        <v>1990</v>
      </c>
      <c r="T1642">
        <v>0</v>
      </c>
      <c r="U1642" t="s">
        <v>12837</v>
      </c>
      <c r="V1642">
        <v>0</v>
      </c>
      <c r="W1642">
        <v>4</v>
      </c>
      <c r="X1642">
        <v>253187</v>
      </c>
      <c r="Y1642" t="s">
        <v>1446</v>
      </c>
      <c r="Z1642" t="s">
        <v>12835</v>
      </c>
      <c r="AA1642" t="s">
        <v>12756</v>
      </c>
      <c r="AB1642" t="s">
        <v>45</v>
      </c>
      <c r="AC1642" t="s">
        <v>12757</v>
      </c>
    </row>
    <row r="1643" spans="1:29">
      <c r="A1643" t="s">
        <v>3543</v>
      </c>
      <c r="B1643" s="1">
        <v>76979</v>
      </c>
      <c r="C1643" t="s">
        <v>435</v>
      </c>
      <c r="D1643" t="s">
        <v>667</v>
      </c>
      <c r="E1643" s="1">
        <v>-4581</v>
      </c>
      <c r="F1643" t="s">
        <v>1654</v>
      </c>
      <c r="G1643" t="s">
        <v>826</v>
      </c>
      <c r="H1643" t="s">
        <v>12760</v>
      </c>
      <c r="I1643">
        <v>4</v>
      </c>
      <c r="J1643" t="s">
        <v>9457</v>
      </c>
      <c r="K1643">
        <v>70</v>
      </c>
      <c r="L1643" t="s">
        <v>12838</v>
      </c>
      <c r="M1643" t="s">
        <v>12839</v>
      </c>
      <c r="N1643" t="s">
        <v>12763</v>
      </c>
      <c r="O1643" t="s">
        <v>12750</v>
      </c>
      <c r="P1643" t="s">
        <v>12840</v>
      </c>
      <c r="Q1643" t="s">
        <v>12841</v>
      </c>
      <c r="R1643" t="s">
        <v>12842</v>
      </c>
      <c r="S1643" s="2">
        <v>37987</v>
      </c>
      <c r="T1643">
        <v>0</v>
      </c>
      <c r="U1643" t="s">
        <v>12767</v>
      </c>
      <c r="V1643">
        <v>1</v>
      </c>
      <c r="W1643">
        <v>0</v>
      </c>
      <c r="X1643">
        <v>196360</v>
      </c>
      <c r="Y1643" t="s">
        <v>1937</v>
      </c>
      <c r="Z1643" t="s">
        <v>12841</v>
      </c>
      <c r="AA1643" t="s">
        <v>12756</v>
      </c>
      <c r="AB1643" t="s">
        <v>45</v>
      </c>
      <c r="AC1643" t="s">
        <v>12757</v>
      </c>
    </row>
    <row r="1644" spans="1:29">
      <c r="A1644" t="s">
        <v>5559</v>
      </c>
      <c r="B1644" s="1">
        <v>123217</v>
      </c>
      <c r="C1644" t="s">
        <v>4367</v>
      </c>
      <c r="D1644" t="s">
        <v>667</v>
      </c>
      <c r="E1644" t="s">
        <v>12843</v>
      </c>
      <c r="F1644" t="s">
        <v>4004</v>
      </c>
      <c r="G1644" t="s">
        <v>8301</v>
      </c>
      <c r="H1644" t="s">
        <v>12844</v>
      </c>
      <c r="I1644">
        <v>4</v>
      </c>
      <c r="J1644" t="s">
        <v>10730</v>
      </c>
      <c r="K1644">
        <v>72</v>
      </c>
      <c r="L1644" t="s">
        <v>12845</v>
      </c>
      <c r="M1644" t="s">
        <v>12846</v>
      </c>
      <c r="N1644" t="s">
        <v>12847</v>
      </c>
      <c r="O1644" t="s">
        <v>12750</v>
      </c>
      <c r="P1644" t="s">
        <v>12848</v>
      </c>
      <c r="Q1644" t="s">
        <v>12849</v>
      </c>
      <c r="R1644" t="s">
        <v>12850</v>
      </c>
      <c r="S1644" s="2">
        <v>33043</v>
      </c>
      <c r="T1644" t="s">
        <v>3236</v>
      </c>
      <c r="U1644" t="s">
        <v>12851</v>
      </c>
      <c r="V1644">
        <v>1</v>
      </c>
      <c r="W1644">
        <v>2</v>
      </c>
      <c r="X1644">
        <v>215867</v>
      </c>
      <c r="Y1644" t="s">
        <v>5472</v>
      </c>
      <c r="Z1644" t="s">
        <v>12849</v>
      </c>
      <c r="AA1644" t="s">
        <v>12756</v>
      </c>
      <c r="AB1644" t="s">
        <v>45</v>
      </c>
      <c r="AC1644" t="s">
        <v>12757</v>
      </c>
    </row>
    <row r="1645" spans="1:29">
      <c r="A1645" t="s">
        <v>6212</v>
      </c>
      <c r="B1645" s="1">
        <v>126043</v>
      </c>
      <c r="C1645" t="s">
        <v>606</v>
      </c>
      <c r="D1645" t="s">
        <v>667</v>
      </c>
      <c r="E1645" s="1">
        <v>-11197</v>
      </c>
      <c r="F1645" t="s">
        <v>6776</v>
      </c>
      <c r="G1645" t="s">
        <v>1917</v>
      </c>
      <c r="H1645" t="s">
        <v>12844</v>
      </c>
      <c r="I1645">
        <v>4</v>
      </c>
      <c r="J1645" t="s">
        <v>3294</v>
      </c>
      <c r="K1645">
        <v>73</v>
      </c>
      <c r="L1645" t="s">
        <v>12852</v>
      </c>
      <c r="M1645" t="s">
        <v>12853</v>
      </c>
      <c r="N1645" t="s">
        <v>12854</v>
      </c>
      <c r="O1645" t="s">
        <v>12750</v>
      </c>
      <c r="P1645" t="s">
        <v>12855</v>
      </c>
      <c r="Q1645" t="s">
        <v>12856</v>
      </c>
      <c r="R1645" t="s">
        <v>12857</v>
      </c>
      <c r="S1645">
        <v>1994</v>
      </c>
      <c r="T1645" t="s">
        <v>12858</v>
      </c>
      <c r="U1645" t="s">
        <v>12859</v>
      </c>
      <c r="V1645">
        <v>0</v>
      </c>
      <c r="W1645">
        <v>6</v>
      </c>
      <c r="X1645">
        <v>288600</v>
      </c>
      <c r="Y1645" t="s">
        <v>1980</v>
      </c>
      <c r="Z1645" t="s">
        <v>12856</v>
      </c>
      <c r="AA1645" t="s">
        <v>12756</v>
      </c>
      <c r="AB1645" t="s">
        <v>45</v>
      </c>
      <c r="AC1645" t="s">
        <v>12757</v>
      </c>
    </row>
    <row r="1646" spans="1:29">
      <c r="A1646" t="s">
        <v>1503</v>
      </c>
      <c r="B1646" s="1">
        <v>145751</v>
      </c>
      <c r="C1646" t="s">
        <v>4222</v>
      </c>
      <c r="D1646" t="s">
        <v>667</v>
      </c>
      <c r="E1646" s="1">
        <v>-15522</v>
      </c>
      <c r="F1646" t="s">
        <v>189</v>
      </c>
      <c r="G1646" t="s">
        <v>226</v>
      </c>
      <c r="H1646" t="s">
        <v>12860</v>
      </c>
      <c r="I1646">
        <v>4</v>
      </c>
      <c r="J1646" t="s">
        <v>281</v>
      </c>
      <c r="K1646">
        <v>68</v>
      </c>
      <c r="L1646" t="s">
        <v>12861</v>
      </c>
      <c r="M1646" t="s">
        <v>12862</v>
      </c>
      <c r="N1646" t="s">
        <v>12863</v>
      </c>
      <c r="O1646" t="s">
        <v>12750</v>
      </c>
      <c r="P1646" t="s">
        <v>12864</v>
      </c>
      <c r="Q1646" t="s">
        <v>12865</v>
      </c>
      <c r="R1646" t="s">
        <v>12866</v>
      </c>
      <c r="S1646">
        <v>1998</v>
      </c>
      <c r="T1646" t="s">
        <v>12867</v>
      </c>
      <c r="U1646" t="s">
        <v>12868</v>
      </c>
      <c r="V1646">
        <v>1</v>
      </c>
      <c r="W1646">
        <v>5</v>
      </c>
      <c r="X1646">
        <v>254267</v>
      </c>
      <c r="Y1646" t="s">
        <v>699</v>
      </c>
      <c r="Z1646" t="s">
        <v>12865</v>
      </c>
      <c r="AA1646" t="s">
        <v>12756</v>
      </c>
      <c r="AB1646" t="s">
        <v>45</v>
      </c>
      <c r="AC1646" t="s">
        <v>12757</v>
      </c>
    </row>
    <row r="1647" spans="1:29">
      <c r="A1647" t="s">
        <v>6644</v>
      </c>
      <c r="B1647" s="1">
        <v>124725</v>
      </c>
      <c r="C1647" t="s">
        <v>3471</v>
      </c>
      <c r="D1647" t="s">
        <v>667</v>
      </c>
      <c r="E1647" t="s">
        <v>3567</v>
      </c>
      <c r="F1647" t="s">
        <v>7526</v>
      </c>
      <c r="G1647" t="s">
        <v>238</v>
      </c>
      <c r="H1647" t="s">
        <v>12746</v>
      </c>
      <c r="I1647">
        <v>4</v>
      </c>
      <c r="J1647" t="s">
        <v>3897</v>
      </c>
      <c r="K1647">
        <v>69</v>
      </c>
      <c r="L1647" t="s">
        <v>12869</v>
      </c>
      <c r="M1647" t="s">
        <v>12870</v>
      </c>
      <c r="N1647" t="s">
        <v>12871</v>
      </c>
      <c r="O1647" t="s">
        <v>12750</v>
      </c>
      <c r="P1647" t="s">
        <v>12872</v>
      </c>
      <c r="Q1647" t="s">
        <v>12873</v>
      </c>
      <c r="R1647" t="s">
        <v>12874</v>
      </c>
      <c r="S1647">
        <v>1996</v>
      </c>
      <c r="T1647" t="s">
        <v>12875</v>
      </c>
      <c r="U1647" t="s">
        <v>12876</v>
      </c>
      <c r="V1647">
        <v>1</v>
      </c>
      <c r="W1647">
        <v>9</v>
      </c>
      <c r="X1647">
        <v>214880</v>
      </c>
      <c r="Y1647" t="s">
        <v>5036</v>
      </c>
      <c r="Z1647" t="s">
        <v>12873</v>
      </c>
      <c r="AA1647" t="s">
        <v>12756</v>
      </c>
      <c r="AB1647" t="s">
        <v>45</v>
      </c>
      <c r="AC1647" t="s">
        <v>12757</v>
      </c>
    </row>
    <row r="1648" spans="1:29">
      <c r="A1648" t="s">
        <v>1597</v>
      </c>
      <c r="B1648" s="1">
        <v>172547</v>
      </c>
      <c r="C1648" t="s">
        <v>2343</v>
      </c>
      <c r="D1648" t="s">
        <v>667</v>
      </c>
      <c r="E1648" s="1">
        <v>-4722</v>
      </c>
      <c r="F1648" t="s">
        <v>201</v>
      </c>
      <c r="G1648" t="s">
        <v>903</v>
      </c>
      <c r="H1648" t="s">
        <v>12877</v>
      </c>
      <c r="I1648">
        <v>4</v>
      </c>
      <c r="J1648" t="s">
        <v>6475</v>
      </c>
      <c r="K1648">
        <v>78</v>
      </c>
      <c r="L1648" t="s">
        <v>12878</v>
      </c>
      <c r="M1648" t="s">
        <v>12879</v>
      </c>
      <c r="N1648" t="s">
        <v>12880</v>
      </c>
      <c r="O1648" t="s">
        <v>12750</v>
      </c>
      <c r="P1648" t="s">
        <v>12881</v>
      </c>
      <c r="Q1648" t="s">
        <v>12882</v>
      </c>
      <c r="R1648" t="s">
        <v>12883</v>
      </c>
      <c r="S1648">
        <v>1985</v>
      </c>
      <c r="T1648" t="s">
        <v>12884</v>
      </c>
      <c r="U1648" t="s">
        <v>12885</v>
      </c>
      <c r="V1648">
        <v>0</v>
      </c>
      <c r="W1648">
        <v>9</v>
      </c>
      <c r="X1648">
        <v>194080</v>
      </c>
      <c r="Y1648" t="s">
        <v>12886</v>
      </c>
      <c r="Z1648" t="s">
        <v>12882</v>
      </c>
      <c r="AA1648" t="s">
        <v>12756</v>
      </c>
      <c r="AB1648" t="s">
        <v>45</v>
      </c>
      <c r="AC1648" t="s">
        <v>12757</v>
      </c>
    </row>
    <row r="1649" spans="1:29">
      <c r="A1649" t="s">
        <v>1279</v>
      </c>
      <c r="B1649" t="s">
        <v>12887</v>
      </c>
      <c r="C1649" t="s">
        <v>4326</v>
      </c>
      <c r="D1649" t="s">
        <v>667</v>
      </c>
      <c r="E1649" s="1">
        <v>-7125</v>
      </c>
      <c r="F1649" t="s">
        <v>1211</v>
      </c>
      <c r="G1649" t="s">
        <v>1895</v>
      </c>
      <c r="H1649" t="s">
        <v>12783</v>
      </c>
      <c r="I1649">
        <v>4</v>
      </c>
      <c r="J1649" t="s">
        <v>5394</v>
      </c>
      <c r="K1649">
        <v>77</v>
      </c>
      <c r="L1649" t="s">
        <v>12888</v>
      </c>
      <c r="M1649" t="s">
        <v>12889</v>
      </c>
      <c r="N1649" t="s">
        <v>12890</v>
      </c>
      <c r="O1649" t="s">
        <v>12750</v>
      </c>
      <c r="P1649" t="s">
        <v>12891</v>
      </c>
      <c r="Q1649" t="s">
        <v>12892</v>
      </c>
      <c r="R1649" t="s">
        <v>12893</v>
      </c>
      <c r="S1649" s="2">
        <v>34335</v>
      </c>
      <c r="T1649" t="s">
        <v>12894</v>
      </c>
      <c r="U1649" t="s">
        <v>12895</v>
      </c>
      <c r="V1649">
        <v>0</v>
      </c>
      <c r="W1649">
        <v>4</v>
      </c>
      <c r="X1649">
        <v>222227</v>
      </c>
      <c r="Y1649" t="s">
        <v>4308</v>
      </c>
      <c r="Z1649" t="s">
        <v>12892</v>
      </c>
      <c r="AA1649" t="s">
        <v>12756</v>
      </c>
      <c r="AB1649" t="s">
        <v>45</v>
      </c>
      <c r="AC1649" t="s">
        <v>12757</v>
      </c>
    </row>
    <row r="1650" spans="1:29">
      <c r="A1650" t="s">
        <v>2240</v>
      </c>
      <c r="B1650" s="1">
        <v>112481</v>
      </c>
      <c r="C1650" t="s">
        <v>866</v>
      </c>
      <c r="D1650" t="s">
        <v>667</v>
      </c>
      <c r="E1650" s="1">
        <v>-7615</v>
      </c>
      <c r="F1650" t="s">
        <v>12896</v>
      </c>
      <c r="G1650" t="s">
        <v>10118</v>
      </c>
      <c r="H1650" t="s">
        <v>12877</v>
      </c>
      <c r="I1650">
        <v>3</v>
      </c>
      <c r="J1650" t="s">
        <v>7949</v>
      </c>
      <c r="K1650">
        <v>68</v>
      </c>
      <c r="L1650" t="s">
        <v>12897</v>
      </c>
      <c r="M1650" t="s">
        <v>12898</v>
      </c>
      <c r="N1650" t="s">
        <v>12899</v>
      </c>
      <c r="O1650" t="s">
        <v>12750</v>
      </c>
      <c r="P1650" t="s">
        <v>12900</v>
      </c>
      <c r="Q1650" t="s">
        <v>12901</v>
      </c>
      <c r="R1650" t="s">
        <v>12902</v>
      </c>
      <c r="S1650">
        <v>1996</v>
      </c>
      <c r="T1650" t="s">
        <v>12903</v>
      </c>
      <c r="U1650" t="s">
        <v>12904</v>
      </c>
      <c r="V1650">
        <v>1</v>
      </c>
      <c r="W1650">
        <v>2</v>
      </c>
      <c r="X1650">
        <v>225080</v>
      </c>
      <c r="Y1650" t="s">
        <v>4737</v>
      </c>
      <c r="Z1650" t="s">
        <v>12901</v>
      </c>
      <c r="AA1650" t="s">
        <v>12756</v>
      </c>
      <c r="AB1650" t="s">
        <v>45</v>
      </c>
      <c r="AC1650" t="s">
        <v>12757</v>
      </c>
    </row>
    <row r="1651" spans="1:29">
      <c r="A1651" t="s">
        <v>4859</v>
      </c>
      <c r="B1651" s="1">
        <v>148003</v>
      </c>
      <c r="C1651" t="s">
        <v>2814</v>
      </c>
      <c r="D1651" t="s">
        <v>667</v>
      </c>
      <c r="E1651" s="1">
        <v>-3444</v>
      </c>
      <c r="F1651" t="s">
        <v>1109</v>
      </c>
      <c r="G1651" t="s">
        <v>1025</v>
      </c>
      <c r="H1651" t="s">
        <v>12905</v>
      </c>
      <c r="I1651">
        <v>4</v>
      </c>
      <c r="J1651" t="s">
        <v>1349</v>
      </c>
      <c r="K1651">
        <v>74</v>
      </c>
      <c r="L1651" t="s">
        <v>12906</v>
      </c>
      <c r="M1651" t="s">
        <v>12907</v>
      </c>
      <c r="N1651" t="s">
        <v>12908</v>
      </c>
      <c r="O1651" t="s">
        <v>12750</v>
      </c>
      <c r="P1651" t="s">
        <v>12909</v>
      </c>
      <c r="Q1651" t="s">
        <v>12910</v>
      </c>
      <c r="R1651" t="s">
        <v>12911</v>
      </c>
      <c r="S1651">
        <v>1997</v>
      </c>
      <c r="T1651" t="s">
        <v>6100</v>
      </c>
      <c r="U1651" t="s">
        <v>12912</v>
      </c>
      <c r="V1651">
        <v>1</v>
      </c>
      <c r="W1651">
        <v>11</v>
      </c>
      <c r="X1651">
        <v>310813</v>
      </c>
      <c r="Y1651" t="s">
        <v>12913</v>
      </c>
      <c r="Z1651" t="s">
        <v>12910</v>
      </c>
      <c r="AA1651" t="s">
        <v>12756</v>
      </c>
      <c r="AB1651" t="s">
        <v>45</v>
      </c>
      <c r="AC1651" t="s">
        <v>12757</v>
      </c>
    </row>
    <row r="1652" spans="1:29">
      <c r="A1652" t="s">
        <v>6513</v>
      </c>
      <c r="B1652" s="1">
        <v>133946</v>
      </c>
      <c r="C1652" t="s">
        <v>226</v>
      </c>
      <c r="D1652" t="s">
        <v>3410</v>
      </c>
      <c r="E1652" s="1">
        <v>-4274</v>
      </c>
      <c r="F1652" t="s">
        <v>624</v>
      </c>
      <c r="G1652" t="s">
        <v>1597</v>
      </c>
      <c r="H1652" t="s">
        <v>12914</v>
      </c>
      <c r="I1652">
        <v>4</v>
      </c>
      <c r="J1652" t="s">
        <v>1013</v>
      </c>
      <c r="K1652">
        <v>72</v>
      </c>
      <c r="L1652" t="s">
        <v>12915</v>
      </c>
      <c r="M1652" t="s">
        <v>12916</v>
      </c>
      <c r="N1652" t="s">
        <v>12917</v>
      </c>
      <c r="O1652" t="s">
        <v>12918</v>
      </c>
      <c r="P1652" t="s">
        <v>12919</v>
      </c>
      <c r="Q1652" t="s">
        <v>12920</v>
      </c>
      <c r="R1652" t="s">
        <v>12921</v>
      </c>
      <c r="S1652" s="2">
        <v>40802</v>
      </c>
      <c r="T1652" t="s">
        <v>12922</v>
      </c>
      <c r="U1652" t="s">
        <v>12923</v>
      </c>
      <c r="V1652">
        <v>0</v>
      </c>
      <c r="W1652">
        <v>0</v>
      </c>
      <c r="X1652">
        <v>227091</v>
      </c>
      <c r="Y1652" t="s">
        <v>4435</v>
      </c>
      <c r="Z1652" t="s">
        <v>12920</v>
      </c>
      <c r="AA1652" t="s">
        <v>12924</v>
      </c>
      <c r="AB1652" t="s">
        <v>45</v>
      </c>
      <c r="AC1652" t="s">
        <v>12925</v>
      </c>
    </row>
    <row r="1653" spans="1:29">
      <c r="A1653" t="s">
        <v>727</v>
      </c>
      <c r="B1653" s="1">
        <v>172006</v>
      </c>
      <c r="C1653" t="s">
        <v>2081</v>
      </c>
      <c r="D1653" t="s">
        <v>3410</v>
      </c>
      <c r="E1653" s="1">
        <v>-6491</v>
      </c>
      <c r="F1653" t="s">
        <v>1525</v>
      </c>
      <c r="G1653" t="s">
        <v>1310</v>
      </c>
      <c r="H1653" t="s">
        <v>12926</v>
      </c>
      <c r="I1653">
        <v>4</v>
      </c>
      <c r="J1653" t="s">
        <v>12927</v>
      </c>
      <c r="K1653">
        <v>70</v>
      </c>
      <c r="L1653" t="s">
        <v>12928</v>
      </c>
      <c r="M1653" t="s">
        <v>12929</v>
      </c>
      <c r="N1653" t="s">
        <v>12930</v>
      </c>
      <c r="O1653" t="s">
        <v>12918</v>
      </c>
      <c r="P1653" t="s">
        <v>12931</v>
      </c>
      <c r="Q1653" t="s">
        <v>12932</v>
      </c>
      <c r="R1653" t="s">
        <v>12933</v>
      </c>
      <c r="S1653" s="2">
        <v>43376</v>
      </c>
      <c r="T1653">
        <v>0</v>
      </c>
      <c r="U1653" t="s">
        <v>12934</v>
      </c>
      <c r="V1653">
        <v>0</v>
      </c>
      <c r="W1653">
        <v>1</v>
      </c>
      <c r="X1653">
        <v>178605</v>
      </c>
      <c r="Y1653" t="s">
        <v>10021</v>
      </c>
      <c r="Z1653" t="s">
        <v>12932</v>
      </c>
      <c r="AA1653" t="s">
        <v>12924</v>
      </c>
      <c r="AB1653" t="s">
        <v>45</v>
      </c>
      <c r="AC1653" t="s">
        <v>12925</v>
      </c>
    </row>
    <row r="1654" spans="1:29">
      <c r="A1654" t="s">
        <v>3347</v>
      </c>
      <c r="B1654" s="1">
        <v>116015</v>
      </c>
      <c r="C1654" t="s">
        <v>1396</v>
      </c>
      <c r="D1654" t="s">
        <v>4201</v>
      </c>
      <c r="E1654" s="1">
        <v>-7264</v>
      </c>
      <c r="F1654" t="s">
        <v>12935</v>
      </c>
      <c r="G1654" t="s">
        <v>2220</v>
      </c>
      <c r="H1654" t="s">
        <v>4453</v>
      </c>
      <c r="I1654">
        <v>4</v>
      </c>
      <c r="J1654" t="s">
        <v>3635</v>
      </c>
      <c r="K1654">
        <v>70</v>
      </c>
      <c r="L1654" t="s">
        <v>12936</v>
      </c>
      <c r="M1654" t="s">
        <v>12937</v>
      </c>
      <c r="N1654" t="s">
        <v>12938</v>
      </c>
      <c r="O1654" t="s">
        <v>12939</v>
      </c>
      <c r="P1654" t="s">
        <v>12940</v>
      </c>
      <c r="Q1654" t="s">
        <v>12941</v>
      </c>
      <c r="R1654" t="s">
        <v>12942</v>
      </c>
      <c r="S1654" s="2">
        <v>41275</v>
      </c>
      <c r="T1654">
        <v>0</v>
      </c>
      <c r="U1654" t="s">
        <v>12943</v>
      </c>
      <c r="V1654">
        <v>0</v>
      </c>
      <c r="W1654">
        <v>10</v>
      </c>
      <c r="X1654">
        <v>232147</v>
      </c>
      <c r="Y1654" t="s">
        <v>1140</v>
      </c>
      <c r="Z1654" t="s">
        <v>12941</v>
      </c>
      <c r="AA1654" t="s">
        <v>6253</v>
      </c>
      <c r="AB1654" t="s">
        <v>45</v>
      </c>
      <c r="AC1654" t="s">
        <v>12944</v>
      </c>
    </row>
    <row r="1655" spans="1:29">
      <c r="A1655" t="s">
        <v>2631</v>
      </c>
      <c r="B1655" s="1">
        <v>97988</v>
      </c>
      <c r="C1655" t="s">
        <v>4393</v>
      </c>
      <c r="D1655" t="s">
        <v>4201</v>
      </c>
      <c r="E1655" s="1">
        <v>-5428</v>
      </c>
      <c r="F1655" t="s">
        <v>757</v>
      </c>
      <c r="G1655" t="s">
        <v>6019</v>
      </c>
      <c r="H1655" t="s">
        <v>12945</v>
      </c>
      <c r="I1655">
        <v>4</v>
      </c>
      <c r="J1655" t="s">
        <v>2558</v>
      </c>
      <c r="K1655">
        <v>68</v>
      </c>
      <c r="L1655" t="s">
        <v>12946</v>
      </c>
      <c r="M1655" t="s">
        <v>12947</v>
      </c>
      <c r="N1655" t="s">
        <v>12948</v>
      </c>
      <c r="O1655" t="s">
        <v>12939</v>
      </c>
      <c r="P1655" t="s">
        <v>12949</v>
      </c>
      <c r="Q1655" t="s">
        <v>12950</v>
      </c>
      <c r="R1655" t="s">
        <v>12951</v>
      </c>
      <c r="S1655" s="2">
        <v>43406</v>
      </c>
      <c r="T1655">
        <v>0</v>
      </c>
      <c r="U1655" t="s">
        <v>12952</v>
      </c>
      <c r="V1655">
        <v>1</v>
      </c>
      <c r="W1655">
        <v>5</v>
      </c>
      <c r="X1655">
        <v>171133</v>
      </c>
      <c r="Y1655" t="s">
        <v>5683</v>
      </c>
      <c r="Z1655" t="s">
        <v>12950</v>
      </c>
      <c r="AA1655" t="s">
        <v>6253</v>
      </c>
      <c r="AB1655" t="s">
        <v>45</v>
      </c>
      <c r="AC1655" t="s">
        <v>12944</v>
      </c>
    </row>
    <row r="1656" spans="1:29">
      <c r="A1656" t="s">
        <v>2651</v>
      </c>
      <c r="B1656" s="1">
        <v>155397</v>
      </c>
      <c r="C1656" t="s">
        <v>2041</v>
      </c>
      <c r="D1656" t="s">
        <v>4201</v>
      </c>
      <c r="E1656" s="1">
        <v>-6366</v>
      </c>
      <c r="F1656" t="s">
        <v>3516</v>
      </c>
      <c r="G1656" t="s">
        <v>392</v>
      </c>
      <c r="H1656" t="s">
        <v>12953</v>
      </c>
      <c r="I1656">
        <v>4</v>
      </c>
      <c r="J1656" t="s">
        <v>12954</v>
      </c>
      <c r="K1656">
        <v>68</v>
      </c>
      <c r="L1656" t="s">
        <v>12955</v>
      </c>
      <c r="M1656" t="s">
        <v>12956</v>
      </c>
      <c r="N1656" t="s">
        <v>12953</v>
      </c>
      <c r="O1656" t="s">
        <v>12939</v>
      </c>
      <c r="P1656" t="s">
        <v>12957</v>
      </c>
      <c r="Q1656" t="s">
        <v>12958</v>
      </c>
      <c r="R1656" t="s">
        <v>12959</v>
      </c>
      <c r="S1656" s="2">
        <v>40308</v>
      </c>
      <c r="T1656">
        <v>0</v>
      </c>
      <c r="U1656" t="s">
        <v>12960</v>
      </c>
      <c r="V1656">
        <v>0</v>
      </c>
      <c r="W1656">
        <v>2</v>
      </c>
      <c r="X1656">
        <v>215933</v>
      </c>
      <c r="Y1656" t="s">
        <v>3390</v>
      </c>
      <c r="Z1656" t="s">
        <v>12958</v>
      </c>
      <c r="AA1656" t="s">
        <v>6253</v>
      </c>
      <c r="AB1656" t="s">
        <v>45</v>
      </c>
      <c r="AC1656" t="s">
        <v>12944</v>
      </c>
    </row>
    <row r="1657" spans="1:29">
      <c r="A1657" t="s">
        <v>3555</v>
      </c>
      <c r="B1657" s="1">
        <v>119958</v>
      </c>
      <c r="C1657" t="s">
        <v>2579</v>
      </c>
      <c r="D1657" t="s">
        <v>4201</v>
      </c>
      <c r="E1657" s="1">
        <v>-9204</v>
      </c>
      <c r="F1657" t="s">
        <v>3826</v>
      </c>
      <c r="G1657" t="s">
        <v>1121</v>
      </c>
      <c r="H1657" t="s">
        <v>4453</v>
      </c>
      <c r="I1657">
        <v>4</v>
      </c>
      <c r="J1657" t="s">
        <v>597</v>
      </c>
      <c r="K1657">
        <v>75</v>
      </c>
      <c r="L1657" t="s">
        <v>4454</v>
      </c>
      <c r="M1657" t="s">
        <v>4455</v>
      </c>
      <c r="N1657" t="s">
        <v>4456</v>
      </c>
      <c r="O1657" t="s">
        <v>12939</v>
      </c>
      <c r="P1657" t="s">
        <v>4457</v>
      </c>
      <c r="Q1657" t="s">
        <v>4458</v>
      </c>
      <c r="R1657" t="s">
        <v>4459</v>
      </c>
      <c r="S1657" s="2">
        <v>40179</v>
      </c>
      <c r="T1657" t="s">
        <v>4460</v>
      </c>
      <c r="U1657" t="s">
        <v>4461</v>
      </c>
      <c r="V1657">
        <v>0</v>
      </c>
      <c r="W1657">
        <v>1</v>
      </c>
      <c r="X1657">
        <v>206067</v>
      </c>
      <c r="Y1657" t="s">
        <v>178</v>
      </c>
      <c r="Z1657" t="s">
        <v>4458</v>
      </c>
      <c r="AA1657" t="s">
        <v>6253</v>
      </c>
      <c r="AB1657" t="s">
        <v>45</v>
      </c>
      <c r="AC1657" t="s">
        <v>12944</v>
      </c>
    </row>
    <row r="1658" spans="1:29">
      <c r="A1658" t="s">
        <v>2030</v>
      </c>
      <c r="B1658" s="1">
        <v>132029</v>
      </c>
      <c r="C1658" t="s">
        <v>3657</v>
      </c>
      <c r="D1658" t="s">
        <v>4201</v>
      </c>
      <c r="E1658" s="1">
        <v>-4481</v>
      </c>
      <c r="F1658" t="s">
        <v>757</v>
      </c>
      <c r="G1658" t="s">
        <v>839</v>
      </c>
      <c r="H1658" t="s">
        <v>12961</v>
      </c>
      <c r="I1658">
        <v>4</v>
      </c>
      <c r="J1658" t="s">
        <v>1436</v>
      </c>
      <c r="K1658">
        <v>71</v>
      </c>
      <c r="L1658" t="s">
        <v>12962</v>
      </c>
      <c r="M1658" t="s">
        <v>12963</v>
      </c>
      <c r="N1658" t="s">
        <v>12964</v>
      </c>
      <c r="O1658" t="s">
        <v>12939</v>
      </c>
      <c r="P1658" t="s">
        <v>12965</v>
      </c>
      <c r="Q1658" t="s">
        <v>12966</v>
      </c>
      <c r="R1658" t="s">
        <v>12964</v>
      </c>
      <c r="S1658" s="2">
        <v>45113</v>
      </c>
      <c r="T1658" t="s">
        <v>12967</v>
      </c>
      <c r="U1658" t="s">
        <v>12968</v>
      </c>
      <c r="V1658">
        <v>0</v>
      </c>
      <c r="W1658">
        <v>7</v>
      </c>
      <c r="X1658">
        <v>189091</v>
      </c>
      <c r="Y1658" t="s">
        <v>1097</v>
      </c>
      <c r="Z1658" t="s">
        <v>12966</v>
      </c>
      <c r="AA1658" t="s">
        <v>6253</v>
      </c>
      <c r="AB1658" t="s">
        <v>45</v>
      </c>
      <c r="AC1658" t="s">
        <v>12944</v>
      </c>
    </row>
    <row r="1659" spans="1:29">
      <c r="A1659" t="s">
        <v>1551</v>
      </c>
      <c r="B1659" t="s">
        <v>12969</v>
      </c>
      <c r="C1659" t="s">
        <v>1786</v>
      </c>
      <c r="D1659" t="s">
        <v>4201</v>
      </c>
      <c r="E1659" s="1">
        <v>-6039</v>
      </c>
      <c r="F1659" t="s">
        <v>2970</v>
      </c>
      <c r="G1659" t="s">
        <v>335</v>
      </c>
      <c r="H1659" t="s">
        <v>12970</v>
      </c>
      <c r="I1659">
        <v>4</v>
      </c>
      <c r="J1659" t="s">
        <v>564</v>
      </c>
      <c r="K1659">
        <v>70</v>
      </c>
      <c r="L1659" t="s">
        <v>12971</v>
      </c>
      <c r="M1659" t="s">
        <v>12972</v>
      </c>
      <c r="N1659" t="s">
        <v>12973</v>
      </c>
      <c r="O1659" t="s">
        <v>12939</v>
      </c>
      <c r="P1659" t="s">
        <v>12974</v>
      </c>
      <c r="Q1659" t="s">
        <v>12975</v>
      </c>
      <c r="R1659" t="s">
        <v>12976</v>
      </c>
      <c r="S1659" s="2">
        <v>36893</v>
      </c>
      <c r="T1659" t="s">
        <v>8639</v>
      </c>
      <c r="U1659" t="s">
        <v>12977</v>
      </c>
      <c r="V1659">
        <v>0</v>
      </c>
      <c r="W1659">
        <v>8</v>
      </c>
      <c r="X1659">
        <v>266600</v>
      </c>
      <c r="Y1659" t="s">
        <v>446</v>
      </c>
      <c r="Z1659" t="s">
        <v>12975</v>
      </c>
      <c r="AA1659" t="s">
        <v>6253</v>
      </c>
      <c r="AB1659" t="s">
        <v>45</v>
      </c>
      <c r="AC1659" t="s">
        <v>12944</v>
      </c>
    </row>
    <row r="1660" spans="1:29">
      <c r="A1660" t="s">
        <v>929</v>
      </c>
      <c r="B1660" s="1">
        <v>114924</v>
      </c>
      <c r="C1660" t="s">
        <v>119</v>
      </c>
      <c r="D1660" t="s">
        <v>4201</v>
      </c>
      <c r="E1660" s="1">
        <v>-7658</v>
      </c>
      <c r="F1660" t="s">
        <v>12978</v>
      </c>
      <c r="G1660" t="s">
        <v>6173</v>
      </c>
      <c r="H1660" t="s">
        <v>12979</v>
      </c>
      <c r="I1660">
        <v>4</v>
      </c>
      <c r="J1660" t="s">
        <v>5255</v>
      </c>
      <c r="K1660">
        <v>77</v>
      </c>
      <c r="L1660" t="s">
        <v>12980</v>
      </c>
      <c r="M1660" t="s">
        <v>12981</v>
      </c>
      <c r="N1660" t="s">
        <v>12982</v>
      </c>
      <c r="O1660" t="s">
        <v>12939</v>
      </c>
      <c r="P1660" t="s">
        <v>12983</v>
      </c>
      <c r="Q1660" t="s">
        <v>12984</v>
      </c>
      <c r="R1660" t="s">
        <v>12985</v>
      </c>
      <c r="S1660" s="2">
        <v>41640</v>
      </c>
      <c r="T1660">
        <v>0</v>
      </c>
      <c r="U1660" t="s">
        <v>12986</v>
      </c>
      <c r="V1660">
        <v>0</v>
      </c>
      <c r="W1660">
        <v>0</v>
      </c>
      <c r="X1660">
        <v>213493</v>
      </c>
      <c r="Y1660" t="s">
        <v>1619</v>
      </c>
      <c r="Z1660" t="s">
        <v>12984</v>
      </c>
      <c r="AA1660" t="s">
        <v>6253</v>
      </c>
      <c r="AB1660" t="s">
        <v>45</v>
      </c>
      <c r="AC1660" t="s">
        <v>12944</v>
      </c>
    </row>
    <row r="1661" spans="1:29">
      <c r="A1661" t="s">
        <v>1749</v>
      </c>
      <c r="B1661" s="1">
        <v>95978</v>
      </c>
      <c r="C1661" t="s">
        <v>1727</v>
      </c>
      <c r="D1661" t="s">
        <v>4201</v>
      </c>
      <c r="E1661" s="1">
        <v>-12279</v>
      </c>
      <c r="F1661" t="s">
        <v>3075</v>
      </c>
      <c r="G1661" t="s">
        <v>1062</v>
      </c>
      <c r="H1661" t="s">
        <v>12979</v>
      </c>
      <c r="I1661">
        <v>3</v>
      </c>
      <c r="J1661" t="s">
        <v>4670</v>
      </c>
      <c r="K1661">
        <v>74</v>
      </c>
      <c r="L1661" t="s">
        <v>12987</v>
      </c>
      <c r="M1661" t="s">
        <v>12988</v>
      </c>
      <c r="N1661" t="s">
        <v>12982</v>
      </c>
      <c r="O1661" t="s">
        <v>12939</v>
      </c>
      <c r="P1661" t="s">
        <v>12989</v>
      </c>
      <c r="Q1661" t="s">
        <v>12990</v>
      </c>
      <c r="R1661" t="s">
        <v>12991</v>
      </c>
      <c r="S1661" s="2">
        <v>41640</v>
      </c>
      <c r="T1661">
        <v>0</v>
      </c>
      <c r="U1661" t="s">
        <v>12986</v>
      </c>
      <c r="V1661">
        <v>0</v>
      </c>
      <c r="W1661">
        <v>10</v>
      </c>
      <c r="X1661">
        <v>316280</v>
      </c>
      <c r="Y1661" t="s">
        <v>3577</v>
      </c>
      <c r="Z1661" t="s">
        <v>12990</v>
      </c>
      <c r="AA1661" t="s">
        <v>6253</v>
      </c>
      <c r="AB1661" t="s">
        <v>45</v>
      </c>
      <c r="AC1661" t="s">
        <v>12944</v>
      </c>
    </row>
    <row r="1662" spans="1:29">
      <c r="A1662" t="s">
        <v>2831</v>
      </c>
      <c r="B1662" s="1">
        <v>70568</v>
      </c>
      <c r="C1662" t="s">
        <v>2661</v>
      </c>
      <c r="D1662" t="s">
        <v>4201</v>
      </c>
      <c r="E1662" s="1">
        <v>-9055</v>
      </c>
      <c r="F1662" t="s">
        <v>2795</v>
      </c>
      <c r="G1662" t="s">
        <v>3798</v>
      </c>
      <c r="H1662" t="s">
        <v>4453</v>
      </c>
      <c r="I1662">
        <v>4</v>
      </c>
      <c r="J1662" t="s">
        <v>2488</v>
      </c>
      <c r="K1662">
        <v>70</v>
      </c>
      <c r="L1662" t="s">
        <v>12992</v>
      </c>
      <c r="M1662" t="s">
        <v>12993</v>
      </c>
      <c r="N1662" t="s">
        <v>12938</v>
      </c>
      <c r="O1662" t="s">
        <v>12939</v>
      </c>
      <c r="P1662" t="s">
        <v>12994</v>
      </c>
      <c r="Q1662" t="s">
        <v>12995</v>
      </c>
      <c r="R1662" t="s">
        <v>12996</v>
      </c>
      <c r="S1662" s="2">
        <v>41275</v>
      </c>
      <c r="T1662">
        <v>0</v>
      </c>
      <c r="U1662" t="s">
        <v>12943</v>
      </c>
      <c r="V1662">
        <v>0</v>
      </c>
      <c r="W1662">
        <v>4</v>
      </c>
      <c r="X1662">
        <v>213933</v>
      </c>
      <c r="Y1662" t="s">
        <v>7256</v>
      </c>
      <c r="Z1662" t="s">
        <v>12995</v>
      </c>
      <c r="AA1662" t="s">
        <v>6253</v>
      </c>
      <c r="AB1662" t="s">
        <v>45</v>
      </c>
      <c r="AC1662" t="s">
        <v>12944</v>
      </c>
    </row>
    <row r="1663" spans="1:29">
      <c r="A1663" t="s">
        <v>1431</v>
      </c>
      <c r="B1663" s="1">
        <v>126036</v>
      </c>
      <c r="C1663" t="s">
        <v>1153</v>
      </c>
      <c r="D1663" t="s">
        <v>4201</v>
      </c>
      <c r="E1663" s="1">
        <v>-5973</v>
      </c>
      <c r="F1663" t="s">
        <v>2220</v>
      </c>
      <c r="G1663" t="s">
        <v>6947</v>
      </c>
      <c r="H1663" t="s">
        <v>12997</v>
      </c>
      <c r="I1663">
        <v>4</v>
      </c>
      <c r="J1663" t="s">
        <v>132</v>
      </c>
      <c r="K1663">
        <v>71</v>
      </c>
      <c r="L1663" t="s">
        <v>12998</v>
      </c>
      <c r="M1663" t="s">
        <v>12999</v>
      </c>
      <c r="N1663" t="s">
        <v>13000</v>
      </c>
      <c r="O1663" t="s">
        <v>12939</v>
      </c>
      <c r="P1663" t="s">
        <v>13001</v>
      </c>
      <c r="Q1663" t="s">
        <v>13002</v>
      </c>
      <c r="R1663" t="s">
        <v>13000</v>
      </c>
      <c r="S1663" s="2">
        <v>45142</v>
      </c>
      <c r="T1663" t="s">
        <v>13003</v>
      </c>
      <c r="U1663" t="s">
        <v>13004</v>
      </c>
      <c r="V1663">
        <v>0</v>
      </c>
      <c r="W1663">
        <v>1</v>
      </c>
      <c r="X1663">
        <v>217260</v>
      </c>
      <c r="Y1663" t="s">
        <v>582</v>
      </c>
      <c r="Z1663" t="s">
        <v>13002</v>
      </c>
      <c r="AA1663" t="s">
        <v>6253</v>
      </c>
      <c r="AB1663" t="s">
        <v>45</v>
      </c>
      <c r="AC1663" t="s">
        <v>12944</v>
      </c>
    </row>
    <row r="1664" spans="1:29">
      <c r="A1664" t="s">
        <v>580</v>
      </c>
      <c r="B1664" s="1">
        <v>101005</v>
      </c>
      <c r="C1664" t="s">
        <v>3657</v>
      </c>
      <c r="D1664" t="s">
        <v>4201</v>
      </c>
      <c r="E1664" s="1">
        <v>-4818</v>
      </c>
      <c r="F1664" t="s">
        <v>2043</v>
      </c>
      <c r="G1664" t="s">
        <v>2557</v>
      </c>
      <c r="H1664" t="s">
        <v>13005</v>
      </c>
      <c r="I1664">
        <v>4</v>
      </c>
      <c r="J1664" t="s">
        <v>13006</v>
      </c>
      <c r="K1664">
        <v>73</v>
      </c>
      <c r="L1664" t="s">
        <v>13007</v>
      </c>
      <c r="M1664" t="s">
        <v>13008</v>
      </c>
      <c r="N1664" t="s">
        <v>13009</v>
      </c>
      <c r="O1664" t="s">
        <v>12939</v>
      </c>
      <c r="P1664" t="s">
        <v>13010</v>
      </c>
      <c r="Q1664" t="s">
        <v>13011</v>
      </c>
      <c r="R1664" t="s">
        <v>13009</v>
      </c>
      <c r="S1664" s="2">
        <v>45205</v>
      </c>
      <c r="T1664" t="s">
        <v>13012</v>
      </c>
      <c r="U1664" t="s">
        <v>13013</v>
      </c>
      <c r="V1664">
        <v>0</v>
      </c>
      <c r="W1664">
        <v>10</v>
      </c>
      <c r="X1664">
        <v>188485</v>
      </c>
      <c r="Y1664" t="s">
        <v>477</v>
      </c>
      <c r="Z1664" t="s">
        <v>13011</v>
      </c>
      <c r="AA1664" t="s">
        <v>6253</v>
      </c>
      <c r="AB1664" t="s">
        <v>45</v>
      </c>
      <c r="AC1664" t="s">
        <v>12944</v>
      </c>
    </row>
    <row r="1665" spans="1:29">
      <c r="A1665" t="s">
        <v>377</v>
      </c>
      <c r="B1665" t="s">
        <v>13014</v>
      </c>
      <c r="C1665" t="s">
        <v>320</v>
      </c>
      <c r="D1665" t="s">
        <v>4201</v>
      </c>
      <c r="E1665" s="1">
        <v>-9061</v>
      </c>
      <c r="F1665" t="s">
        <v>8301</v>
      </c>
      <c r="G1665" t="s">
        <v>460</v>
      </c>
      <c r="H1665" t="s">
        <v>4453</v>
      </c>
      <c r="I1665">
        <v>4</v>
      </c>
      <c r="J1665" t="s">
        <v>2558</v>
      </c>
      <c r="K1665">
        <v>68</v>
      </c>
      <c r="L1665" t="s">
        <v>13015</v>
      </c>
      <c r="M1665" t="s">
        <v>13016</v>
      </c>
      <c r="N1665" t="s">
        <v>12938</v>
      </c>
      <c r="O1665" t="s">
        <v>12939</v>
      </c>
      <c r="P1665" t="s">
        <v>13017</v>
      </c>
      <c r="Q1665" t="s">
        <v>13018</v>
      </c>
      <c r="R1665" t="s">
        <v>13019</v>
      </c>
      <c r="S1665" s="2">
        <v>41275</v>
      </c>
      <c r="T1665" t="s">
        <v>13020</v>
      </c>
      <c r="U1665" t="s">
        <v>12943</v>
      </c>
      <c r="V1665">
        <v>0</v>
      </c>
      <c r="W1665">
        <v>5</v>
      </c>
      <c r="X1665">
        <v>210933</v>
      </c>
      <c r="Y1665" t="s">
        <v>3153</v>
      </c>
      <c r="Z1665" t="s">
        <v>13018</v>
      </c>
      <c r="AA1665" t="s">
        <v>6253</v>
      </c>
      <c r="AB1665" t="s">
        <v>45</v>
      </c>
      <c r="AC1665" t="s">
        <v>12944</v>
      </c>
    </row>
    <row r="1666" spans="1:29">
      <c r="A1666" t="s">
        <v>11577</v>
      </c>
      <c r="B1666" s="1">
        <v>119892</v>
      </c>
      <c r="C1666" t="s">
        <v>3043</v>
      </c>
      <c r="D1666" t="s">
        <v>4201</v>
      </c>
      <c r="E1666" s="1">
        <v>-3353</v>
      </c>
      <c r="F1666" t="s">
        <v>528</v>
      </c>
      <c r="G1666" t="s">
        <v>435</v>
      </c>
      <c r="H1666" t="s">
        <v>13021</v>
      </c>
      <c r="I1666">
        <v>4</v>
      </c>
      <c r="J1666" t="s">
        <v>7109</v>
      </c>
      <c r="K1666">
        <v>74</v>
      </c>
      <c r="L1666" t="s">
        <v>13022</v>
      </c>
      <c r="M1666" t="s">
        <v>13023</v>
      </c>
      <c r="N1666" t="s">
        <v>13024</v>
      </c>
      <c r="O1666" t="s">
        <v>12939</v>
      </c>
      <c r="P1666" t="s">
        <v>13025</v>
      </c>
      <c r="Q1666" t="s">
        <v>13026</v>
      </c>
      <c r="R1666" t="s">
        <v>13027</v>
      </c>
      <c r="S1666" s="2">
        <v>42244</v>
      </c>
      <c r="T1666">
        <v>0</v>
      </c>
      <c r="U1666" t="s">
        <v>13028</v>
      </c>
      <c r="V1666">
        <v>1</v>
      </c>
      <c r="W1666">
        <v>2</v>
      </c>
      <c r="X1666">
        <v>237093</v>
      </c>
      <c r="Y1666" t="s">
        <v>2949</v>
      </c>
      <c r="Z1666" t="s">
        <v>13026</v>
      </c>
      <c r="AA1666" t="s">
        <v>6253</v>
      </c>
      <c r="AB1666" t="s">
        <v>45</v>
      </c>
      <c r="AC1666" t="s">
        <v>12944</v>
      </c>
    </row>
    <row r="1667" spans="1:29">
      <c r="A1667" t="s">
        <v>4424</v>
      </c>
      <c r="B1667" s="1">
        <v>117952</v>
      </c>
      <c r="C1667" t="s">
        <v>2794</v>
      </c>
      <c r="D1667" t="s">
        <v>4201</v>
      </c>
      <c r="E1667" s="1">
        <v>-8438</v>
      </c>
      <c r="F1667" t="s">
        <v>2173</v>
      </c>
      <c r="G1667" t="s">
        <v>435</v>
      </c>
      <c r="H1667" t="s">
        <v>13029</v>
      </c>
      <c r="I1667">
        <v>4</v>
      </c>
      <c r="J1667" t="s">
        <v>1511</v>
      </c>
      <c r="K1667">
        <v>68</v>
      </c>
      <c r="L1667" t="s">
        <v>13030</v>
      </c>
      <c r="M1667" t="s">
        <v>13031</v>
      </c>
      <c r="N1667" t="s">
        <v>13032</v>
      </c>
      <c r="O1667" t="s">
        <v>12939</v>
      </c>
      <c r="P1667" t="s">
        <v>13033</v>
      </c>
      <c r="Q1667" t="s">
        <v>13034</v>
      </c>
      <c r="R1667" t="s">
        <v>13035</v>
      </c>
      <c r="S1667" s="2">
        <v>44862</v>
      </c>
      <c r="T1667" t="s">
        <v>5447</v>
      </c>
      <c r="U1667" t="s">
        <v>13036</v>
      </c>
      <c r="V1667">
        <v>0</v>
      </c>
      <c r="W1667">
        <v>1</v>
      </c>
      <c r="X1667">
        <v>146441</v>
      </c>
      <c r="Y1667" t="s">
        <v>486</v>
      </c>
      <c r="Z1667" t="s">
        <v>13034</v>
      </c>
      <c r="AA1667" t="s">
        <v>6253</v>
      </c>
      <c r="AB1667" t="s">
        <v>45</v>
      </c>
      <c r="AC1667" t="s">
        <v>12944</v>
      </c>
    </row>
    <row r="1668" spans="1:29">
      <c r="A1668" t="s">
        <v>3094</v>
      </c>
      <c r="B1668" s="1">
        <v>118093</v>
      </c>
      <c r="C1668" t="s">
        <v>503</v>
      </c>
      <c r="D1668" t="s">
        <v>4201</v>
      </c>
      <c r="E1668" s="1">
        <v>-9072</v>
      </c>
      <c r="F1668" t="s">
        <v>2402</v>
      </c>
      <c r="G1668" t="s">
        <v>10118</v>
      </c>
      <c r="H1668" t="s">
        <v>13037</v>
      </c>
      <c r="I1668">
        <v>4</v>
      </c>
      <c r="J1668" t="s">
        <v>3646</v>
      </c>
      <c r="K1668">
        <v>74</v>
      </c>
      <c r="L1668" t="s">
        <v>13038</v>
      </c>
      <c r="M1668" t="s">
        <v>13039</v>
      </c>
      <c r="N1668" t="s">
        <v>13040</v>
      </c>
      <c r="O1668" t="s">
        <v>12939</v>
      </c>
      <c r="P1668" t="s">
        <v>13041</v>
      </c>
      <c r="Q1668" t="s">
        <v>13042</v>
      </c>
      <c r="R1668" t="s">
        <v>13040</v>
      </c>
      <c r="S1668" s="2">
        <v>45415</v>
      </c>
      <c r="T1668">
        <v>0</v>
      </c>
      <c r="U1668" t="s">
        <v>13043</v>
      </c>
      <c r="V1668">
        <v>0</v>
      </c>
      <c r="W1668">
        <v>0</v>
      </c>
      <c r="X1668">
        <v>165894</v>
      </c>
      <c r="Y1668" t="s">
        <v>838</v>
      </c>
      <c r="Z1668" t="s">
        <v>13042</v>
      </c>
      <c r="AA1668" t="s">
        <v>6253</v>
      </c>
      <c r="AB1668" t="s">
        <v>45</v>
      </c>
      <c r="AC1668" t="s">
        <v>12944</v>
      </c>
    </row>
    <row r="1669" spans="1:29">
      <c r="A1669" t="s">
        <v>2813</v>
      </c>
      <c r="B1669" s="1">
        <v>130081</v>
      </c>
      <c r="C1669" t="s">
        <v>642</v>
      </c>
      <c r="D1669" t="s">
        <v>4201</v>
      </c>
      <c r="E1669" s="1">
        <v>-7472</v>
      </c>
      <c r="F1669" t="s">
        <v>2414</v>
      </c>
      <c r="G1669" t="s">
        <v>43</v>
      </c>
      <c r="H1669" t="s">
        <v>13044</v>
      </c>
      <c r="I1669">
        <v>4</v>
      </c>
      <c r="J1669" t="s">
        <v>4308</v>
      </c>
      <c r="K1669">
        <v>69</v>
      </c>
      <c r="L1669" t="s">
        <v>13045</v>
      </c>
      <c r="M1669" t="s">
        <v>13046</v>
      </c>
      <c r="N1669" t="s">
        <v>13047</v>
      </c>
      <c r="O1669" t="s">
        <v>12939</v>
      </c>
      <c r="P1669" t="s">
        <v>13048</v>
      </c>
      <c r="Q1669" t="s">
        <v>13049</v>
      </c>
      <c r="R1669" t="s">
        <v>13050</v>
      </c>
      <c r="S1669" s="2">
        <v>45555</v>
      </c>
      <c r="T1669">
        <v>0</v>
      </c>
      <c r="U1669" t="s">
        <v>13051</v>
      </c>
      <c r="V1669">
        <v>1</v>
      </c>
      <c r="W1669">
        <v>10</v>
      </c>
      <c r="X1669">
        <v>169846</v>
      </c>
      <c r="Y1669" t="s">
        <v>301</v>
      </c>
      <c r="Z1669" t="s">
        <v>13049</v>
      </c>
      <c r="AA1669" t="s">
        <v>6253</v>
      </c>
      <c r="AB1669" t="s">
        <v>45</v>
      </c>
      <c r="AC1669" t="s">
        <v>12944</v>
      </c>
    </row>
    <row r="1670" spans="1:29">
      <c r="A1670" t="s">
        <v>4813</v>
      </c>
      <c r="B1670" t="s">
        <v>13052</v>
      </c>
      <c r="C1670" t="s">
        <v>2241</v>
      </c>
      <c r="D1670" t="s">
        <v>4201</v>
      </c>
      <c r="E1670" s="1">
        <v>-7006</v>
      </c>
      <c r="F1670" t="s">
        <v>49</v>
      </c>
      <c r="G1670" t="s">
        <v>2041</v>
      </c>
      <c r="H1670" t="s">
        <v>13053</v>
      </c>
      <c r="I1670">
        <v>4</v>
      </c>
      <c r="J1670" t="s">
        <v>3624</v>
      </c>
      <c r="K1670">
        <v>71</v>
      </c>
      <c r="L1670" t="s">
        <v>13054</v>
      </c>
      <c r="M1670" t="s">
        <v>13055</v>
      </c>
      <c r="N1670" t="s">
        <v>13047</v>
      </c>
      <c r="O1670" t="s">
        <v>12939</v>
      </c>
      <c r="P1670" t="s">
        <v>13056</v>
      </c>
      <c r="Q1670" t="s">
        <v>13057</v>
      </c>
      <c r="R1670" t="s">
        <v>13058</v>
      </c>
      <c r="S1670" s="2">
        <v>45555</v>
      </c>
      <c r="T1670">
        <v>0</v>
      </c>
      <c r="U1670" t="s">
        <v>13051</v>
      </c>
      <c r="V1670">
        <v>0</v>
      </c>
      <c r="W1670">
        <v>6</v>
      </c>
      <c r="X1670">
        <v>246979</v>
      </c>
      <c r="Y1670" t="s">
        <v>2949</v>
      </c>
      <c r="Z1670" t="s">
        <v>13057</v>
      </c>
      <c r="AA1670" t="s">
        <v>6253</v>
      </c>
      <c r="AB1670" t="s">
        <v>45</v>
      </c>
      <c r="AC1670" t="s">
        <v>12944</v>
      </c>
    </row>
    <row r="1671" spans="1:29">
      <c r="A1671" t="s">
        <v>212</v>
      </c>
      <c r="B1671" s="1">
        <v>130081</v>
      </c>
      <c r="C1671" t="s">
        <v>642</v>
      </c>
      <c r="D1671" t="s">
        <v>4201</v>
      </c>
      <c r="E1671" s="1">
        <v>-7472</v>
      </c>
      <c r="F1671" t="s">
        <v>2414</v>
      </c>
      <c r="G1671" t="s">
        <v>4712</v>
      </c>
      <c r="H1671" t="s">
        <v>13044</v>
      </c>
      <c r="I1671">
        <v>4</v>
      </c>
      <c r="J1671" t="s">
        <v>4308</v>
      </c>
      <c r="K1671">
        <v>71</v>
      </c>
      <c r="L1671" t="s">
        <v>13059</v>
      </c>
      <c r="M1671" t="s">
        <v>13060</v>
      </c>
      <c r="N1671" t="s">
        <v>13050</v>
      </c>
      <c r="O1671" t="s">
        <v>12939</v>
      </c>
      <c r="P1671" t="s">
        <v>13061</v>
      </c>
      <c r="Q1671" t="s">
        <v>13062</v>
      </c>
      <c r="R1671" t="s">
        <v>13050</v>
      </c>
      <c r="S1671" s="2">
        <v>45533</v>
      </c>
      <c r="T1671">
        <v>0</v>
      </c>
      <c r="U1671" t="s">
        <v>13063</v>
      </c>
      <c r="V1671">
        <v>1</v>
      </c>
      <c r="W1671">
        <v>10</v>
      </c>
      <c r="X1671">
        <v>169846</v>
      </c>
      <c r="Y1671" t="s">
        <v>301</v>
      </c>
      <c r="Z1671" t="s">
        <v>13062</v>
      </c>
      <c r="AA1671" t="s">
        <v>6253</v>
      </c>
      <c r="AB1671" t="s">
        <v>45</v>
      </c>
      <c r="AC1671" t="s">
        <v>12944</v>
      </c>
    </row>
    <row r="1672" spans="1:29">
      <c r="A1672" t="s">
        <v>1880</v>
      </c>
      <c r="B1672" s="1">
        <v>102025</v>
      </c>
      <c r="C1672" t="s">
        <v>915</v>
      </c>
      <c r="D1672" t="s">
        <v>3468</v>
      </c>
      <c r="E1672" s="1">
        <v>-7986</v>
      </c>
      <c r="F1672" t="s">
        <v>11043</v>
      </c>
      <c r="G1672" t="s">
        <v>5317</v>
      </c>
      <c r="H1672" t="s">
        <v>13064</v>
      </c>
      <c r="I1672">
        <v>4</v>
      </c>
      <c r="J1672" t="s">
        <v>958</v>
      </c>
      <c r="K1672">
        <v>71</v>
      </c>
      <c r="L1672" t="s">
        <v>13065</v>
      </c>
      <c r="M1672" t="s">
        <v>13066</v>
      </c>
      <c r="N1672" t="s">
        <v>13067</v>
      </c>
      <c r="O1672" t="s">
        <v>13068</v>
      </c>
      <c r="P1672" t="s">
        <v>13069</v>
      </c>
      <c r="Q1672" t="s">
        <v>13070</v>
      </c>
      <c r="R1672" t="s">
        <v>13067</v>
      </c>
      <c r="S1672" s="2">
        <v>43217</v>
      </c>
      <c r="T1672" t="s">
        <v>13071</v>
      </c>
      <c r="U1672" t="s">
        <v>13072</v>
      </c>
      <c r="V1672">
        <v>0</v>
      </c>
      <c r="W1672">
        <v>5</v>
      </c>
      <c r="X1672">
        <v>249957</v>
      </c>
      <c r="Y1672" t="s">
        <v>4095</v>
      </c>
      <c r="Z1672" t="s">
        <v>13070</v>
      </c>
      <c r="AA1672" t="s">
        <v>13073</v>
      </c>
      <c r="AB1672" t="s">
        <v>45</v>
      </c>
      <c r="AC1672" t="s">
        <v>13074</v>
      </c>
    </row>
    <row r="1673" spans="1:29">
      <c r="A1673" t="s">
        <v>6077</v>
      </c>
      <c r="B1673" t="s">
        <v>13075</v>
      </c>
      <c r="C1673" t="s">
        <v>3613</v>
      </c>
      <c r="D1673" t="s">
        <v>3468</v>
      </c>
      <c r="E1673" s="1">
        <v>-3067</v>
      </c>
      <c r="F1673" t="s">
        <v>6699</v>
      </c>
      <c r="G1673" t="s">
        <v>6077</v>
      </c>
      <c r="H1673" t="s">
        <v>13076</v>
      </c>
      <c r="I1673">
        <v>4</v>
      </c>
      <c r="J1673" t="s">
        <v>1349</v>
      </c>
      <c r="K1673">
        <v>79</v>
      </c>
      <c r="L1673" t="s">
        <v>13077</v>
      </c>
      <c r="M1673" t="s">
        <v>13078</v>
      </c>
      <c r="N1673" t="s">
        <v>13079</v>
      </c>
      <c r="O1673" t="s">
        <v>13068</v>
      </c>
      <c r="P1673" t="s">
        <v>13080</v>
      </c>
      <c r="Q1673" t="s">
        <v>13081</v>
      </c>
      <c r="R1673" t="s">
        <v>13082</v>
      </c>
      <c r="S1673" s="2">
        <v>43875</v>
      </c>
      <c r="T1673" t="s">
        <v>1782</v>
      </c>
      <c r="U1673" t="s">
        <v>13083</v>
      </c>
      <c r="V1673">
        <v>0</v>
      </c>
      <c r="W1673">
        <v>5</v>
      </c>
      <c r="X1673">
        <v>237800</v>
      </c>
      <c r="Y1673" t="s">
        <v>6477</v>
      </c>
      <c r="Z1673" t="s">
        <v>13081</v>
      </c>
      <c r="AA1673" t="s">
        <v>13073</v>
      </c>
      <c r="AB1673" t="s">
        <v>45</v>
      </c>
      <c r="AC1673" t="s">
        <v>13074</v>
      </c>
    </row>
    <row r="1674" spans="1:29">
      <c r="A1674" t="s">
        <v>539</v>
      </c>
      <c r="B1674" s="1">
        <v>168017</v>
      </c>
      <c r="C1674" t="s">
        <v>3597</v>
      </c>
      <c r="D1674" t="s">
        <v>3468</v>
      </c>
      <c r="E1674" s="1">
        <v>-4974</v>
      </c>
      <c r="F1674" t="s">
        <v>134</v>
      </c>
      <c r="G1674" t="s">
        <v>1479</v>
      </c>
      <c r="H1674" t="s">
        <v>3598</v>
      </c>
      <c r="I1674">
        <v>4</v>
      </c>
      <c r="J1674" t="s">
        <v>1693</v>
      </c>
      <c r="K1674">
        <v>76</v>
      </c>
      <c r="L1674" t="s">
        <v>3599</v>
      </c>
      <c r="M1674" t="s">
        <v>3600</v>
      </c>
      <c r="N1674" t="s">
        <v>3601</v>
      </c>
      <c r="O1674" t="s">
        <v>13068</v>
      </c>
      <c r="P1674" t="s">
        <v>3602</v>
      </c>
      <c r="Q1674" t="s">
        <v>3603</v>
      </c>
      <c r="R1674" t="s">
        <v>3601</v>
      </c>
      <c r="S1674" s="2">
        <v>44630</v>
      </c>
      <c r="T1674" t="s">
        <v>2118</v>
      </c>
      <c r="U1674" t="s">
        <v>3604</v>
      </c>
      <c r="V1674">
        <v>0</v>
      </c>
      <c r="W1674">
        <v>6</v>
      </c>
      <c r="X1674">
        <v>162339</v>
      </c>
      <c r="Y1674" t="s">
        <v>3605</v>
      </c>
      <c r="Z1674" t="s">
        <v>3603</v>
      </c>
      <c r="AA1674" t="s">
        <v>13073</v>
      </c>
      <c r="AB1674" t="s">
        <v>45</v>
      </c>
      <c r="AC1674" t="s">
        <v>13074</v>
      </c>
    </row>
    <row r="1675" spans="1:29">
      <c r="A1675" t="s">
        <v>308</v>
      </c>
      <c r="B1675" s="1">
        <v>118018</v>
      </c>
      <c r="C1675" t="s">
        <v>380</v>
      </c>
      <c r="D1675" t="s">
        <v>3468</v>
      </c>
      <c r="E1675" s="1">
        <v>-5474</v>
      </c>
      <c r="F1675" t="s">
        <v>279</v>
      </c>
      <c r="G1675" t="s">
        <v>1131</v>
      </c>
      <c r="H1675" t="s">
        <v>13076</v>
      </c>
      <c r="I1675">
        <v>4</v>
      </c>
      <c r="J1675" t="s">
        <v>1609</v>
      </c>
      <c r="K1675">
        <v>68</v>
      </c>
      <c r="L1675" t="s">
        <v>13084</v>
      </c>
      <c r="M1675" t="s">
        <v>13085</v>
      </c>
      <c r="N1675" t="s">
        <v>13079</v>
      </c>
      <c r="O1675" t="s">
        <v>13068</v>
      </c>
      <c r="P1675" t="s">
        <v>13086</v>
      </c>
      <c r="Q1675" t="s">
        <v>13087</v>
      </c>
      <c r="R1675" t="s">
        <v>13088</v>
      </c>
      <c r="S1675" s="2">
        <v>43875</v>
      </c>
      <c r="T1675" t="s">
        <v>1250</v>
      </c>
      <c r="U1675" t="s">
        <v>13083</v>
      </c>
      <c r="V1675">
        <v>1</v>
      </c>
      <c r="W1675">
        <v>0</v>
      </c>
      <c r="X1675">
        <v>239267</v>
      </c>
      <c r="Y1675" t="s">
        <v>13089</v>
      </c>
      <c r="Z1675" t="s">
        <v>13087</v>
      </c>
      <c r="AA1675" t="s">
        <v>13073</v>
      </c>
      <c r="AB1675" t="s">
        <v>45</v>
      </c>
      <c r="AC1675" t="s">
        <v>13074</v>
      </c>
    </row>
    <row r="1676" spans="1:29">
      <c r="A1676" t="s">
        <v>293</v>
      </c>
      <c r="B1676" t="s">
        <v>11836</v>
      </c>
      <c r="C1676" t="s">
        <v>1990</v>
      </c>
      <c r="D1676" t="s">
        <v>3029</v>
      </c>
      <c r="E1676" s="1">
        <v>-5534</v>
      </c>
      <c r="F1676" t="s">
        <v>4007</v>
      </c>
      <c r="G1676" t="s">
        <v>1153</v>
      </c>
      <c r="H1676" t="s">
        <v>11837</v>
      </c>
      <c r="I1676">
        <v>4</v>
      </c>
      <c r="J1676" t="s">
        <v>6608</v>
      </c>
      <c r="K1676">
        <v>70</v>
      </c>
      <c r="L1676" t="s">
        <v>11838</v>
      </c>
      <c r="M1676" t="s">
        <v>11839</v>
      </c>
      <c r="N1676" t="s">
        <v>11840</v>
      </c>
      <c r="O1676" t="s">
        <v>13090</v>
      </c>
      <c r="P1676" t="s">
        <v>11841</v>
      </c>
      <c r="Q1676" t="s">
        <v>11842</v>
      </c>
      <c r="R1676" t="s">
        <v>11840</v>
      </c>
      <c r="S1676" s="2">
        <v>44722</v>
      </c>
      <c r="T1676">
        <v>0</v>
      </c>
      <c r="U1676" t="s">
        <v>11843</v>
      </c>
      <c r="V1676">
        <v>0</v>
      </c>
      <c r="W1676">
        <v>10</v>
      </c>
      <c r="X1676">
        <v>147581</v>
      </c>
      <c r="Y1676" t="s">
        <v>3053</v>
      </c>
      <c r="Z1676" t="s">
        <v>11842</v>
      </c>
      <c r="AA1676" t="s">
        <v>13091</v>
      </c>
      <c r="AB1676" t="s">
        <v>45</v>
      </c>
      <c r="AC1676" t="s">
        <v>13092</v>
      </c>
    </row>
    <row r="1677" spans="1:29">
      <c r="A1677" t="s">
        <v>866</v>
      </c>
      <c r="B1677" s="1">
        <v>107007</v>
      </c>
      <c r="C1677" t="s">
        <v>4393</v>
      </c>
      <c r="D1677" t="s">
        <v>3029</v>
      </c>
      <c r="E1677" s="1">
        <v>-6333</v>
      </c>
      <c r="F1677" t="s">
        <v>211</v>
      </c>
      <c r="G1677" t="s">
        <v>727</v>
      </c>
      <c r="H1677" t="s">
        <v>5483</v>
      </c>
      <c r="I1677">
        <v>4</v>
      </c>
      <c r="J1677" t="s">
        <v>841</v>
      </c>
      <c r="K1677">
        <v>69</v>
      </c>
      <c r="L1677" t="s">
        <v>13093</v>
      </c>
      <c r="M1677" t="s">
        <v>13094</v>
      </c>
      <c r="N1677" t="s">
        <v>13095</v>
      </c>
      <c r="O1677" t="s">
        <v>13090</v>
      </c>
      <c r="P1677" t="s">
        <v>13096</v>
      </c>
      <c r="Q1677" t="s">
        <v>13097</v>
      </c>
      <c r="R1677" t="s">
        <v>13095</v>
      </c>
      <c r="S1677" s="2">
        <v>44602</v>
      </c>
      <c r="T1677" t="s">
        <v>10967</v>
      </c>
      <c r="U1677" t="s">
        <v>13098</v>
      </c>
      <c r="V1677">
        <v>1</v>
      </c>
      <c r="W1677">
        <v>11</v>
      </c>
      <c r="X1677">
        <v>219813</v>
      </c>
      <c r="Y1677" t="s">
        <v>1141</v>
      </c>
      <c r="Z1677" t="s">
        <v>13097</v>
      </c>
      <c r="AA1677" t="s">
        <v>13091</v>
      </c>
      <c r="AB1677" t="s">
        <v>45</v>
      </c>
      <c r="AC1677" t="s">
        <v>13092</v>
      </c>
    </row>
    <row r="1678" spans="1:29">
      <c r="A1678" t="s">
        <v>2886</v>
      </c>
      <c r="B1678" t="s">
        <v>11786</v>
      </c>
      <c r="C1678" t="s">
        <v>2972</v>
      </c>
      <c r="D1678" t="s">
        <v>3029</v>
      </c>
      <c r="E1678" s="1">
        <v>-8044</v>
      </c>
      <c r="F1678" t="s">
        <v>6456</v>
      </c>
      <c r="G1678" t="s">
        <v>2002</v>
      </c>
      <c r="H1678" t="s">
        <v>11787</v>
      </c>
      <c r="I1678">
        <v>4</v>
      </c>
      <c r="J1678" t="s">
        <v>6092</v>
      </c>
      <c r="K1678">
        <v>68</v>
      </c>
      <c r="L1678" t="s">
        <v>11788</v>
      </c>
      <c r="M1678" t="s">
        <v>11789</v>
      </c>
      <c r="N1678" t="s">
        <v>11790</v>
      </c>
      <c r="O1678" t="s">
        <v>13090</v>
      </c>
      <c r="P1678" t="s">
        <v>11791</v>
      </c>
      <c r="Q1678" t="s">
        <v>11792</v>
      </c>
      <c r="R1678" t="s">
        <v>11790</v>
      </c>
      <c r="S1678" s="2">
        <v>44820</v>
      </c>
      <c r="T1678" t="s">
        <v>11793</v>
      </c>
      <c r="U1678" t="s">
        <v>11794</v>
      </c>
      <c r="V1678">
        <v>1</v>
      </c>
      <c r="W1678">
        <v>1</v>
      </c>
      <c r="X1678">
        <v>185093</v>
      </c>
      <c r="Y1678" t="s">
        <v>1349</v>
      </c>
      <c r="Z1678" t="s">
        <v>11792</v>
      </c>
      <c r="AA1678" t="s">
        <v>13091</v>
      </c>
      <c r="AB1678" t="s">
        <v>45</v>
      </c>
      <c r="AC1678" t="s">
        <v>13092</v>
      </c>
    </row>
    <row r="1679" spans="1:29">
      <c r="A1679" t="s">
        <v>241</v>
      </c>
      <c r="B1679" s="1">
        <v>103993</v>
      </c>
      <c r="C1679" t="s">
        <v>2125</v>
      </c>
      <c r="D1679" t="s">
        <v>3029</v>
      </c>
      <c r="E1679" s="1">
        <v>-6148</v>
      </c>
      <c r="F1679" t="s">
        <v>2843</v>
      </c>
      <c r="G1679" t="s">
        <v>2559</v>
      </c>
      <c r="H1679" t="s">
        <v>11814</v>
      </c>
      <c r="I1679">
        <v>4</v>
      </c>
      <c r="J1679" t="s">
        <v>4161</v>
      </c>
      <c r="K1679">
        <v>68</v>
      </c>
      <c r="L1679" t="s">
        <v>11815</v>
      </c>
      <c r="M1679" t="s">
        <v>11816</v>
      </c>
      <c r="N1679" t="s">
        <v>11817</v>
      </c>
      <c r="O1679" t="s">
        <v>13090</v>
      </c>
      <c r="P1679" t="s">
        <v>11818</v>
      </c>
      <c r="Q1679" t="s">
        <v>11819</v>
      </c>
      <c r="R1679" t="s">
        <v>11820</v>
      </c>
      <c r="S1679" s="2">
        <v>43812</v>
      </c>
      <c r="T1679" t="s">
        <v>11821</v>
      </c>
      <c r="U1679" t="s">
        <v>11822</v>
      </c>
      <c r="V1679">
        <v>0</v>
      </c>
      <c r="W1679">
        <v>0</v>
      </c>
      <c r="X1679">
        <v>185461</v>
      </c>
      <c r="Y1679" t="s">
        <v>1894</v>
      </c>
      <c r="Z1679" t="s">
        <v>11819</v>
      </c>
      <c r="AA1679" t="s">
        <v>13091</v>
      </c>
      <c r="AB1679" t="s">
        <v>45</v>
      </c>
      <c r="AC1679" t="s">
        <v>13092</v>
      </c>
    </row>
    <row r="1680" spans="1:29">
      <c r="A1680" t="s">
        <v>10021</v>
      </c>
      <c r="B1680" s="1">
        <v>100053</v>
      </c>
      <c r="C1680" t="s">
        <v>262</v>
      </c>
      <c r="D1680" t="s">
        <v>3029</v>
      </c>
      <c r="E1680" s="1">
        <v>-8735</v>
      </c>
      <c r="F1680" t="s">
        <v>331</v>
      </c>
      <c r="G1680" t="s">
        <v>552</v>
      </c>
      <c r="H1680" t="s">
        <v>13099</v>
      </c>
      <c r="I1680">
        <v>4</v>
      </c>
      <c r="J1680" t="s">
        <v>1864</v>
      </c>
      <c r="K1680">
        <v>68</v>
      </c>
      <c r="L1680" t="s">
        <v>13100</v>
      </c>
      <c r="M1680" t="s">
        <v>13101</v>
      </c>
      <c r="N1680" t="s">
        <v>13102</v>
      </c>
      <c r="O1680" t="s">
        <v>13090</v>
      </c>
      <c r="P1680" t="s">
        <v>13103</v>
      </c>
      <c r="Q1680" t="s">
        <v>13104</v>
      </c>
      <c r="R1680" t="s">
        <v>13105</v>
      </c>
      <c r="S1680" s="2">
        <v>44442</v>
      </c>
      <c r="T1680" t="s">
        <v>13106</v>
      </c>
      <c r="U1680" t="s">
        <v>13107</v>
      </c>
      <c r="V1680">
        <v>0</v>
      </c>
      <c r="W1680">
        <v>10</v>
      </c>
      <c r="X1680">
        <v>192418</v>
      </c>
      <c r="Y1680" t="s">
        <v>2884</v>
      </c>
      <c r="Z1680" t="s">
        <v>13104</v>
      </c>
      <c r="AA1680" t="s">
        <v>13091</v>
      </c>
      <c r="AB1680" t="s">
        <v>45</v>
      </c>
      <c r="AC1680" t="s">
        <v>13092</v>
      </c>
    </row>
    <row r="1681" spans="1:29">
      <c r="A1681" t="s">
        <v>513</v>
      </c>
      <c r="B1681" s="1">
        <v>123879</v>
      </c>
      <c r="C1681" t="s">
        <v>4347</v>
      </c>
      <c r="D1681" t="s">
        <v>3029</v>
      </c>
      <c r="E1681" s="1">
        <v>-8187</v>
      </c>
      <c r="F1681" t="s">
        <v>255</v>
      </c>
      <c r="G1681" t="s">
        <v>3545</v>
      </c>
      <c r="H1681" t="s">
        <v>11796</v>
      </c>
      <c r="I1681">
        <v>5</v>
      </c>
      <c r="J1681" t="s">
        <v>2702</v>
      </c>
      <c r="K1681">
        <v>71</v>
      </c>
      <c r="L1681" t="s">
        <v>11844</v>
      </c>
      <c r="M1681" t="s">
        <v>11845</v>
      </c>
      <c r="N1681" t="s">
        <v>11846</v>
      </c>
      <c r="O1681" t="s">
        <v>13090</v>
      </c>
      <c r="P1681" t="s">
        <v>11847</v>
      </c>
      <c r="Q1681" t="s">
        <v>11848</v>
      </c>
      <c r="R1681" t="s">
        <v>8412</v>
      </c>
      <c r="S1681" s="2">
        <v>44453</v>
      </c>
      <c r="T1681">
        <v>0</v>
      </c>
      <c r="U1681" t="s">
        <v>11849</v>
      </c>
      <c r="V1681">
        <v>1</v>
      </c>
      <c r="W1681">
        <v>9</v>
      </c>
      <c r="X1681">
        <v>180000</v>
      </c>
      <c r="Y1681" t="s">
        <v>5356</v>
      </c>
      <c r="Z1681" t="s">
        <v>11848</v>
      </c>
      <c r="AA1681" t="s">
        <v>13091</v>
      </c>
      <c r="AB1681" t="s">
        <v>45</v>
      </c>
      <c r="AC1681" t="s">
        <v>13092</v>
      </c>
    </row>
    <row r="1682" spans="1:29">
      <c r="A1682" t="s">
        <v>1990</v>
      </c>
      <c r="B1682" s="1">
        <v>113009</v>
      </c>
      <c r="C1682" t="s">
        <v>503</v>
      </c>
      <c r="D1682" t="s">
        <v>3029</v>
      </c>
      <c r="E1682" s="1">
        <v>-9674</v>
      </c>
      <c r="F1682" t="s">
        <v>408</v>
      </c>
      <c r="G1682" t="s">
        <v>1894</v>
      </c>
      <c r="H1682" t="s">
        <v>13108</v>
      </c>
      <c r="I1682">
        <v>4</v>
      </c>
      <c r="J1682" t="s">
        <v>3369</v>
      </c>
      <c r="K1682">
        <v>69</v>
      </c>
      <c r="L1682" t="s">
        <v>13109</v>
      </c>
      <c r="M1682" t="s">
        <v>13110</v>
      </c>
      <c r="N1682" t="s">
        <v>166</v>
      </c>
      <c r="O1682" t="s">
        <v>13090</v>
      </c>
      <c r="P1682" t="s">
        <v>13111</v>
      </c>
      <c r="Q1682" t="s">
        <v>13112</v>
      </c>
      <c r="R1682" t="s">
        <v>13113</v>
      </c>
      <c r="S1682" s="2">
        <v>45015</v>
      </c>
      <c r="T1682" t="s">
        <v>12754</v>
      </c>
      <c r="U1682" t="s">
        <v>13114</v>
      </c>
      <c r="V1682">
        <v>1</v>
      </c>
      <c r="W1682">
        <v>2</v>
      </c>
      <c r="X1682">
        <v>169912</v>
      </c>
      <c r="Y1682" t="s">
        <v>2220</v>
      </c>
      <c r="Z1682" t="s">
        <v>13112</v>
      </c>
      <c r="AA1682" t="s">
        <v>13091</v>
      </c>
      <c r="AB1682" t="s">
        <v>45</v>
      </c>
      <c r="AC1682" t="s">
        <v>13092</v>
      </c>
    </row>
    <row r="1683" spans="1:29">
      <c r="A1683" t="s">
        <v>948</v>
      </c>
      <c r="B1683" s="1">
        <v>124357</v>
      </c>
      <c r="C1683" t="s">
        <v>1737</v>
      </c>
      <c r="D1683" t="s">
        <v>3029</v>
      </c>
      <c r="E1683" s="1">
        <v>-7621</v>
      </c>
      <c r="F1683" t="s">
        <v>1643</v>
      </c>
      <c r="G1683" t="s">
        <v>838</v>
      </c>
      <c r="H1683" t="s">
        <v>13115</v>
      </c>
      <c r="I1683">
        <v>5</v>
      </c>
      <c r="J1683" t="s">
        <v>540</v>
      </c>
      <c r="K1683">
        <v>76</v>
      </c>
      <c r="L1683" t="s">
        <v>13116</v>
      </c>
      <c r="M1683" t="s">
        <v>13117</v>
      </c>
      <c r="N1683" t="s">
        <v>13118</v>
      </c>
      <c r="O1683" t="s">
        <v>13090</v>
      </c>
      <c r="P1683" t="s">
        <v>13119</v>
      </c>
      <c r="Q1683" t="s">
        <v>13120</v>
      </c>
      <c r="R1683" t="s">
        <v>13118</v>
      </c>
      <c r="S1683" s="2">
        <v>44901</v>
      </c>
      <c r="T1683" t="s">
        <v>3130</v>
      </c>
      <c r="U1683" t="s">
        <v>13121</v>
      </c>
      <c r="V1683">
        <v>0</v>
      </c>
      <c r="W1683">
        <v>10</v>
      </c>
      <c r="X1683">
        <v>184791</v>
      </c>
      <c r="Y1683" t="s">
        <v>1049</v>
      </c>
      <c r="Z1683" t="s">
        <v>13120</v>
      </c>
      <c r="AA1683" t="s">
        <v>13091</v>
      </c>
      <c r="AB1683" t="s">
        <v>45</v>
      </c>
      <c r="AC1683" t="s">
        <v>13092</v>
      </c>
    </row>
    <row r="1684" spans="1:29">
      <c r="A1684" t="s">
        <v>332</v>
      </c>
      <c r="B1684" s="1">
        <v>105016</v>
      </c>
      <c r="C1684" t="s">
        <v>605</v>
      </c>
      <c r="D1684" t="s">
        <v>3029</v>
      </c>
      <c r="E1684" s="1">
        <v>-8315</v>
      </c>
      <c r="F1684" t="s">
        <v>437</v>
      </c>
      <c r="G1684" t="s">
        <v>278</v>
      </c>
      <c r="H1684" t="s">
        <v>11771</v>
      </c>
      <c r="I1684">
        <v>4</v>
      </c>
      <c r="J1684" t="s">
        <v>10236</v>
      </c>
      <c r="K1684">
        <v>74</v>
      </c>
      <c r="L1684" t="s">
        <v>13122</v>
      </c>
      <c r="M1684" t="s">
        <v>13123</v>
      </c>
      <c r="N1684" t="s">
        <v>13124</v>
      </c>
      <c r="O1684" t="s">
        <v>13090</v>
      </c>
      <c r="P1684" t="s">
        <v>13125</v>
      </c>
      <c r="Q1684" t="s">
        <v>13126</v>
      </c>
      <c r="R1684" t="s">
        <v>13127</v>
      </c>
      <c r="S1684" s="2">
        <v>44756</v>
      </c>
      <c r="T1684" t="s">
        <v>715</v>
      </c>
      <c r="U1684" t="s">
        <v>13128</v>
      </c>
      <c r="V1684">
        <v>0</v>
      </c>
      <c r="W1684">
        <v>3</v>
      </c>
      <c r="X1684">
        <v>183057</v>
      </c>
      <c r="Y1684" t="s">
        <v>6531</v>
      </c>
      <c r="Z1684" t="s">
        <v>13126</v>
      </c>
      <c r="AA1684" t="s">
        <v>13091</v>
      </c>
      <c r="AB1684" t="s">
        <v>45</v>
      </c>
      <c r="AC1684" t="s">
        <v>13092</v>
      </c>
    </row>
    <row r="1685" spans="1:29">
      <c r="A1685" t="s">
        <v>3347</v>
      </c>
      <c r="B1685" s="1">
        <v>99005</v>
      </c>
      <c r="C1685" t="s">
        <v>3114</v>
      </c>
      <c r="D1685" t="s">
        <v>3029</v>
      </c>
      <c r="E1685" s="1">
        <v>-5022</v>
      </c>
      <c r="F1685" t="s">
        <v>5703</v>
      </c>
      <c r="G1685" t="s">
        <v>1786</v>
      </c>
      <c r="H1685" t="s">
        <v>13129</v>
      </c>
      <c r="I1685">
        <v>4</v>
      </c>
      <c r="J1685" t="s">
        <v>11093</v>
      </c>
      <c r="K1685">
        <v>69</v>
      </c>
      <c r="L1685" t="s">
        <v>13130</v>
      </c>
      <c r="M1685" t="s">
        <v>13131</v>
      </c>
      <c r="N1685" t="s">
        <v>166</v>
      </c>
      <c r="O1685" t="s">
        <v>13090</v>
      </c>
      <c r="P1685" t="s">
        <v>13132</v>
      </c>
      <c r="Q1685" t="s">
        <v>13133</v>
      </c>
      <c r="R1685" t="s">
        <v>13134</v>
      </c>
      <c r="S1685" s="2">
        <v>45015</v>
      </c>
      <c r="T1685">
        <v>0</v>
      </c>
      <c r="U1685" t="s">
        <v>13114</v>
      </c>
      <c r="V1685">
        <v>0</v>
      </c>
      <c r="W1685">
        <v>6</v>
      </c>
      <c r="X1685">
        <v>194040</v>
      </c>
      <c r="Y1685" t="s">
        <v>1797</v>
      </c>
      <c r="Z1685" t="s">
        <v>13133</v>
      </c>
      <c r="AA1685" t="s">
        <v>13091</v>
      </c>
      <c r="AB1685" t="s">
        <v>45</v>
      </c>
      <c r="AC1685" t="s">
        <v>13092</v>
      </c>
    </row>
    <row r="1686" spans="1:29">
      <c r="A1686" t="s">
        <v>1905</v>
      </c>
      <c r="B1686" s="1">
        <v>83389</v>
      </c>
      <c r="C1686" t="s">
        <v>2611</v>
      </c>
      <c r="D1686" t="s">
        <v>3029</v>
      </c>
      <c r="E1686" s="1">
        <v>-4474</v>
      </c>
      <c r="F1686" t="s">
        <v>4647</v>
      </c>
      <c r="G1686" t="s">
        <v>406</v>
      </c>
      <c r="H1686" t="s">
        <v>4983</v>
      </c>
      <c r="I1686">
        <v>4</v>
      </c>
      <c r="J1686" t="s">
        <v>2970</v>
      </c>
      <c r="K1686">
        <v>82</v>
      </c>
      <c r="L1686" t="s">
        <v>4984</v>
      </c>
      <c r="M1686" t="s">
        <v>4985</v>
      </c>
      <c r="N1686" t="s">
        <v>2789</v>
      </c>
      <c r="O1686" t="s">
        <v>13090</v>
      </c>
      <c r="P1686" t="s">
        <v>4986</v>
      </c>
      <c r="Q1686" t="s">
        <v>4987</v>
      </c>
      <c r="R1686" t="s">
        <v>4988</v>
      </c>
      <c r="S1686" s="2">
        <v>44680</v>
      </c>
      <c r="T1686">
        <v>0</v>
      </c>
      <c r="U1686" t="s">
        <v>2793</v>
      </c>
      <c r="V1686">
        <v>1</v>
      </c>
      <c r="W1686">
        <v>1</v>
      </c>
      <c r="X1686">
        <v>189893</v>
      </c>
      <c r="Y1686" t="s">
        <v>2620</v>
      </c>
      <c r="Z1686" t="s">
        <v>4987</v>
      </c>
      <c r="AA1686" t="s">
        <v>13091</v>
      </c>
      <c r="AB1686" t="s">
        <v>45</v>
      </c>
      <c r="AC1686" t="s">
        <v>13092</v>
      </c>
    </row>
    <row r="1687" spans="1:29">
      <c r="A1687" t="s">
        <v>684</v>
      </c>
      <c r="B1687" s="1">
        <v>126881</v>
      </c>
      <c r="C1687" t="s">
        <v>461</v>
      </c>
      <c r="D1687" t="s">
        <v>31</v>
      </c>
      <c r="E1687" s="1">
        <v>-4985</v>
      </c>
      <c r="F1687" t="s">
        <v>1141</v>
      </c>
      <c r="G1687" t="s">
        <v>1082</v>
      </c>
      <c r="H1687" t="s">
        <v>13135</v>
      </c>
      <c r="I1687">
        <v>4</v>
      </c>
      <c r="J1687" t="s">
        <v>785</v>
      </c>
      <c r="K1687">
        <v>69</v>
      </c>
      <c r="L1687" t="s">
        <v>13136</v>
      </c>
      <c r="M1687" t="s">
        <v>13137</v>
      </c>
      <c r="N1687" t="s">
        <v>13138</v>
      </c>
      <c r="O1687" t="s">
        <v>13139</v>
      </c>
      <c r="P1687" t="s">
        <v>13140</v>
      </c>
      <c r="Q1687" t="s">
        <v>13141</v>
      </c>
      <c r="R1687" t="s">
        <v>13138</v>
      </c>
      <c r="S1687" s="2">
        <v>45456</v>
      </c>
      <c r="T1687" t="s">
        <v>13142</v>
      </c>
      <c r="U1687" t="s">
        <v>13143</v>
      </c>
      <c r="V1687">
        <v>1</v>
      </c>
      <c r="W1687">
        <v>6</v>
      </c>
      <c r="X1687">
        <v>205087</v>
      </c>
      <c r="Y1687" t="s">
        <v>687</v>
      </c>
      <c r="Z1687" t="s">
        <v>13141</v>
      </c>
      <c r="AA1687" t="s">
        <v>13144</v>
      </c>
      <c r="AB1687" t="s">
        <v>45</v>
      </c>
      <c r="AC1687" t="s">
        <v>13145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97ED3-1DD1-2642-8994-62D9328651FD}">
  <dimension ref="A1:O1688"/>
  <sheetViews>
    <sheetView topLeftCell="A1629" zoomScale="93" workbookViewId="0">
      <selection activeCell="I2" sqref="I2:I1675"/>
    </sheetView>
  </sheetViews>
  <sheetFormatPr baseColWidth="10" defaultRowHeight="16" zeroHeight="1"/>
  <cols>
    <col min="1" max="1" width="9" customWidth="1"/>
    <col min="2" max="2" width="18.83203125" customWidth="1"/>
    <col min="3" max="3" width="13.83203125" customWidth="1"/>
    <col min="4" max="4" width="15.1640625" customWidth="1"/>
    <col min="5" max="5" width="10.1640625" customWidth="1"/>
    <col min="6" max="6" width="66.1640625" bestFit="1" customWidth="1"/>
    <col min="7" max="7" width="17" customWidth="1"/>
    <col min="8" max="8" width="19.83203125" bestFit="1" customWidth="1"/>
    <col min="9" max="9" width="73.83203125" bestFit="1" customWidth="1"/>
    <col min="10" max="10" width="11.5" customWidth="1"/>
    <col min="11" max="11" width="8" customWidth="1"/>
    <col min="12" max="12" width="6.5" customWidth="1"/>
    <col min="13" max="13" width="17.6640625" customWidth="1"/>
    <col min="14" max="14" width="15.6640625" customWidth="1"/>
    <col min="15" max="15" width="18.1640625" customWidth="1"/>
  </cols>
  <sheetData>
    <row r="1" spans="1:15">
      <c r="A1" s="18" t="s">
        <v>13221</v>
      </c>
      <c r="B1" s="19" t="s">
        <v>13286</v>
      </c>
      <c r="C1" s="18" t="s">
        <v>13223</v>
      </c>
      <c r="D1" s="20" t="s">
        <v>13258</v>
      </c>
      <c r="E1" s="18" t="s">
        <v>13224</v>
      </c>
      <c r="F1" s="18" t="s">
        <v>13225</v>
      </c>
      <c r="G1" s="18" t="s">
        <v>13226</v>
      </c>
      <c r="H1" s="20" t="s">
        <v>13227</v>
      </c>
      <c r="I1" s="18" t="s">
        <v>13228</v>
      </c>
      <c r="J1" s="18" t="s">
        <v>13229</v>
      </c>
      <c r="K1" s="18" t="s">
        <v>13230</v>
      </c>
      <c r="L1" s="18" t="s">
        <v>13231</v>
      </c>
      <c r="M1" s="18" t="s">
        <v>13260</v>
      </c>
      <c r="N1" s="18" t="s">
        <v>13232</v>
      </c>
      <c r="O1" s="20" t="s">
        <v>13259</v>
      </c>
    </row>
    <row r="2" spans="1:15">
      <c r="A2" s="17">
        <v>0.81399999999999995</v>
      </c>
      <c r="B2" s="21">
        <v>93</v>
      </c>
      <c r="C2" s="16">
        <v>0.68300000000000005</v>
      </c>
      <c r="D2" s="16" t="str">
        <f ca="1">PROPER(Music_Data[[#This Row],[Playlist_genre2]])</f>
        <v>Afrobeats</v>
      </c>
      <c r="E2" s="17">
        <v>0.75800000000000001</v>
      </c>
      <c r="F2" t="s">
        <v>3001</v>
      </c>
      <c r="G2">
        <v>78</v>
      </c>
      <c r="H2" t="s">
        <v>2954</v>
      </c>
      <c r="I2" t="s">
        <v>3007</v>
      </c>
      <c r="J2" s="22">
        <v>45576</v>
      </c>
      <c r="K2">
        <v>1</v>
      </c>
      <c r="L2">
        <v>2</v>
      </c>
      <c r="M2" s="21">
        <f ca="1">LEFT(Music_Data[[#This Row],[Duration_minutes]],3)/60</f>
        <v>2.6</v>
      </c>
      <c r="N2" s="17">
        <v>0.27700000000000002</v>
      </c>
      <c r="O2" s="17" t="str">
        <f ca="1">PROPER(Music_Data[[#This Row],[Playlist_subgenre2]])</f>
        <v>Nigerian</v>
      </c>
    </row>
    <row r="3" spans="1:15">
      <c r="A3" s="17">
        <v>0.64800000000000002</v>
      </c>
      <c r="B3" s="21">
        <v>93</v>
      </c>
      <c r="C3" s="16">
        <v>0.73699999999999999</v>
      </c>
      <c r="D3" s="16" t="str">
        <f ca="1">PROPER(Music_Data[[#This Row],[Playlist_genre2]])</f>
        <v>Afrobeats</v>
      </c>
      <c r="E3" s="17">
        <v>0.746</v>
      </c>
      <c r="F3" t="s">
        <v>2993</v>
      </c>
      <c r="G3">
        <v>77</v>
      </c>
      <c r="H3" t="s">
        <v>5459</v>
      </c>
      <c r="I3" t="s">
        <v>2996</v>
      </c>
      <c r="J3" s="22">
        <v>45583</v>
      </c>
      <c r="K3">
        <v>1</v>
      </c>
      <c r="L3">
        <v>1</v>
      </c>
      <c r="M3" s="21">
        <f ca="1">LEFT(Music_Data[[#This Row],[Duration_minutes]],3)/60</f>
        <v>4.3166666666666664</v>
      </c>
      <c r="N3" s="17">
        <v>0.252</v>
      </c>
      <c r="O3" s="17" t="str">
        <f ca="1">PROPER(Music_Data[[#This Row],[Playlist_subgenre2]])</f>
        <v>African</v>
      </c>
    </row>
    <row r="4" spans="1:15">
      <c r="A4" s="17">
        <v>0.79200000000000004</v>
      </c>
      <c r="B4" s="21">
        <v>113</v>
      </c>
      <c r="C4" s="16">
        <v>0.749</v>
      </c>
      <c r="D4" s="16" t="str">
        <f ca="1">PROPER(Music_Data[[#This Row],[Playlist_genre2]])</f>
        <v>Afrobeats</v>
      </c>
      <c r="E4" s="17">
        <v>0.90300000000000002</v>
      </c>
      <c r="F4" t="s">
        <v>2975</v>
      </c>
      <c r="G4">
        <v>76</v>
      </c>
      <c r="H4" t="s">
        <v>5459</v>
      </c>
      <c r="I4" t="s">
        <v>2979</v>
      </c>
      <c r="J4" s="22">
        <v>45596</v>
      </c>
      <c r="K4">
        <v>1</v>
      </c>
      <c r="L4">
        <v>5</v>
      </c>
      <c r="M4" s="21">
        <f ca="1">LEFT(Music_Data[[#This Row],[Duration_minutes]],3)/60</f>
        <v>2.8666666666666667</v>
      </c>
      <c r="N4" s="17">
        <v>0.308</v>
      </c>
      <c r="O4" s="17" t="str">
        <f ca="1">PROPER(Music_Data[[#This Row],[Playlist_subgenre2]])</f>
        <v>African</v>
      </c>
    </row>
    <row r="5" spans="1:15">
      <c r="A5" s="17">
        <v>0.874</v>
      </c>
      <c r="B5" s="21">
        <v>118</v>
      </c>
      <c r="C5" s="16">
        <v>0.77400000000000002</v>
      </c>
      <c r="D5" s="16" t="str">
        <f ca="1">PROPER(Music_Data[[#This Row],[Playlist_genre2]])</f>
        <v>Afrobeats</v>
      </c>
      <c r="E5" s="17">
        <v>0.92700000000000005</v>
      </c>
      <c r="F5" t="s">
        <v>2964</v>
      </c>
      <c r="G5">
        <v>75</v>
      </c>
      <c r="H5" t="s">
        <v>2954</v>
      </c>
      <c r="I5" t="s">
        <v>2967</v>
      </c>
      <c r="J5" s="22">
        <v>45611</v>
      </c>
      <c r="K5">
        <v>0</v>
      </c>
      <c r="L5">
        <v>5</v>
      </c>
      <c r="M5" s="21">
        <f ca="1">LEFT(Music_Data[[#This Row],[Duration_minutes]],3)/60</f>
        <v>2.9</v>
      </c>
      <c r="N5" s="17">
        <v>0.14199999999999999</v>
      </c>
      <c r="O5" s="17" t="str">
        <f ca="1">PROPER(Music_Data[[#This Row],[Playlist_subgenre2]])</f>
        <v>Nigerian</v>
      </c>
    </row>
    <row r="6" spans="1:15">
      <c r="A6" s="17">
        <v>0.63400000000000001</v>
      </c>
      <c r="B6" s="21">
        <v>101</v>
      </c>
      <c r="C6" s="16">
        <v>0.502</v>
      </c>
      <c r="D6" s="16" t="str">
        <f ca="1">PROPER(Music_Data[[#This Row],[Playlist_genre2]])</f>
        <v>Afrobeats</v>
      </c>
      <c r="E6" s="17">
        <v>0.64500000000000002</v>
      </c>
      <c r="F6" t="s">
        <v>3019</v>
      </c>
      <c r="G6">
        <v>72</v>
      </c>
      <c r="H6" t="s">
        <v>5459</v>
      </c>
      <c r="I6" t="s">
        <v>3025</v>
      </c>
      <c r="J6" s="22">
        <v>45512</v>
      </c>
      <c r="K6">
        <v>0</v>
      </c>
      <c r="L6">
        <v>8</v>
      </c>
      <c r="M6" s="21">
        <f ca="1">LEFT(Music_Data[[#This Row],[Duration_minutes]],3)/60</f>
        <v>3.65</v>
      </c>
      <c r="N6" s="17">
        <v>0.67700000000000005</v>
      </c>
      <c r="O6" s="17" t="str">
        <f ca="1">PROPER(Music_Data[[#This Row],[Playlist_subgenre2]])</f>
        <v>African</v>
      </c>
    </row>
    <row r="7" spans="1:15">
      <c r="A7" s="17">
        <v>0.68300000000000005</v>
      </c>
      <c r="B7" s="21">
        <v>145</v>
      </c>
      <c r="C7" s="16">
        <v>0.501</v>
      </c>
      <c r="D7" s="16" t="str">
        <f ca="1">PROPER(Music_Data[[#This Row],[Playlist_genre2]])</f>
        <v>Afrobeats</v>
      </c>
      <c r="E7" s="17">
        <v>0.623</v>
      </c>
      <c r="F7" t="s">
        <v>3011</v>
      </c>
      <c r="G7">
        <v>71</v>
      </c>
      <c r="H7" t="s">
        <v>2954</v>
      </c>
      <c r="I7" t="s">
        <v>3014</v>
      </c>
      <c r="J7" s="22">
        <v>45580</v>
      </c>
      <c r="K7">
        <v>0</v>
      </c>
      <c r="L7">
        <v>6</v>
      </c>
      <c r="M7" s="21">
        <f ca="1">LEFT(Music_Data[[#This Row],[Duration_minutes]],3)/60</f>
        <v>2.6833333333333331</v>
      </c>
      <c r="N7" s="17">
        <v>0.109</v>
      </c>
      <c r="O7" s="17" t="str">
        <f ca="1">PROPER(Music_Data[[#This Row],[Playlist_subgenre2]])</f>
        <v>Nigerian</v>
      </c>
    </row>
    <row r="8" spans="1:15">
      <c r="A8" s="17">
        <v>0.71899999999999997</v>
      </c>
      <c r="B8" s="21">
        <v>113</v>
      </c>
      <c r="C8" s="16">
        <v>0.89700000000000002</v>
      </c>
      <c r="D8" s="16" t="str">
        <f ca="1">PROPER(Music_Data[[#This Row],[Playlist_genre2]])</f>
        <v>Afrobeats</v>
      </c>
      <c r="E8" s="17">
        <v>0.54600000000000004</v>
      </c>
      <c r="F8" t="s">
        <v>5502</v>
      </c>
      <c r="G8">
        <v>71</v>
      </c>
      <c r="H8" t="s">
        <v>5459</v>
      </c>
      <c r="I8" t="s">
        <v>5505</v>
      </c>
      <c r="J8" s="22">
        <v>45526</v>
      </c>
      <c r="K8">
        <v>0</v>
      </c>
      <c r="L8">
        <v>6</v>
      </c>
      <c r="M8" s="21">
        <f ca="1">LEFT(Music_Data[[#This Row],[Duration_minutes]],3)/60</f>
        <v>2.6166666666666667</v>
      </c>
      <c r="N8" s="17">
        <v>0.11600000000000001</v>
      </c>
      <c r="O8" s="17" t="str">
        <f ca="1">PROPER(Music_Data[[#This Row],[Playlist_subgenre2]])</f>
        <v>African</v>
      </c>
    </row>
    <row r="9" spans="1:15">
      <c r="A9" s="17">
        <v>0.81899999999999995</v>
      </c>
      <c r="B9" s="21">
        <v>110</v>
      </c>
      <c r="C9" s="16">
        <v>0.72599999999999998</v>
      </c>
      <c r="D9" s="16" t="str">
        <f ca="1">PROPER(Music_Data[[#This Row],[Playlist_genre2]])</f>
        <v>Afrobeats</v>
      </c>
      <c r="E9" s="17">
        <v>0.63600000000000001</v>
      </c>
      <c r="F9" t="s">
        <v>5463</v>
      </c>
      <c r="G9">
        <v>70</v>
      </c>
      <c r="H9" t="s">
        <v>5459</v>
      </c>
      <c r="I9" t="s">
        <v>5469</v>
      </c>
      <c r="J9" s="22">
        <v>45394</v>
      </c>
      <c r="K9">
        <v>1</v>
      </c>
      <c r="L9">
        <v>8</v>
      </c>
      <c r="M9" s="21">
        <f ca="1">LEFT(Music_Data[[#This Row],[Duration_minutes]],3)/60</f>
        <v>2.35</v>
      </c>
      <c r="N9" s="17">
        <v>0.47699999999999998</v>
      </c>
      <c r="O9" s="17" t="str">
        <f ca="1">PROPER(Music_Data[[#This Row],[Playlist_subgenre2]])</f>
        <v>African</v>
      </c>
    </row>
    <row r="10" spans="1:15">
      <c r="A10" s="17">
        <v>0.52900000000000003</v>
      </c>
      <c r="B10" s="21">
        <v>112</v>
      </c>
      <c r="C10" s="16">
        <v>0.78200000000000003</v>
      </c>
      <c r="D10" s="16" t="str">
        <f ca="1">PROPER(Music_Data[[#This Row],[Playlist_genre2]])</f>
        <v>Afrobeats</v>
      </c>
      <c r="E10" s="17">
        <v>0.44</v>
      </c>
      <c r="F10" t="s">
        <v>5473</v>
      </c>
      <c r="G10">
        <v>69</v>
      </c>
      <c r="H10" t="s">
        <v>5459</v>
      </c>
      <c r="I10" t="s">
        <v>5480</v>
      </c>
      <c r="J10" s="22">
        <v>45519</v>
      </c>
      <c r="K10">
        <v>1</v>
      </c>
      <c r="L10">
        <v>0</v>
      </c>
      <c r="M10" s="21">
        <f ca="1">LEFT(Music_Data[[#This Row],[Duration_minutes]],3)/60</f>
        <v>2.6</v>
      </c>
      <c r="N10" s="17">
        <v>0.50900000000000001</v>
      </c>
      <c r="O10" s="17" t="str">
        <f ca="1">PROPER(Music_Data[[#This Row],[Playlist_subgenre2]])</f>
        <v>African</v>
      </c>
    </row>
    <row r="11" spans="1:15">
      <c r="A11" s="17">
        <v>0.65100000000000002</v>
      </c>
      <c r="B11" s="21">
        <v>67</v>
      </c>
      <c r="C11" s="16">
        <v>0.49</v>
      </c>
      <c r="D11" s="16" t="str">
        <f ca="1">PROPER(Music_Data[[#This Row],[Playlist_genre2]])</f>
        <v>Afrobeats</v>
      </c>
      <c r="E11" s="17">
        <v>0.56699999999999995</v>
      </c>
      <c r="F11" t="s">
        <v>5519</v>
      </c>
      <c r="G11">
        <v>68</v>
      </c>
      <c r="H11" t="s">
        <v>5459</v>
      </c>
      <c r="I11" t="s">
        <v>5522</v>
      </c>
      <c r="J11" s="22">
        <v>45398</v>
      </c>
      <c r="K11">
        <v>1</v>
      </c>
      <c r="L11">
        <v>11</v>
      </c>
      <c r="M11" s="21">
        <f ca="1">LEFT(Music_Data[[#This Row],[Duration_minutes]],3)/60</f>
        <v>3</v>
      </c>
      <c r="N11" s="17">
        <v>0.71399999999999997</v>
      </c>
      <c r="O11" s="17" t="str">
        <f ca="1">PROPER(Music_Data[[#This Row],[Playlist_subgenre2]])</f>
        <v>African</v>
      </c>
    </row>
    <row r="12" spans="1:15">
      <c r="A12" s="17">
        <v>0.81200000000000006</v>
      </c>
      <c r="B12" s="21">
        <v>100</v>
      </c>
      <c r="C12" s="16">
        <v>0.45500000000000002</v>
      </c>
      <c r="D12" s="16" t="str">
        <f ca="1">PROPER(Music_Data[[#This Row],[Playlist_genre2]])</f>
        <v>Afrobeats</v>
      </c>
      <c r="E12" s="17">
        <v>0.82299999999999995</v>
      </c>
      <c r="F12" t="s">
        <v>2985</v>
      </c>
      <c r="G12">
        <v>68</v>
      </c>
      <c r="H12" t="s">
        <v>2954</v>
      </c>
      <c r="I12" t="s">
        <v>2988</v>
      </c>
      <c r="J12" s="22">
        <v>45512</v>
      </c>
      <c r="K12">
        <v>1</v>
      </c>
      <c r="L12">
        <v>8</v>
      </c>
      <c r="M12" s="21">
        <f ca="1">LEFT(Music_Data[[#This Row],[Duration_minutes]],3)/60</f>
        <v>3.0666666666666669</v>
      </c>
      <c r="N12" s="17">
        <v>0.372</v>
      </c>
      <c r="O12" s="17" t="str">
        <f ca="1">PROPER(Music_Data[[#This Row],[Playlist_subgenre2]])</f>
        <v>Nigerian</v>
      </c>
    </row>
    <row r="13" spans="1:15">
      <c r="A13" s="17">
        <v>0.52</v>
      </c>
      <c r="B13" s="21">
        <v>958</v>
      </c>
      <c r="C13" s="16">
        <v>0.57799999999999996</v>
      </c>
      <c r="D13" s="16" t="str">
        <f ca="1">PROPER(Music_Data[[#This Row],[Playlist_genre2]])</f>
        <v>Afrobeats</v>
      </c>
      <c r="E13" s="17">
        <v>0.42499999999999999</v>
      </c>
      <c r="F13" t="s">
        <v>5510</v>
      </c>
      <c r="G13">
        <v>68</v>
      </c>
      <c r="H13" t="s">
        <v>5459</v>
      </c>
      <c r="I13" t="s">
        <v>5516</v>
      </c>
      <c r="J13" s="22">
        <v>45569</v>
      </c>
      <c r="K13">
        <v>0</v>
      </c>
      <c r="L13">
        <v>11</v>
      </c>
      <c r="M13" s="21">
        <f ca="1">LEFT(Music_Data[[#This Row],[Duration_minutes]],3)/60</f>
        <v>2.5666666666666669</v>
      </c>
      <c r="N13" s="17">
        <v>0.55400000000000005</v>
      </c>
      <c r="O13" s="17" t="str">
        <f ca="1">PROPER(Music_Data[[#This Row],[Playlist_subgenre2]])</f>
        <v>African</v>
      </c>
    </row>
    <row r="14" spans="1:15">
      <c r="A14" s="17">
        <v>0.70499999999999996</v>
      </c>
      <c r="B14" s="21">
        <v>197</v>
      </c>
      <c r="C14" s="16">
        <v>0.374</v>
      </c>
      <c r="D14" s="16" t="str">
        <f ca="1">PROPER(Music_Data[[#This Row],[Playlist_genre2]])</f>
        <v>Afrobeats</v>
      </c>
      <c r="E14" s="17">
        <v>0.71799999999999997</v>
      </c>
      <c r="F14" t="s">
        <v>5494</v>
      </c>
      <c r="G14">
        <v>68</v>
      </c>
      <c r="H14" t="s">
        <v>5459</v>
      </c>
      <c r="I14" t="s">
        <v>5497</v>
      </c>
      <c r="J14" s="22">
        <v>45532</v>
      </c>
      <c r="K14">
        <v>1</v>
      </c>
      <c r="L14">
        <v>11</v>
      </c>
      <c r="M14" s="21">
        <f ca="1">LEFT(Music_Data[[#This Row],[Duration_minutes]],3)/60</f>
        <v>3.2166666666666668</v>
      </c>
      <c r="N14" s="17">
        <v>0.17199999999999999</v>
      </c>
      <c r="O14" s="17" t="str">
        <f ca="1">PROPER(Music_Data[[#This Row],[Playlist_subgenre2]])</f>
        <v>African</v>
      </c>
    </row>
    <row r="15" spans="1:15">
      <c r="A15" s="17">
        <v>0.84099999999999997</v>
      </c>
      <c r="B15" s="21">
        <v>147</v>
      </c>
      <c r="C15" s="16">
        <v>0.754</v>
      </c>
      <c r="D15" s="16" t="str">
        <f ca="1">PROPER(Music_Data[[#This Row],[Playlist_genre2]])</f>
        <v>Afrobeats</v>
      </c>
      <c r="E15" s="17">
        <v>0.83799999999999997</v>
      </c>
      <c r="F15" t="s">
        <v>5483</v>
      </c>
      <c r="G15">
        <v>68</v>
      </c>
      <c r="H15" t="s">
        <v>5459</v>
      </c>
      <c r="I15" t="s">
        <v>5490</v>
      </c>
      <c r="J15" s="22">
        <v>45483</v>
      </c>
      <c r="K15">
        <v>1</v>
      </c>
      <c r="L15">
        <v>2</v>
      </c>
      <c r="M15" s="21">
        <f ca="1">LEFT(Music_Data[[#This Row],[Duration_minutes]],3)/60</f>
        <v>2.2833333333333332</v>
      </c>
      <c r="N15" s="17">
        <v>0.13600000000000001</v>
      </c>
      <c r="O15" s="17" t="str">
        <f ca="1">PROPER(Music_Data[[#This Row],[Playlist_subgenre2]])</f>
        <v>African</v>
      </c>
    </row>
    <row r="16" spans="1:15">
      <c r="A16" s="17">
        <v>0.63700000000000001</v>
      </c>
      <c r="B16" s="21">
        <v>171</v>
      </c>
      <c r="C16" s="16">
        <v>0.56699999999999995</v>
      </c>
      <c r="D16" s="16" t="str">
        <f ca="1">PROPER(Music_Data[[#This Row],[Playlist_genre2]])</f>
        <v>Afrobeats</v>
      </c>
      <c r="E16" s="17">
        <v>0.88200000000000001</v>
      </c>
      <c r="F16" t="s">
        <v>2950</v>
      </c>
      <c r="G16">
        <v>68</v>
      </c>
      <c r="H16" t="s">
        <v>2954</v>
      </c>
      <c r="I16" t="s">
        <v>2957</v>
      </c>
      <c r="J16" s="22">
        <v>45478</v>
      </c>
      <c r="K16">
        <v>0</v>
      </c>
      <c r="L16">
        <v>9</v>
      </c>
      <c r="M16" s="21">
        <f ca="1">LEFT(Music_Data[[#This Row],[Duration_minutes]],3)/60</f>
        <v>2.1833333333333331</v>
      </c>
      <c r="N16" s="17">
        <v>0.499</v>
      </c>
      <c r="O16" s="17" t="str">
        <f ca="1">PROPER(Music_Data[[#This Row],[Playlist_subgenre2]])</f>
        <v>Nigerian</v>
      </c>
    </row>
    <row r="17" spans="1:15">
      <c r="A17" s="17">
        <v>0.308</v>
      </c>
      <c r="B17" s="21">
        <v>113</v>
      </c>
      <c r="C17" s="16">
        <v>0.504</v>
      </c>
      <c r="D17" s="16" t="str">
        <f ca="1">PROPER(Music_Data[[#This Row],[Playlist_genre2]])</f>
        <v>Ambient</v>
      </c>
      <c r="E17" s="17">
        <v>0.121</v>
      </c>
      <c r="F17" t="s">
        <v>11904</v>
      </c>
      <c r="G17">
        <v>88</v>
      </c>
      <c r="H17" t="s">
        <v>11864</v>
      </c>
      <c r="I17" t="s">
        <v>11910</v>
      </c>
      <c r="J17" s="22">
        <v>45184</v>
      </c>
      <c r="K17">
        <v>1</v>
      </c>
      <c r="L17">
        <v>9</v>
      </c>
      <c r="M17" s="21">
        <f ca="1">LEFT(Music_Data[[#This Row],[Duration_minutes]],3)/60</f>
        <v>2.2833333333333332</v>
      </c>
      <c r="N17" s="17">
        <v>0.86799999999999999</v>
      </c>
      <c r="O17" s="17" t="str">
        <f ca="1">PROPER(Music_Data[[#This Row],[Playlist_subgenre2]])</f>
        <v>Academic</v>
      </c>
    </row>
    <row r="18" spans="1:15">
      <c r="A18" s="17">
        <v>0.46800000000000003</v>
      </c>
      <c r="B18" s="21">
        <v>944</v>
      </c>
      <c r="C18" s="16">
        <v>0.36899999999999999</v>
      </c>
      <c r="D18" s="16" t="str">
        <f ca="1">PROPER(Music_Data[[#This Row],[Playlist_genre2]])</f>
        <v>Ambient</v>
      </c>
      <c r="E18" s="17">
        <v>0.18</v>
      </c>
      <c r="F18" t="s">
        <v>12066</v>
      </c>
      <c r="G18">
        <v>87</v>
      </c>
      <c r="H18" t="s">
        <v>11864</v>
      </c>
      <c r="I18" t="s">
        <v>12071</v>
      </c>
      <c r="J18" s="22">
        <v>42895</v>
      </c>
      <c r="K18">
        <v>1</v>
      </c>
      <c r="L18">
        <v>5</v>
      </c>
      <c r="M18" s="21">
        <f ca="1">LEFT(Music_Data[[#This Row],[Duration_minutes]],3)/60</f>
        <v>4.833333333333333</v>
      </c>
      <c r="N18" s="17">
        <v>2.0500000000000001E-2</v>
      </c>
      <c r="O18" s="17" t="str">
        <f ca="1">PROPER(Music_Data[[#This Row],[Playlist_subgenre2]])</f>
        <v>Academic</v>
      </c>
    </row>
    <row r="19" spans="1:15">
      <c r="A19" s="17">
        <v>0.26800000000000002</v>
      </c>
      <c r="B19" s="21">
        <v>102</v>
      </c>
      <c r="C19" s="16">
        <v>0.371</v>
      </c>
      <c r="D19" s="16" t="str">
        <f ca="1">PROPER(Music_Data[[#This Row],[Playlist_genre2]])</f>
        <v>Ambient</v>
      </c>
      <c r="E19" s="17">
        <v>0.16500000000000001</v>
      </c>
      <c r="F19" t="s">
        <v>6465</v>
      </c>
      <c r="G19">
        <v>85</v>
      </c>
      <c r="H19" t="s">
        <v>11864</v>
      </c>
      <c r="I19" t="s">
        <v>12008</v>
      </c>
      <c r="J19" s="22">
        <v>36717</v>
      </c>
      <c r="K19">
        <v>1</v>
      </c>
      <c r="L19">
        <v>1</v>
      </c>
      <c r="M19" s="21">
        <f ca="1">LEFT(Music_Data[[#This Row],[Duration_minutes]],3)/60</f>
        <v>3.7833333333333332</v>
      </c>
      <c r="N19" s="17">
        <v>0.748</v>
      </c>
      <c r="O19" s="17" t="str">
        <f ca="1">PROPER(Music_Data[[#This Row],[Playlist_subgenre2]])</f>
        <v>Academic</v>
      </c>
    </row>
    <row r="20" spans="1:15">
      <c r="A20" s="17">
        <v>0.42499999999999999</v>
      </c>
      <c r="B20" s="21">
        <v>102</v>
      </c>
      <c r="C20" s="16">
        <v>0.35699999999999998</v>
      </c>
      <c r="D20" s="16" t="str">
        <f ca="1">PROPER(Music_Data[[#This Row],[Playlist_genre2]])</f>
        <v>Ambient</v>
      </c>
      <c r="E20" s="17">
        <v>0.27</v>
      </c>
      <c r="F20" t="s">
        <v>7228</v>
      </c>
      <c r="G20">
        <v>83</v>
      </c>
      <c r="H20" t="s">
        <v>11864</v>
      </c>
      <c r="I20" t="s">
        <v>7234</v>
      </c>
      <c r="J20" s="22">
        <v>43910</v>
      </c>
      <c r="K20">
        <v>1</v>
      </c>
      <c r="L20">
        <v>5</v>
      </c>
      <c r="M20" s="21">
        <f ca="1">LEFT(Music_Data[[#This Row],[Duration_minutes]],3)/60</f>
        <v>3.3</v>
      </c>
      <c r="N20" s="17">
        <v>0.58399999999999996</v>
      </c>
      <c r="O20" s="17" t="str">
        <f ca="1">PROPER(Music_Data[[#This Row],[Playlist_subgenre2]])</f>
        <v>Academic</v>
      </c>
    </row>
    <row r="21" spans="1:15">
      <c r="A21" s="17">
        <v>0.41599999999999998</v>
      </c>
      <c r="B21" s="21">
        <v>113</v>
      </c>
      <c r="C21" s="16">
        <v>0.32400000000000001</v>
      </c>
      <c r="D21" s="16" t="str">
        <f ca="1">PROPER(Music_Data[[#This Row],[Playlist_genre2]])</f>
        <v>Ambient</v>
      </c>
      <c r="E21" s="17">
        <v>0.151</v>
      </c>
      <c r="F21" t="s">
        <v>11895</v>
      </c>
      <c r="G21">
        <v>83</v>
      </c>
      <c r="H21" t="s">
        <v>11864</v>
      </c>
      <c r="I21" t="s">
        <v>11898</v>
      </c>
      <c r="J21" s="22">
        <v>41275</v>
      </c>
      <c r="K21">
        <v>0</v>
      </c>
      <c r="L21">
        <v>11</v>
      </c>
      <c r="M21" s="21">
        <f ca="1">LEFT(Music_Data[[#This Row],[Duration_minutes]],3)/60</f>
        <v>3.9333333333333331</v>
      </c>
      <c r="N21" s="17">
        <v>0.26200000000000001</v>
      </c>
      <c r="O21" s="17" t="str">
        <f ca="1">PROPER(Music_Data[[#This Row],[Playlist_subgenre2]])</f>
        <v>Academic</v>
      </c>
    </row>
    <row r="22" spans="1:15">
      <c r="A22" s="17">
        <v>0.58099999999999996</v>
      </c>
      <c r="B22" s="21">
        <v>130</v>
      </c>
      <c r="C22" s="16">
        <v>0.61299999999999999</v>
      </c>
      <c r="D22" s="16" t="str">
        <f ca="1">PROPER(Music_Data[[#This Row],[Playlist_genre2]])</f>
        <v>Ambient</v>
      </c>
      <c r="E22" s="17">
        <v>0.55100000000000005</v>
      </c>
      <c r="F22" t="s">
        <v>4924</v>
      </c>
      <c r="G22">
        <v>83</v>
      </c>
      <c r="H22" t="s">
        <v>11864</v>
      </c>
      <c r="I22" t="s">
        <v>11891</v>
      </c>
      <c r="J22" s="22">
        <v>44036</v>
      </c>
      <c r="K22">
        <v>0</v>
      </c>
      <c r="L22">
        <v>0</v>
      </c>
      <c r="M22" s="21">
        <f ca="1">LEFT(Music_Data[[#This Row],[Duration_minutes]],3)/60</f>
        <v>3.9833333333333334</v>
      </c>
      <c r="N22" s="17">
        <v>0.53700000000000003</v>
      </c>
      <c r="O22" s="17" t="str">
        <f ca="1">PROPER(Music_Data[[#This Row],[Playlist_subgenre2]])</f>
        <v>Academic</v>
      </c>
    </row>
    <row r="23" spans="1:15">
      <c r="A23" s="17">
        <v>0.64200000000000002</v>
      </c>
      <c r="B23" s="21">
        <v>833</v>
      </c>
      <c r="C23" s="16">
        <v>0.46300000000000002</v>
      </c>
      <c r="D23" s="16" t="str">
        <f ca="1">PROPER(Music_Data[[#This Row],[Playlist_genre2]])</f>
        <v>Ambient</v>
      </c>
      <c r="E23" s="17">
        <v>0.33900000000000002</v>
      </c>
      <c r="F23" t="s">
        <v>4983</v>
      </c>
      <c r="G23">
        <v>82</v>
      </c>
      <c r="H23" t="s">
        <v>11760</v>
      </c>
      <c r="I23" t="s">
        <v>4988</v>
      </c>
      <c r="J23" s="22">
        <v>44680</v>
      </c>
      <c r="K23">
        <v>1</v>
      </c>
      <c r="L23">
        <v>1</v>
      </c>
      <c r="M23" s="21">
        <f ca="1">LEFT(Music_Data[[#This Row],[Duration_minutes]],3)/60</f>
        <v>3.15</v>
      </c>
      <c r="N23" s="17">
        <v>0.314</v>
      </c>
      <c r="O23" s="17" t="str">
        <f ca="1">PROPER(Music_Data[[#This Row],[Playlist_subgenre2]])</f>
        <v>Meditative</v>
      </c>
    </row>
    <row r="24" spans="1:15">
      <c r="A24" s="17">
        <v>0.66400000000000003</v>
      </c>
      <c r="B24" s="21">
        <v>129</v>
      </c>
      <c r="C24" s="16">
        <v>0.57499999999999996</v>
      </c>
      <c r="D24" s="16" t="str">
        <f ca="1">PROPER(Music_Data[[#This Row],[Playlist_genre2]])</f>
        <v>Ambient</v>
      </c>
      <c r="E24" s="17">
        <v>0.437</v>
      </c>
      <c r="F24" t="s">
        <v>395</v>
      </c>
      <c r="G24">
        <v>81</v>
      </c>
      <c r="H24" t="s">
        <v>11864</v>
      </c>
      <c r="I24" t="s">
        <v>11884</v>
      </c>
      <c r="J24" s="22">
        <v>41901</v>
      </c>
      <c r="K24">
        <v>0</v>
      </c>
      <c r="L24">
        <v>4</v>
      </c>
      <c r="M24" s="21">
        <f ca="1">LEFT(Music_Data[[#This Row],[Duration_minutes]],3)/60</f>
        <v>4.0166666666666666</v>
      </c>
      <c r="N24" s="17">
        <v>0.63700000000000001</v>
      </c>
      <c r="O24" s="17" t="str">
        <f ca="1">PROPER(Music_Data[[#This Row],[Playlist_subgenre2]])</f>
        <v>Academic</v>
      </c>
    </row>
    <row r="25" spans="1:15">
      <c r="A25" s="17">
        <v>0.129</v>
      </c>
      <c r="B25" s="21">
        <v>137</v>
      </c>
      <c r="C25" s="16">
        <v>0.48299999999999998</v>
      </c>
      <c r="D25" s="16" t="str">
        <f ca="1">PROPER(Music_Data[[#This Row],[Playlist_genre2]])</f>
        <v>Ambient</v>
      </c>
      <c r="E25" s="17">
        <v>0.20300000000000001</v>
      </c>
      <c r="F25" t="s">
        <v>11987</v>
      </c>
      <c r="G25">
        <v>81</v>
      </c>
      <c r="H25" t="s">
        <v>11864</v>
      </c>
      <c r="I25" t="s">
        <v>11993</v>
      </c>
      <c r="J25" s="22">
        <v>43565</v>
      </c>
      <c r="K25">
        <v>0</v>
      </c>
      <c r="L25">
        <v>5</v>
      </c>
      <c r="M25" s="21">
        <f ca="1">LEFT(Music_Data[[#This Row],[Duration_minutes]],3)/60</f>
        <v>2.6833333333333331</v>
      </c>
      <c r="N25" s="17">
        <v>0.94699999999999995</v>
      </c>
      <c r="O25" s="17" t="str">
        <f ca="1">PROPER(Music_Data[[#This Row],[Playlist_subgenre2]])</f>
        <v>Academic</v>
      </c>
    </row>
    <row r="26" spans="1:15">
      <c r="A26" s="17">
        <v>0.66400000000000003</v>
      </c>
      <c r="B26" s="21">
        <v>107</v>
      </c>
      <c r="C26" s="16">
        <v>0.40400000000000003</v>
      </c>
      <c r="D26" s="16" t="str">
        <f ca="1">PROPER(Music_Data[[#This Row],[Playlist_genre2]])</f>
        <v>Ambient</v>
      </c>
      <c r="E26" s="17">
        <v>9.4899999999999998E-2</v>
      </c>
      <c r="F26" t="s">
        <v>11895</v>
      </c>
      <c r="G26">
        <v>80</v>
      </c>
      <c r="H26" t="s">
        <v>11864</v>
      </c>
      <c r="I26" t="s">
        <v>12086</v>
      </c>
      <c r="J26" s="22">
        <v>41640</v>
      </c>
      <c r="K26">
        <v>1</v>
      </c>
      <c r="L26">
        <v>1</v>
      </c>
      <c r="M26" s="21">
        <f ca="1">LEFT(Music_Data[[#This Row],[Duration_minutes]],3)/60</f>
        <v>5.85</v>
      </c>
      <c r="N26" s="17">
        <v>0.54200000000000004</v>
      </c>
      <c r="O26" s="17" t="str">
        <f ca="1">PROPER(Music_Data[[#This Row],[Playlist_subgenre2]])</f>
        <v>Academic</v>
      </c>
    </row>
    <row r="27" spans="1:15">
      <c r="A27" s="17">
        <v>0.32200000000000001</v>
      </c>
      <c r="B27" s="21">
        <v>148</v>
      </c>
      <c r="C27" s="16">
        <v>0.51600000000000001</v>
      </c>
      <c r="D27" s="16" t="str">
        <f ca="1">PROPER(Music_Data[[#This Row],[Playlist_genre2]])</f>
        <v>Ambient</v>
      </c>
      <c r="E27" s="17">
        <v>0.26100000000000001</v>
      </c>
      <c r="F27" t="s">
        <v>11995</v>
      </c>
      <c r="G27">
        <v>80</v>
      </c>
      <c r="H27" t="s">
        <v>11864</v>
      </c>
      <c r="I27" t="s">
        <v>12001</v>
      </c>
      <c r="J27" s="22">
        <v>44659</v>
      </c>
      <c r="K27">
        <v>1</v>
      </c>
      <c r="L27">
        <v>9</v>
      </c>
      <c r="M27" s="21">
        <f ca="1">LEFT(Music_Data[[#This Row],[Duration_minutes]],3)/60</f>
        <v>3.0333333333333332</v>
      </c>
      <c r="N27" s="17">
        <v>0.47299999999999998</v>
      </c>
      <c r="O27" s="17" t="str">
        <f ca="1">PROPER(Music_Data[[#This Row],[Playlist_subgenre2]])</f>
        <v>Academic</v>
      </c>
    </row>
    <row r="28" spans="1:15">
      <c r="A28" s="17">
        <v>0.68100000000000005</v>
      </c>
      <c r="B28" s="21">
        <v>139</v>
      </c>
      <c r="C28" s="16">
        <v>0.91800000000000004</v>
      </c>
      <c r="D28" s="16" t="str">
        <f ca="1">PROPER(Music_Data[[#This Row],[Playlist_genre2]])</f>
        <v>Ambient</v>
      </c>
      <c r="E28" s="17">
        <v>0.70599999999999996</v>
      </c>
      <c r="F28" t="s">
        <v>5124</v>
      </c>
      <c r="G28">
        <v>79</v>
      </c>
      <c r="H28" t="s">
        <v>11760</v>
      </c>
      <c r="I28" t="s">
        <v>5127</v>
      </c>
      <c r="J28" s="22">
        <v>45078</v>
      </c>
      <c r="K28">
        <v>1</v>
      </c>
      <c r="L28">
        <v>1</v>
      </c>
      <c r="M28" s="21">
        <f ca="1">LEFT(Music_Data[[#This Row],[Duration_minutes]],3)/60</f>
        <v>3.8166666666666669</v>
      </c>
      <c r="N28" s="17">
        <v>0.26300000000000001</v>
      </c>
      <c r="O28" s="17" t="str">
        <f ca="1">PROPER(Music_Data[[#This Row],[Playlist_subgenre2]])</f>
        <v>Meditative</v>
      </c>
    </row>
    <row r="29" spans="1:15">
      <c r="A29" s="17">
        <v>0.27600000000000002</v>
      </c>
      <c r="B29" s="21">
        <v>201</v>
      </c>
      <c r="C29" s="16">
        <v>0.33400000000000002</v>
      </c>
      <c r="D29" s="16" t="str">
        <f ca="1">PROPER(Music_Data[[#This Row],[Playlist_genre2]])</f>
        <v>Ambient</v>
      </c>
      <c r="E29" s="17">
        <v>0.42899999999999999</v>
      </c>
      <c r="F29" t="s">
        <v>11895</v>
      </c>
      <c r="G29">
        <v>79</v>
      </c>
      <c r="H29" t="s">
        <v>11864</v>
      </c>
      <c r="I29" t="s">
        <v>12028</v>
      </c>
      <c r="J29" s="22">
        <v>44274</v>
      </c>
      <c r="K29">
        <v>0</v>
      </c>
      <c r="L29">
        <v>4</v>
      </c>
      <c r="M29" s="21">
        <f ca="1">LEFT(Music_Data[[#This Row],[Duration_minutes]],3)/60</f>
        <v>4.5166666666666666</v>
      </c>
      <c r="N29" s="17">
        <v>0.877</v>
      </c>
      <c r="O29" s="17" t="str">
        <f ca="1">PROPER(Music_Data[[#This Row],[Playlist_subgenre2]])</f>
        <v>Academic</v>
      </c>
    </row>
    <row r="30" spans="1:15">
      <c r="A30" s="17">
        <v>0.245</v>
      </c>
      <c r="B30" s="21">
        <v>103</v>
      </c>
      <c r="C30" s="16">
        <v>0.34</v>
      </c>
      <c r="D30" s="16" t="str">
        <f ca="1">PROPER(Music_Data[[#This Row],[Playlist_genre2]])</f>
        <v>Ambient</v>
      </c>
      <c r="E30" s="17">
        <v>0.192</v>
      </c>
      <c r="F30" t="s">
        <v>12146</v>
      </c>
      <c r="G30">
        <v>78</v>
      </c>
      <c r="H30" t="s">
        <v>11864</v>
      </c>
      <c r="I30" t="s">
        <v>12152</v>
      </c>
      <c r="J30" s="22">
        <v>45009</v>
      </c>
      <c r="K30">
        <v>1</v>
      </c>
      <c r="L30">
        <v>9</v>
      </c>
      <c r="M30" s="21">
        <f ca="1">LEFT(Music_Data[[#This Row],[Duration_minutes]],3)/60</f>
        <v>5.65</v>
      </c>
      <c r="N30" s="17">
        <v>0.96899999999999997</v>
      </c>
      <c r="O30" s="17" t="str">
        <f ca="1">PROPER(Music_Data[[#This Row],[Playlist_subgenre2]])</f>
        <v>Academic</v>
      </c>
    </row>
    <row r="31" spans="1:15">
      <c r="A31" s="17">
        <v>0.40699999999999997</v>
      </c>
      <c r="B31" s="21">
        <v>117</v>
      </c>
      <c r="C31" s="16">
        <v>0.45700000000000002</v>
      </c>
      <c r="D31" s="16" t="str">
        <f ca="1">PROPER(Music_Data[[#This Row],[Playlist_genre2]])</f>
        <v>Ambient</v>
      </c>
      <c r="E31" s="17">
        <v>0.126</v>
      </c>
      <c r="F31" t="s">
        <v>12050</v>
      </c>
      <c r="G31">
        <v>78</v>
      </c>
      <c r="H31" t="s">
        <v>11864</v>
      </c>
      <c r="I31" t="s">
        <v>12078</v>
      </c>
      <c r="J31" s="22">
        <v>42881</v>
      </c>
      <c r="K31">
        <v>1</v>
      </c>
      <c r="L31">
        <v>9</v>
      </c>
      <c r="M31" s="21">
        <f ca="1">LEFT(Music_Data[[#This Row],[Duration_minutes]],3)/60</f>
        <v>4.2833333333333332</v>
      </c>
      <c r="N31" s="17">
        <v>0.80500000000000005</v>
      </c>
      <c r="O31" s="17" t="str">
        <f ca="1">PROPER(Music_Data[[#This Row],[Playlist_subgenre2]])</f>
        <v>Academic</v>
      </c>
    </row>
    <row r="32" spans="1:15">
      <c r="A32" s="17">
        <v>0.39400000000000002</v>
      </c>
      <c r="B32" s="21">
        <v>961</v>
      </c>
      <c r="C32" s="16">
        <v>0.42099999999999999</v>
      </c>
      <c r="D32" s="16" t="str">
        <f ca="1">PROPER(Music_Data[[#This Row],[Playlist_genre2]])</f>
        <v>Ambient</v>
      </c>
      <c r="E32" s="17">
        <v>0.39900000000000002</v>
      </c>
      <c r="F32" t="s">
        <v>8862</v>
      </c>
      <c r="G32">
        <v>78</v>
      </c>
      <c r="H32" t="s">
        <v>11864</v>
      </c>
      <c r="I32" t="s">
        <v>8868</v>
      </c>
      <c r="J32" s="22">
        <v>44827</v>
      </c>
      <c r="K32">
        <v>1</v>
      </c>
      <c r="L32">
        <v>11</v>
      </c>
      <c r="M32" s="21">
        <f ca="1">LEFT(Music_Data[[#This Row],[Duration_minutes]],3)/60</f>
        <v>3.5166666666666666</v>
      </c>
      <c r="N32" s="17">
        <v>0.86299999999999999</v>
      </c>
      <c r="O32" s="17" t="str">
        <f ca="1">PROPER(Music_Data[[#This Row],[Playlist_subgenre2]])</f>
        <v>Academic</v>
      </c>
    </row>
    <row r="33" spans="1:15">
      <c r="A33" s="17">
        <v>0.36299999999999999</v>
      </c>
      <c r="B33" s="21">
        <v>121</v>
      </c>
      <c r="C33" s="16">
        <v>0.53100000000000003</v>
      </c>
      <c r="D33" s="16" t="str">
        <f ca="1">PROPER(Music_Data[[#This Row],[Playlist_genre2]])</f>
        <v>Ambient</v>
      </c>
      <c r="E33" s="17">
        <v>0.25900000000000001</v>
      </c>
      <c r="F33" t="s">
        <v>395</v>
      </c>
      <c r="G33">
        <v>77</v>
      </c>
      <c r="H33" t="s">
        <v>11864</v>
      </c>
      <c r="I33" t="s">
        <v>10092</v>
      </c>
      <c r="J33" s="22">
        <v>41901</v>
      </c>
      <c r="K33">
        <v>1</v>
      </c>
      <c r="L33">
        <v>10</v>
      </c>
      <c r="M33" s="21">
        <f ca="1">LEFT(Music_Data[[#This Row],[Duration_minutes]],3)/60</f>
        <v>3.8166666666666669</v>
      </c>
      <c r="N33" s="17">
        <v>0.749</v>
      </c>
      <c r="O33" s="17" t="str">
        <f ca="1">PROPER(Music_Data[[#This Row],[Playlist_subgenre2]])</f>
        <v>Academic</v>
      </c>
    </row>
    <row r="34" spans="1:15">
      <c r="A34" s="17">
        <v>0.04</v>
      </c>
      <c r="B34" s="21">
        <v>135</v>
      </c>
      <c r="C34" s="16">
        <v>0.44</v>
      </c>
      <c r="D34" s="16" t="str">
        <f ca="1">PROPER(Music_Data[[#This Row],[Playlist_genre2]])</f>
        <v>Ambient</v>
      </c>
      <c r="E34" s="17">
        <v>0.249</v>
      </c>
      <c r="F34" t="s">
        <v>11871</v>
      </c>
      <c r="G34">
        <v>77</v>
      </c>
      <c r="H34" t="s">
        <v>11864</v>
      </c>
      <c r="I34" t="s">
        <v>11877</v>
      </c>
      <c r="J34" s="22">
        <v>43399</v>
      </c>
      <c r="K34">
        <v>1</v>
      </c>
      <c r="L34">
        <v>3</v>
      </c>
      <c r="M34" s="21">
        <f ca="1">LEFT(Music_Data[[#This Row],[Duration_minutes]],3)/60</f>
        <v>3.2166666666666668</v>
      </c>
      <c r="N34" s="17">
        <v>0.98099999999999998</v>
      </c>
      <c r="O34" s="17" t="str">
        <f ca="1">PROPER(Music_Data[[#This Row],[Playlist_subgenre2]])</f>
        <v>Academic</v>
      </c>
    </row>
    <row r="35" spans="1:15">
      <c r="A35" s="17">
        <v>0.64800000000000002</v>
      </c>
      <c r="B35" s="21">
        <v>932</v>
      </c>
      <c r="C35" s="16">
        <v>0.73699999999999999</v>
      </c>
      <c r="D35" s="16" t="str">
        <f ca="1">PROPER(Music_Data[[#This Row],[Playlist_genre2]])</f>
        <v>Ambient</v>
      </c>
      <c r="E35" s="17">
        <v>0.746</v>
      </c>
      <c r="F35" t="s">
        <v>2993</v>
      </c>
      <c r="G35">
        <v>77</v>
      </c>
      <c r="H35" t="s">
        <v>11760</v>
      </c>
      <c r="I35" t="s">
        <v>2996</v>
      </c>
      <c r="J35" s="22">
        <v>45583</v>
      </c>
      <c r="K35">
        <v>1</v>
      </c>
      <c r="L35">
        <v>1</v>
      </c>
      <c r="M35" s="21">
        <f ca="1">LEFT(Music_Data[[#This Row],[Duration_minutes]],3)/60</f>
        <v>4.3166666666666664</v>
      </c>
      <c r="N35" s="17">
        <v>0.252</v>
      </c>
      <c r="O35" s="17" t="str">
        <f ca="1">PROPER(Music_Data[[#This Row],[Playlist_subgenre2]])</f>
        <v>Meditative</v>
      </c>
    </row>
    <row r="36" spans="1:15">
      <c r="A36" s="17">
        <v>0.33800000000000002</v>
      </c>
      <c r="B36" s="21">
        <v>133</v>
      </c>
      <c r="C36" s="16">
        <v>0.40799999999999997</v>
      </c>
      <c r="D36" s="16" t="str">
        <f ca="1">PROPER(Music_Data[[#This Row],[Playlist_genre2]])</f>
        <v>Ambient</v>
      </c>
      <c r="E36" s="17">
        <v>0.1</v>
      </c>
      <c r="F36" t="s">
        <v>13184</v>
      </c>
      <c r="G36">
        <v>76</v>
      </c>
      <c r="H36" t="s">
        <v>11864</v>
      </c>
      <c r="I36" t="s">
        <v>12011</v>
      </c>
      <c r="J36" s="22">
        <v>44687</v>
      </c>
      <c r="K36">
        <v>1</v>
      </c>
      <c r="L36">
        <v>4</v>
      </c>
      <c r="M36" s="21">
        <f ca="1">LEFT(Music_Data[[#This Row],[Duration_minutes]],3)/60</f>
        <v>2.95</v>
      </c>
      <c r="N36" s="17">
        <v>0.52100000000000002</v>
      </c>
      <c r="O36" s="17" t="str">
        <f ca="1">PROPER(Music_Data[[#This Row],[Playlist_subgenre2]])</f>
        <v>Academic</v>
      </c>
    </row>
    <row r="37" spans="1:15">
      <c r="A37" s="17">
        <v>0.159</v>
      </c>
      <c r="B37" s="21">
        <v>723</v>
      </c>
      <c r="C37" s="16">
        <v>0.40300000000000002</v>
      </c>
      <c r="D37" s="16" t="str">
        <f ca="1">PROPER(Music_Data[[#This Row],[Playlist_genre2]])</f>
        <v>Ambient</v>
      </c>
      <c r="E37" s="17">
        <v>3.8100000000000002E-2</v>
      </c>
      <c r="F37" t="s">
        <v>51</v>
      </c>
      <c r="G37">
        <v>75</v>
      </c>
      <c r="H37" t="s">
        <v>11864</v>
      </c>
      <c r="I37" t="s">
        <v>12168</v>
      </c>
      <c r="J37" s="22">
        <v>44407</v>
      </c>
      <c r="K37">
        <v>0</v>
      </c>
      <c r="L37">
        <v>1</v>
      </c>
      <c r="M37" s="21">
        <f ca="1">LEFT(Music_Data[[#This Row],[Duration_minutes]],3)/60</f>
        <v>3.9</v>
      </c>
      <c r="N37" s="17">
        <v>0.96099999999999997</v>
      </c>
      <c r="O37" s="17" t="str">
        <f ca="1">PROPER(Music_Data[[#This Row],[Playlist_subgenre2]])</f>
        <v>Academic</v>
      </c>
    </row>
    <row r="38" spans="1:15">
      <c r="A38" s="17">
        <v>0.27700000000000002</v>
      </c>
      <c r="B38" s="21">
        <v>159</v>
      </c>
      <c r="C38" s="16">
        <v>0.32900000000000001</v>
      </c>
      <c r="D38" s="16" t="str">
        <f ca="1">PROPER(Music_Data[[#This Row],[Playlist_genre2]])</f>
        <v>Ambient</v>
      </c>
      <c r="E38" s="17">
        <v>0.121</v>
      </c>
      <c r="F38" t="s">
        <v>11860</v>
      </c>
      <c r="G38">
        <v>75</v>
      </c>
      <c r="H38" t="s">
        <v>11864</v>
      </c>
      <c r="I38" t="s">
        <v>11867</v>
      </c>
      <c r="J38" s="22">
        <v>40102</v>
      </c>
      <c r="K38">
        <v>0</v>
      </c>
      <c r="L38">
        <v>10</v>
      </c>
      <c r="M38" s="21">
        <f ca="1">LEFT(Music_Data[[#This Row],[Duration_minutes]],3)/60</f>
        <v>4.8166666666666664</v>
      </c>
      <c r="N38" s="17">
        <v>0.97099999999999997</v>
      </c>
      <c r="O38" s="17" t="str">
        <f ca="1">PROPER(Music_Data[[#This Row],[Playlist_subgenre2]])</f>
        <v>Academic</v>
      </c>
    </row>
    <row r="39" spans="1:15">
      <c r="A39" s="17">
        <v>0.36699999999999999</v>
      </c>
      <c r="B39" s="21">
        <v>779</v>
      </c>
      <c r="C39" s="16">
        <v>0.39500000000000002</v>
      </c>
      <c r="D39" s="16" t="str">
        <f ca="1">PROPER(Music_Data[[#This Row],[Playlist_genre2]])</f>
        <v>Ambient</v>
      </c>
      <c r="E39" s="17">
        <v>0.42599999999999999</v>
      </c>
      <c r="F39" t="s">
        <v>12095</v>
      </c>
      <c r="G39">
        <v>75</v>
      </c>
      <c r="H39" t="s">
        <v>11864</v>
      </c>
      <c r="I39" t="s">
        <v>12101</v>
      </c>
      <c r="J39" s="22">
        <v>45177</v>
      </c>
      <c r="K39">
        <v>1</v>
      </c>
      <c r="L39">
        <v>3</v>
      </c>
      <c r="M39" s="21">
        <f ca="1">LEFT(Music_Data[[#This Row],[Duration_minutes]],3)/60</f>
        <v>2.95</v>
      </c>
      <c r="N39" s="17">
        <v>0.81499999999999995</v>
      </c>
      <c r="O39" s="17" t="str">
        <f ca="1">PROPER(Music_Data[[#This Row],[Playlist_subgenre2]])</f>
        <v>Academic</v>
      </c>
    </row>
    <row r="40" spans="1:15">
      <c r="A40" s="17">
        <v>0.28899999999999998</v>
      </c>
      <c r="B40" s="21">
        <v>129</v>
      </c>
      <c r="C40" s="16">
        <v>0.53100000000000003</v>
      </c>
      <c r="D40" s="16" t="str">
        <f ca="1">PROPER(Music_Data[[#This Row],[Playlist_genre2]])</f>
        <v>Ambient</v>
      </c>
      <c r="E40" s="17">
        <v>0.12</v>
      </c>
      <c r="F40" t="s">
        <v>12016</v>
      </c>
      <c r="G40">
        <v>75</v>
      </c>
      <c r="H40" t="s">
        <v>11864</v>
      </c>
      <c r="I40" t="s">
        <v>12022</v>
      </c>
      <c r="J40" s="22">
        <v>42594</v>
      </c>
      <c r="K40">
        <v>1</v>
      </c>
      <c r="L40">
        <v>2</v>
      </c>
      <c r="M40" s="21">
        <f ca="1">LEFT(Music_Data[[#This Row],[Duration_minutes]],3)/60</f>
        <v>6.55</v>
      </c>
      <c r="N40" s="17">
        <v>0.33900000000000002</v>
      </c>
      <c r="O40" s="17" t="str">
        <f ca="1">PROPER(Music_Data[[#This Row],[Playlist_subgenre2]])</f>
        <v>Academic</v>
      </c>
    </row>
    <row r="41" spans="1:15">
      <c r="A41" s="17">
        <v>5.6099999999999997E-2</v>
      </c>
      <c r="B41" s="21">
        <v>797</v>
      </c>
      <c r="C41" s="16">
        <v>0.31900000000000001</v>
      </c>
      <c r="D41" s="16" t="str">
        <f ca="1">PROPER(Music_Data[[#This Row],[Playlist_genre2]])</f>
        <v>Ambient</v>
      </c>
      <c r="E41" s="17">
        <v>8.2000000000000003E-2</v>
      </c>
      <c r="F41" t="s">
        <v>51</v>
      </c>
      <c r="G41">
        <v>74</v>
      </c>
      <c r="H41" t="s">
        <v>11864</v>
      </c>
      <c r="I41" t="s">
        <v>11960</v>
      </c>
      <c r="J41" s="22">
        <v>43553</v>
      </c>
      <c r="K41">
        <v>1</v>
      </c>
      <c r="L41">
        <v>0</v>
      </c>
      <c r="M41" s="21">
        <f ca="1">LEFT(Music_Data[[#This Row],[Duration_minutes]],3)/60</f>
        <v>4.0333333333333332</v>
      </c>
      <c r="N41" s="17">
        <v>0.93500000000000005</v>
      </c>
      <c r="O41" s="17" t="str">
        <f ca="1">PROPER(Music_Data[[#This Row],[Playlist_subgenre2]])</f>
        <v>Academic</v>
      </c>
    </row>
    <row r="42" spans="1:15">
      <c r="A42" s="17">
        <v>0.52600000000000002</v>
      </c>
      <c r="B42" s="21">
        <v>130</v>
      </c>
      <c r="C42" s="16">
        <v>0.52100000000000002</v>
      </c>
      <c r="D42" s="16" t="str">
        <f ca="1">PROPER(Music_Data[[#This Row],[Playlist_genre2]])</f>
        <v>Ambient</v>
      </c>
      <c r="E42" s="17">
        <v>0.502</v>
      </c>
      <c r="F42" t="s">
        <v>395</v>
      </c>
      <c r="G42">
        <v>74</v>
      </c>
      <c r="H42" t="s">
        <v>11864</v>
      </c>
      <c r="I42" t="s">
        <v>12093</v>
      </c>
      <c r="J42" s="22">
        <v>43525</v>
      </c>
      <c r="K42">
        <v>1</v>
      </c>
      <c r="L42">
        <v>5</v>
      </c>
      <c r="M42" s="21">
        <f ca="1">LEFT(Music_Data[[#This Row],[Duration_minutes]],3)/60</f>
        <v>4.4666666666666668</v>
      </c>
      <c r="N42" s="17">
        <v>0.24299999999999999</v>
      </c>
      <c r="O42" s="17" t="str">
        <f ca="1">PROPER(Music_Data[[#This Row],[Playlist_subgenre2]])</f>
        <v>Academic</v>
      </c>
    </row>
    <row r="43" spans="1:15">
      <c r="A43" s="17">
        <v>0.496</v>
      </c>
      <c r="B43" s="21">
        <v>109</v>
      </c>
      <c r="C43" s="16">
        <v>0.81200000000000006</v>
      </c>
      <c r="D43" s="16" t="str">
        <f ca="1">PROPER(Music_Data[[#This Row],[Playlist_genre2]])</f>
        <v>Ambient</v>
      </c>
      <c r="E43" s="17">
        <v>0.55000000000000004</v>
      </c>
      <c r="F43" t="s">
        <v>11823</v>
      </c>
      <c r="G43">
        <v>73</v>
      </c>
      <c r="H43" t="s">
        <v>11760</v>
      </c>
      <c r="I43" t="s">
        <v>11829</v>
      </c>
      <c r="J43" s="22">
        <v>43532</v>
      </c>
      <c r="K43">
        <v>0</v>
      </c>
      <c r="L43">
        <v>9</v>
      </c>
      <c r="M43" s="21">
        <f ca="1">LEFT(Music_Data[[#This Row],[Duration_minutes]],3)/60</f>
        <v>4.0166666666666666</v>
      </c>
      <c r="N43" s="17">
        <v>0.27100000000000002</v>
      </c>
      <c r="O43" s="17" t="str">
        <f ca="1">PROPER(Music_Data[[#This Row],[Playlist_subgenre2]])</f>
        <v>Meditative</v>
      </c>
    </row>
    <row r="44" spans="1:15">
      <c r="A44" s="17">
        <v>0.48299999999999998</v>
      </c>
      <c r="B44" s="21">
        <v>144</v>
      </c>
      <c r="C44" s="16">
        <v>0.61699999999999999</v>
      </c>
      <c r="D44" s="16" t="str">
        <f ca="1">PROPER(Music_Data[[#This Row],[Playlist_genre2]])</f>
        <v>Ambient</v>
      </c>
      <c r="E44" s="17">
        <v>0.17599999999999999</v>
      </c>
      <c r="F44" t="s">
        <v>66</v>
      </c>
      <c r="G44">
        <v>73</v>
      </c>
      <c r="H44" t="s">
        <v>11864</v>
      </c>
      <c r="I44" t="s">
        <v>12117</v>
      </c>
      <c r="J44" s="22">
        <v>44512</v>
      </c>
      <c r="K44">
        <v>1</v>
      </c>
      <c r="L44">
        <v>11</v>
      </c>
      <c r="M44" s="21">
        <f ca="1">LEFT(Music_Data[[#This Row],[Duration_minutes]],3)/60</f>
        <v>2.5333333333333332</v>
      </c>
      <c r="N44" s="17">
        <v>0.70199999999999996</v>
      </c>
      <c r="O44" s="17" t="str">
        <f ca="1">PROPER(Music_Data[[#This Row],[Playlist_subgenre2]])</f>
        <v>Academic</v>
      </c>
    </row>
    <row r="45" spans="1:15">
      <c r="A45" s="17">
        <v>0.11899999999999999</v>
      </c>
      <c r="B45" s="21">
        <v>704</v>
      </c>
      <c r="C45" s="16">
        <v>0.46700000000000003</v>
      </c>
      <c r="D45" s="16" t="str">
        <f ca="1">PROPER(Music_Data[[#This Row],[Playlist_genre2]])</f>
        <v>Ambient</v>
      </c>
      <c r="E45" s="17">
        <v>0.156</v>
      </c>
      <c r="F45" t="s">
        <v>11895</v>
      </c>
      <c r="G45">
        <v>73</v>
      </c>
      <c r="H45" t="s">
        <v>11864</v>
      </c>
      <c r="I45" t="s">
        <v>11952</v>
      </c>
      <c r="J45" s="22">
        <v>43707</v>
      </c>
      <c r="K45">
        <v>1</v>
      </c>
      <c r="L45">
        <v>2</v>
      </c>
      <c r="M45" s="21">
        <f ca="1">LEFT(Music_Data[[#This Row],[Duration_minutes]],3)/60</f>
        <v>4.5333333333333332</v>
      </c>
      <c r="N45" s="17">
        <v>0.96899999999999997</v>
      </c>
      <c r="O45" s="17" t="str">
        <f ca="1">PROPER(Music_Data[[#This Row],[Playlist_subgenre2]])</f>
        <v>Academic</v>
      </c>
    </row>
    <row r="46" spans="1:15">
      <c r="A46" s="17">
        <v>0.31</v>
      </c>
      <c r="B46" s="21">
        <v>137</v>
      </c>
      <c r="C46" s="16">
        <v>0.50900000000000001</v>
      </c>
      <c r="D46" s="16" t="str">
        <f ca="1">PROPER(Music_Data[[#This Row],[Playlist_genre2]])</f>
        <v>Ambient</v>
      </c>
      <c r="E46" s="17">
        <v>0.151</v>
      </c>
      <c r="F46" t="s">
        <v>12050</v>
      </c>
      <c r="G46">
        <v>73</v>
      </c>
      <c r="H46" t="s">
        <v>11864</v>
      </c>
      <c r="I46" t="s">
        <v>12056</v>
      </c>
      <c r="J46" s="22">
        <v>43392</v>
      </c>
      <c r="K46">
        <v>1</v>
      </c>
      <c r="L46">
        <v>9</v>
      </c>
      <c r="M46" s="21">
        <f ca="1">LEFT(Music_Data[[#This Row],[Duration_minutes]],3)/60</f>
        <v>3.4666666666666668</v>
      </c>
      <c r="N46" s="17">
        <v>0.95899999999999996</v>
      </c>
      <c r="O46" s="17" t="str">
        <f ca="1">PROPER(Music_Data[[#This Row],[Playlist_subgenre2]])</f>
        <v>Academic</v>
      </c>
    </row>
    <row r="47" spans="1:15">
      <c r="A47" s="17">
        <v>0.63400000000000001</v>
      </c>
      <c r="B47" s="21">
        <v>101</v>
      </c>
      <c r="C47" s="16">
        <v>0.502</v>
      </c>
      <c r="D47" s="16" t="str">
        <f ca="1">PROPER(Music_Data[[#This Row],[Playlist_genre2]])</f>
        <v>Ambient</v>
      </c>
      <c r="E47" s="17">
        <v>0.64500000000000002</v>
      </c>
      <c r="F47" t="s">
        <v>3019</v>
      </c>
      <c r="G47">
        <v>72</v>
      </c>
      <c r="H47" t="s">
        <v>11760</v>
      </c>
      <c r="I47" t="s">
        <v>3025</v>
      </c>
      <c r="J47" s="22">
        <v>45512</v>
      </c>
      <c r="K47">
        <v>0</v>
      </c>
      <c r="L47">
        <v>8</v>
      </c>
      <c r="M47" s="21">
        <f ca="1">LEFT(Music_Data[[#This Row],[Duration_minutes]],3)/60</f>
        <v>3.65</v>
      </c>
      <c r="N47" s="17">
        <v>0.67700000000000005</v>
      </c>
      <c r="O47" s="17" t="str">
        <f ca="1">PROPER(Music_Data[[#This Row],[Playlist_subgenre2]])</f>
        <v>Meditative</v>
      </c>
    </row>
    <row r="48" spans="1:15">
      <c r="A48" s="17">
        <v>0.13500000000000001</v>
      </c>
      <c r="B48" s="21">
        <v>829</v>
      </c>
      <c r="C48" s="16">
        <v>0.38700000000000001</v>
      </c>
      <c r="D48" s="16" t="str">
        <f ca="1">PROPER(Music_Data[[#This Row],[Playlist_genre2]])</f>
        <v>Ambient</v>
      </c>
      <c r="E48" s="17">
        <v>0.21</v>
      </c>
      <c r="F48" t="s">
        <v>51</v>
      </c>
      <c r="G48">
        <v>72</v>
      </c>
      <c r="H48" t="s">
        <v>11864</v>
      </c>
      <c r="I48" t="s">
        <v>11937</v>
      </c>
      <c r="J48" s="22">
        <v>44763</v>
      </c>
      <c r="K48">
        <v>1</v>
      </c>
      <c r="L48">
        <v>7</v>
      </c>
      <c r="M48" s="21">
        <f ca="1">LEFT(Music_Data[[#This Row],[Duration_minutes]],3)/60</f>
        <v>3.6</v>
      </c>
      <c r="N48" s="17">
        <v>0.92900000000000005</v>
      </c>
      <c r="O48" s="17" t="str">
        <f ca="1">PROPER(Music_Data[[#This Row],[Playlist_subgenre2]])</f>
        <v>Academic</v>
      </c>
    </row>
    <row r="49" spans="1:15">
      <c r="A49" s="17">
        <v>0.34300000000000003</v>
      </c>
      <c r="B49" s="21">
        <v>145</v>
      </c>
      <c r="C49" s="16">
        <v>0.47399999999999998</v>
      </c>
      <c r="D49" s="16" t="str">
        <f ca="1">PROPER(Music_Data[[#This Row],[Playlist_genre2]])</f>
        <v>Ambient</v>
      </c>
      <c r="E49" s="17">
        <v>0.152</v>
      </c>
      <c r="F49" t="s">
        <v>7228</v>
      </c>
      <c r="G49">
        <v>72</v>
      </c>
      <c r="H49" t="s">
        <v>11864</v>
      </c>
      <c r="I49" t="s">
        <v>11968</v>
      </c>
      <c r="J49" s="22">
        <v>44736</v>
      </c>
      <c r="K49">
        <v>0</v>
      </c>
      <c r="L49">
        <v>4</v>
      </c>
      <c r="M49" s="21">
        <f ca="1">LEFT(Music_Data[[#This Row],[Duration_minutes]],3)/60</f>
        <v>4.05</v>
      </c>
      <c r="N49" s="17">
        <v>0.57799999999999996</v>
      </c>
      <c r="O49" s="17" t="str">
        <f ca="1">PROPER(Music_Data[[#This Row],[Playlist_subgenre2]])</f>
        <v>Academic</v>
      </c>
    </row>
    <row r="50" spans="1:15">
      <c r="A50" s="17">
        <v>0.17899999999999999</v>
      </c>
      <c r="B50" s="21">
        <v>140</v>
      </c>
      <c r="C50" s="16">
        <v>0.53900000000000003</v>
      </c>
      <c r="D50" s="16" t="str">
        <f ca="1">PROPER(Music_Data[[#This Row],[Playlist_genre2]])</f>
        <v>Ambient</v>
      </c>
      <c r="E50" s="17">
        <v>0.14499999999999999</v>
      </c>
      <c r="F50" t="s">
        <v>395</v>
      </c>
      <c r="G50">
        <v>72</v>
      </c>
      <c r="H50" t="s">
        <v>11864</v>
      </c>
      <c r="I50" t="s">
        <v>11945</v>
      </c>
      <c r="J50" s="22">
        <v>41901</v>
      </c>
      <c r="K50">
        <v>1</v>
      </c>
      <c r="L50">
        <v>7</v>
      </c>
      <c r="M50" s="21">
        <f ca="1">LEFT(Music_Data[[#This Row],[Duration_minutes]],3)/60</f>
        <v>3.3</v>
      </c>
      <c r="N50" s="17">
        <v>0.92100000000000004</v>
      </c>
      <c r="O50" s="17" t="str">
        <f ca="1">PROPER(Music_Data[[#This Row],[Playlist_subgenre2]])</f>
        <v>Academic</v>
      </c>
    </row>
    <row r="51" spans="1:15">
      <c r="A51" s="17">
        <v>0.34699999999999998</v>
      </c>
      <c r="B51" s="21">
        <v>141</v>
      </c>
      <c r="C51" s="16">
        <v>0.40899999999999997</v>
      </c>
      <c r="D51" s="16" t="str">
        <f ca="1">PROPER(Music_Data[[#This Row],[Playlist_genre2]])</f>
        <v>Ambient</v>
      </c>
      <c r="E51" s="17">
        <v>0.19900000000000001</v>
      </c>
      <c r="F51" t="s">
        <v>12095</v>
      </c>
      <c r="G51">
        <v>72</v>
      </c>
      <c r="H51" t="s">
        <v>11864</v>
      </c>
      <c r="I51" t="s">
        <v>12109</v>
      </c>
      <c r="J51" s="22">
        <v>45247</v>
      </c>
      <c r="K51">
        <v>0</v>
      </c>
      <c r="L51">
        <v>11</v>
      </c>
      <c r="M51" s="21">
        <f ca="1">LEFT(Music_Data[[#This Row],[Duration_minutes]],3)/60</f>
        <v>3.4166666666666665</v>
      </c>
      <c r="N51" s="17">
        <v>0.83399999999999996</v>
      </c>
      <c r="O51" s="17" t="str">
        <f ca="1">PROPER(Music_Data[[#This Row],[Playlist_subgenre2]])</f>
        <v>Academic</v>
      </c>
    </row>
    <row r="52" spans="1:15">
      <c r="A52" s="17">
        <v>1.6100000000000001E-3</v>
      </c>
      <c r="B52" s="21">
        <v>140</v>
      </c>
      <c r="C52" s="16">
        <v>0.13800000000000001</v>
      </c>
      <c r="D52" s="16" t="str">
        <f ca="1">PROPER(Music_Data[[#This Row],[Playlist_genre2]])</f>
        <v>Ambient</v>
      </c>
      <c r="E52" s="17">
        <v>0.155</v>
      </c>
      <c r="F52" t="s">
        <v>11850</v>
      </c>
      <c r="G52">
        <v>72</v>
      </c>
      <c r="H52" t="s">
        <v>11854</v>
      </c>
      <c r="I52" t="s">
        <v>11853</v>
      </c>
      <c r="J52" s="22">
        <v>45310</v>
      </c>
      <c r="K52">
        <v>1</v>
      </c>
      <c r="L52">
        <v>5</v>
      </c>
      <c r="M52" s="21">
        <f ca="1">LEFT(Music_Data[[#This Row],[Duration_minutes]],3)/60</f>
        <v>2.4</v>
      </c>
      <c r="N52" s="17">
        <v>0.97699999999999998</v>
      </c>
      <c r="O52" s="17" t="str">
        <f ca="1">PROPER(Music_Data[[#This Row],[Playlist_subgenre2]])</f>
        <v>Chill</v>
      </c>
    </row>
    <row r="53" spans="1:15">
      <c r="A53" s="17">
        <v>0.22500000000000001</v>
      </c>
      <c r="B53" s="21">
        <v>104</v>
      </c>
      <c r="C53" s="16">
        <v>0.55400000000000005</v>
      </c>
      <c r="D53" s="16" t="str">
        <f ca="1">PROPER(Music_Data[[#This Row],[Playlist_genre2]])</f>
        <v>Ambient</v>
      </c>
      <c r="E53" s="17">
        <v>0.221</v>
      </c>
      <c r="F53" t="s">
        <v>12058</v>
      </c>
      <c r="G53">
        <v>72</v>
      </c>
      <c r="H53" t="s">
        <v>11864</v>
      </c>
      <c r="I53" t="s">
        <v>12064</v>
      </c>
      <c r="J53" s="22">
        <v>42923</v>
      </c>
      <c r="K53">
        <v>1</v>
      </c>
      <c r="L53">
        <v>3</v>
      </c>
      <c r="M53" s="21">
        <f ca="1">LEFT(Music_Data[[#This Row],[Duration_minutes]],3)/60</f>
        <v>3.9833333333333334</v>
      </c>
      <c r="N53" s="17">
        <v>0.89200000000000002</v>
      </c>
      <c r="O53" s="17" t="str">
        <f ca="1">PROPER(Music_Data[[#This Row],[Playlist_subgenre2]])</f>
        <v>Academic</v>
      </c>
    </row>
    <row r="54" spans="1:15">
      <c r="A54" s="17">
        <v>0.46300000000000002</v>
      </c>
      <c r="B54" s="21">
        <v>125</v>
      </c>
      <c r="C54" s="16">
        <v>0.56200000000000006</v>
      </c>
      <c r="D54" s="16" t="str">
        <f ca="1">PROPER(Music_Data[[#This Row],[Playlist_genre2]])</f>
        <v>Ambient</v>
      </c>
      <c r="E54" s="17">
        <v>0.41599999999999998</v>
      </c>
      <c r="F54" t="s">
        <v>11796</v>
      </c>
      <c r="G54">
        <v>72</v>
      </c>
      <c r="H54" t="s">
        <v>11760</v>
      </c>
      <c r="I54" t="s">
        <v>11802</v>
      </c>
      <c r="J54" s="22">
        <v>44099</v>
      </c>
      <c r="K54">
        <v>1</v>
      </c>
      <c r="L54">
        <v>6</v>
      </c>
      <c r="M54" s="21">
        <f ca="1">LEFT(Music_Data[[#This Row],[Duration_minutes]],3)/60</f>
        <v>4.1166666666666663</v>
      </c>
      <c r="N54" s="17">
        <v>0.442</v>
      </c>
      <c r="O54" s="17" t="str">
        <f ca="1">PROPER(Music_Data[[#This Row],[Playlist_subgenre2]])</f>
        <v>Meditative</v>
      </c>
    </row>
    <row r="55" spans="1:15">
      <c r="A55" s="17">
        <v>0.58099999999999996</v>
      </c>
      <c r="B55" s="21">
        <v>102</v>
      </c>
      <c r="C55" s="16">
        <v>0.60899999999999999</v>
      </c>
      <c r="D55" s="16" t="str">
        <f ca="1">PROPER(Music_Data[[#This Row],[Playlist_genre2]])</f>
        <v>Ambient</v>
      </c>
      <c r="E55" s="17">
        <v>0.52800000000000002</v>
      </c>
      <c r="F55" t="s">
        <v>11796</v>
      </c>
      <c r="G55">
        <v>72</v>
      </c>
      <c r="H55" t="s">
        <v>11760</v>
      </c>
      <c r="I55" t="s">
        <v>11835</v>
      </c>
      <c r="J55" s="22">
        <v>44099</v>
      </c>
      <c r="K55">
        <v>1</v>
      </c>
      <c r="L55">
        <v>2</v>
      </c>
      <c r="M55" s="21">
        <f ca="1">LEFT(Music_Data[[#This Row],[Duration_minutes]],3)/60</f>
        <v>3.2666666666666666</v>
      </c>
      <c r="N55" s="17">
        <v>0.50900000000000001</v>
      </c>
      <c r="O55" s="17" t="str">
        <f ca="1">PROPER(Music_Data[[#This Row],[Playlist_subgenre2]])</f>
        <v>Meditative</v>
      </c>
    </row>
    <row r="56" spans="1:15">
      <c r="A56" s="17">
        <v>0.75600000000000001</v>
      </c>
      <c r="B56" s="21">
        <v>105</v>
      </c>
      <c r="C56" s="16">
        <v>0.71899999999999997</v>
      </c>
      <c r="D56" s="16" t="str">
        <f ca="1">PROPER(Music_Data[[#This Row],[Playlist_genre2]])</f>
        <v>Ambient</v>
      </c>
      <c r="E56" s="17">
        <v>0.64700000000000002</v>
      </c>
      <c r="F56" t="s">
        <v>11778</v>
      </c>
      <c r="G56">
        <v>72</v>
      </c>
      <c r="H56" t="s">
        <v>11760</v>
      </c>
      <c r="I56" t="s">
        <v>11784</v>
      </c>
      <c r="J56" s="22">
        <v>45007</v>
      </c>
      <c r="K56">
        <v>0</v>
      </c>
      <c r="L56">
        <v>5</v>
      </c>
      <c r="M56" s="21">
        <f ca="1">LEFT(Music_Data[[#This Row],[Duration_minutes]],3)/60</f>
        <v>3.65</v>
      </c>
      <c r="N56" s="17">
        <v>5.4100000000000002E-2</v>
      </c>
      <c r="O56" s="17" t="str">
        <f ca="1">PROPER(Music_Data[[#This Row],[Playlist_subgenre2]])</f>
        <v>Meditative</v>
      </c>
    </row>
    <row r="57" spans="1:15">
      <c r="A57" s="17">
        <v>0.42199999999999999</v>
      </c>
      <c r="B57" s="21">
        <v>144</v>
      </c>
      <c r="C57" s="16">
        <v>0.71799999999999997</v>
      </c>
      <c r="D57" s="16" t="str">
        <f ca="1">PROPER(Music_Data[[#This Row],[Playlist_genre2]])</f>
        <v>Ambient</v>
      </c>
      <c r="E57" s="17">
        <v>0.45500000000000002</v>
      </c>
      <c r="F57" t="s">
        <v>11912</v>
      </c>
      <c r="G57">
        <v>71</v>
      </c>
      <c r="H57" t="s">
        <v>11864</v>
      </c>
      <c r="I57" t="s">
        <v>11919</v>
      </c>
      <c r="J57" s="22">
        <v>42157</v>
      </c>
      <c r="K57">
        <v>0</v>
      </c>
      <c r="L57">
        <v>4</v>
      </c>
      <c r="M57" s="21">
        <f ca="1">LEFT(Music_Data[[#This Row],[Duration_minutes]],3)/60</f>
        <v>3.45</v>
      </c>
      <c r="N57" s="17">
        <v>7.6399999999999996E-2</v>
      </c>
      <c r="O57" s="17" t="str">
        <f ca="1">PROPER(Music_Data[[#This Row],[Playlist_subgenre2]])</f>
        <v>Academic</v>
      </c>
    </row>
    <row r="58" spans="1:15">
      <c r="A58" s="17">
        <v>0.38500000000000001</v>
      </c>
      <c r="B58" s="21">
        <v>106</v>
      </c>
      <c r="C58" s="16">
        <v>0.61899999999999999</v>
      </c>
      <c r="D58" s="16" t="str">
        <f ca="1">PROPER(Music_Data[[#This Row],[Playlist_genre2]])</f>
        <v>Ambient</v>
      </c>
      <c r="E58" s="17">
        <v>0.29399999999999998</v>
      </c>
      <c r="F58" t="s">
        <v>11763</v>
      </c>
      <c r="G58">
        <v>71</v>
      </c>
      <c r="H58" t="s">
        <v>11760</v>
      </c>
      <c r="I58" t="s">
        <v>11766</v>
      </c>
      <c r="J58" s="22">
        <v>45511</v>
      </c>
      <c r="K58">
        <v>0</v>
      </c>
      <c r="L58">
        <v>0</v>
      </c>
      <c r="M58" s="21">
        <f ca="1">LEFT(Music_Data[[#This Row],[Duration_minutes]],3)/60</f>
        <v>2.25</v>
      </c>
      <c r="N58" s="17">
        <v>0.129</v>
      </c>
      <c r="O58" s="17" t="str">
        <f ca="1">PROPER(Music_Data[[#This Row],[Playlist_subgenre2]])</f>
        <v>Meditative</v>
      </c>
    </row>
    <row r="59" spans="1:15">
      <c r="A59" s="17">
        <v>0.377</v>
      </c>
      <c r="B59" s="21">
        <v>101</v>
      </c>
      <c r="C59" s="16">
        <v>0.60599999999999998</v>
      </c>
      <c r="D59" s="16" t="str">
        <f ca="1">PROPER(Music_Data[[#This Row],[Playlist_genre2]])</f>
        <v>Ambient</v>
      </c>
      <c r="E59" s="17">
        <v>0.44600000000000001</v>
      </c>
      <c r="F59" t="s">
        <v>12041</v>
      </c>
      <c r="G59">
        <v>71</v>
      </c>
      <c r="H59" t="s">
        <v>11864</v>
      </c>
      <c r="I59" t="s">
        <v>12047</v>
      </c>
      <c r="J59" s="22">
        <v>44512</v>
      </c>
      <c r="K59">
        <v>1</v>
      </c>
      <c r="L59">
        <v>0</v>
      </c>
      <c r="M59" s="21">
        <f ca="1">LEFT(Music_Data[[#This Row],[Duration_minutes]],3)/60</f>
        <v>4.3</v>
      </c>
      <c r="N59" s="17">
        <v>0.81699999999999995</v>
      </c>
      <c r="O59" s="17" t="str">
        <f ca="1">PROPER(Music_Data[[#This Row],[Playlist_subgenre2]])</f>
        <v>Academic</v>
      </c>
    </row>
    <row r="60" spans="1:15">
      <c r="A60" s="17">
        <v>0.54900000000000004</v>
      </c>
      <c r="B60" s="21">
        <v>123</v>
      </c>
      <c r="C60" s="16">
        <v>0.61299999999999999</v>
      </c>
      <c r="D60" s="16" t="str">
        <f ca="1">PROPER(Music_Data[[#This Row],[Playlist_genre2]])</f>
        <v>Ambient</v>
      </c>
      <c r="E60" s="17">
        <v>0.78</v>
      </c>
      <c r="F60" t="s">
        <v>11796</v>
      </c>
      <c r="G60">
        <v>71</v>
      </c>
      <c r="H60" t="s">
        <v>11760</v>
      </c>
      <c r="I60" t="s">
        <v>8412</v>
      </c>
      <c r="J60" s="22">
        <v>44453</v>
      </c>
      <c r="K60">
        <v>1</v>
      </c>
      <c r="L60">
        <v>9</v>
      </c>
      <c r="M60" s="21">
        <f ca="1">LEFT(Music_Data[[#This Row],[Duration_minutes]],3)/60</f>
        <v>3</v>
      </c>
      <c r="N60" s="17">
        <v>9.7000000000000003E-2</v>
      </c>
      <c r="O60" s="17" t="str">
        <f ca="1">PROPER(Music_Data[[#This Row],[Playlist_subgenre2]])</f>
        <v>Meditative</v>
      </c>
    </row>
    <row r="61" spans="1:15">
      <c r="A61" s="17">
        <v>0.19900000000000001</v>
      </c>
      <c r="B61" s="21">
        <v>165</v>
      </c>
      <c r="C61" s="16">
        <v>0.48</v>
      </c>
      <c r="D61" s="16" t="str">
        <f ca="1">PROPER(Music_Data[[#This Row],[Playlist_genre2]])</f>
        <v>Ambient</v>
      </c>
      <c r="E61" s="17">
        <v>0.20100000000000001</v>
      </c>
      <c r="F61" t="s">
        <v>7131</v>
      </c>
      <c r="G61">
        <v>71</v>
      </c>
      <c r="H61" t="s">
        <v>11864</v>
      </c>
      <c r="I61" t="s">
        <v>12122</v>
      </c>
      <c r="J61" s="22">
        <v>45317</v>
      </c>
      <c r="K61">
        <v>1</v>
      </c>
      <c r="L61">
        <v>6</v>
      </c>
      <c r="M61" s="21">
        <f ca="1">LEFT(Music_Data[[#This Row],[Duration_minutes]],3)/60</f>
        <v>3.6833333333333331</v>
      </c>
      <c r="N61" s="17">
        <v>0.93100000000000005</v>
      </c>
      <c r="O61" s="17" t="str">
        <f ca="1">PROPER(Music_Data[[#This Row],[Playlist_subgenre2]])</f>
        <v>Academic</v>
      </c>
    </row>
    <row r="62" spans="1:15">
      <c r="A62" s="17">
        <v>0.80100000000000005</v>
      </c>
      <c r="B62" s="21">
        <v>104</v>
      </c>
      <c r="C62" s="16">
        <v>0.77800000000000002</v>
      </c>
      <c r="D62" s="16" t="str">
        <f ca="1">PROPER(Music_Data[[#This Row],[Playlist_genre2]])</f>
        <v>Ambient</v>
      </c>
      <c r="E62" s="17">
        <v>0.91400000000000003</v>
      </c>
      <c r="F62" t="s">
        <v>7019</v>
      </c>
      <c r="G62">
        <v>70</v>
      </c>
      <c r="H62" t="s">
        <v>11760</v>
      </c>
      <c r="I62" t="s">
        <v>7025</v>
      </c>
      <c r="J62" s="22">
        <v>45092</v>
      </c>
      <c r="K62">
        <v>0</v>
      </c>
      <c r="L62">
        <v>6</v>
      </c>
      <c r="M62" s="21">
        <f ca="1">LEFT(Music_Data[[#This Row],[Duration_minutes]],3)/60</f>
        <v>2.6166666666666667</v>
      </c>
      <c r="N62" s="17">
        <v>0.69199999999999995</v>
      </c>
      <c r="O62" s="17" t="str">
        <f ca="1">PROPER(Music_Data[[#This Row],[Playlist_subgenre2]])</f>
        <v>Meditative</v>
      </c>
    </row>
    <row r="63" spans="1:15">
      <c r="A63" s="17">
        <v>0.128</v>
      </c>
      <c r="B63" s="21">
        <v>159</v>
      </c>
      <c r="C63" s="16">
        <v>0.59899999999999998</v>
      </c>
      <c r="D63" s="16" t="str">
        <f ca="1">PROPER(Music_Data[[#This Row],[Playlist_genre2]])</f>
        <v>Ambient</v>
      </c>
      <c r="E63" s="17">
        <v>0.36699999999999999</v>
      </c>
      <c r="F63" t="s">
        <v>51</v>
      </c>
      <c r="G63">
        <v>70</v>
      </c>
      <c r="H63" t="s">
        <v>11864</v>
      </c>
      <c r="I63" t="s">
        <v>11984</v>
      </c>
      <c r="J63" s="22">
        <v>44407</v>
      </c>
      <c r="K63">
        <v>1</v>
      </c>
      <c r="L63">
        <v>10</v>
      </c>
      <c r="M63" s="21">
        <f ca="1">LEFT(Music_Data[[#This Row],[Duration_minutes]],3)/60</f>
        <v>4.0666666666666664</v>
      </c>
      <c r="N63" s="17">
        <v>0.97399999999999998</v>
      </c>
      <c r="O63" s="17" t="str">
        <f ca="1">PROPER(Music_Data[[#This Row],[Playlist_subgenre2]])</f>
        <v>Academic</v>
      </c>
    </row>
    <row r="64" spans="1:15">
      <c r="A64" s="17">
        <v>0.28799999999999998</v>
      </c>
      <c r="B64" s="21">
        <v>110</v>
      </c>
      <c r="C64" s="16">
        <v>0.68700000000000006</v>
      </c>
      <c r="D64" s="16" t="str">
        <f ca="1">PROPER(Music_Data[[#This Row],[Playlist_genre2]])</f>
        <v>Ambient</v>
      </c>
      <c r="E64" s="17">
        <v>0.308</v>
      </c>
      <c r="F64" t="s">
        <v>51</v>
      </c>
      <c r="G64">
        <v>70</v>
      </c>
      <c r="H64" t="s">
        <v>11864</v>
      </c>
      <c r="I64" t="s">
        <v>12130</v>
      </c>
      <c r="J64" s="22">
        <v>44407</v>
      </c>
      <c r="K64">
        <v>1</v>
      </c>
      <c r="L64">
        <v>2</v>
      </c>
      <c r="M64" s="21">
        <f ca="1">LEFT(Music_Data[[#This Row],[Duration_minutes]],3)/60</f>
        <v>3.2333333333333334</v>
      </c>
      <c r="N64" s="17">
        <v>0.86299999999999999</v>
      </c>
      <c r="O64" s="17" t="str">
        <f ca="1">PROPER(Music_Data[[#This Row],[Playlist_subgenre2]])</f>
        <v>Academic</v>
      </c>
    </row>
    <row r="65" spans="1:15">
      <c r="A65" s="17">
        <v>0.30399999999999999</v>
      </c>
      <c r="B65" s="21">
        <v>789</v>
      </c>
      <c r="C65" s="16">
        <v>0.53800000000000003</v>
      </c>
      <c r="D65" s="16" t="str">
        <f ca="1">PROPER(Music_Data[[#This Row],[Playlist_genre2]])</f>
        <v>Ambient</v>
      </c>
      <c r="E65" s="17">
        <v>6.5000000000000002E-2</v>
      </c>
      <c r="F65" t="s">
        <v>11895</v>
      </c>
      <c r="G65">
        <v>70</v>
      </c>
      <c r="H65" t="s">
        <v>11864</v>
      </c>
      <c r="I65" t="s">
        <v>12038</v>
      </c>
      <c r="J65" s="22">
        <v>43707</v>
      </c>
      <c r="K65">
        <v>1</v>
      </c>
      <c r="L65">
        <v>9</v>
      </c>
      <c r="M65" s="21">
        <f ca="1">LEFT(Music_Data[[#This Row],[Duration_minutes]],3)/60</f>
        <v>3.8</v>
      </c>
      <c r="N65" s="17">
        <v>0.61299999999999999</v>
      </c>
      <c r="O65" s="17" t="str">
        <f ca="1">PROPER(Music_Data[[#This Row],[Playlist_subgenre2]])</f>
        <v>Academic</v>
      </c>
    </row>
    <row r="66" spans="1:15">
      <c r="A66" s="17">
        <v>0.41499999999999998</v>
      </c>
      <c r="B66" s="21">
        <v>113</v>
      </c>
      <c r="C66" s="16">
        <v>0.82299999999999995</v>
      </c>
      <c r="D66" s="16" t="str">
        <f ca="1">PROPER(Music_Data[[#This Row],[Playlist_genre2]])</f>
        <v>Ambient</v>
      </c>
      <c r="E66" s="17">
        <v>0.48799999999999999</v>
      </c>
      <c r="F66" t="s">
        <v>11771</v>
      </c>
      <c r="G66">
        <v>70</v>
      </c>
      <c r="H66" t="s">
        <v>11760</v>
      </c>
      <c r="I66" t="s">
        <v>11774</v>
      </c>
      <c r="J66" s="22">
        <v>45239</v>
      </c>
      <c r="K66">
        <v>0</v>
      </c>
      <c r="L66">
        <v>5</v>
      </c>
      <c r="M66" s="21">
        <f ca="1">LEFT(Music_Data[[#This Row],[Duration_minutes]],3)/60</f>
        <v>3.1</v>
      </c>
      <c r="N66" s="17">
        <v>0.47099999999999997</v>
      </c>
      <c r="O66" s="17" t="str">
        <f ca="1">PROPER(Music_Data[[#This Row],[Playlist_subgenre2]])</f>
        <v>Meditative</v>
      </c>
    </row>
    <row r="67" spans="1:15">
      <c r="A67" s="17">
        <v>0.65500000000000003</v>
      </c>
      <c r="B67" s="21">
        <v>929</v>
      </c>
      <c r="C67" s="16">
        <v>0.64900000000000002</v>
      </c>
      <c r="D67" s="16" t="str">
        <f ca="1">PROPER(Music_Data[[#This Row],[Playlist_genre2]])</f>
        <v>Ambient</v>
      </c>
      <c r="E67" s="17">
        <v>0.79300000000000004</v>
      </c>
      <c r="F67" t="s">
        <v>11837</v>
      </c>
      <c r="G67">
        <v>70</v>
      </c>
      <c r="H67" t="s">
        <v>11760</v>
      </c>
      <c r="I67" t="s">
        <v>11840</v>
      </c>
      <c r="J67" s="22">
        <v>44722</v>
      </c>
      <c r="K67">
        <v>0</v>
      </c>
      <c r="L67">
        <v>10</v>
      </c>
      <c r="M67" s="21">
        <f ca="1">LEFT(Music_Data[[#This Row],[Duration_minutes]],3)/60</f>
        <v>2.4500000000000002</v>
      </c>
      <c r="N67" s="17">
        <v>0.307</v>
      </c>
      <c r="O67" s="17" t="str">
        <f ca="1">PROPER(Music_Data[[#This Row],[Playlist_subgenre2]])</f>
        <v>Meditative</v>
      </c>
    </row>
    <row r="68" spans="1:15">
      <c r="A68" s="17">
        <v>0.70699999999999996</v>
      </c>
      <c r="B68" s="21">
        <v>104</v>
      </c>
      <c r="C68" s="16">
        <v>0.84899999999999998</v>
      </c>
      <c r="D68" s="16" t="str">
        <f ca="1">PROPER(Music_Data[[#This Row],[Playlist_genre2]])</f>
        <v>Ambient</v>
      </c>
      <c r="E68" s="17">
        <v>0.60199999999999998</v>
      </c>
      <c r="F68" t="s">
        <v>11805</v>
      </c>
      <c r="G68">
        <v>70</v>
      </c>
      <c r="H68" t="s">
        <v>11760</v>
      </c>
      <c r="I68" t="s">
        <v>11811</v>
      </c>
      <c r="J68" s="22">
        <v>44133</v>
      </c>
      <c r="K68">
        <v>1</v>
      </c>
      <c r="L68">
        <v>0</v>
      </c>
      <c r="M68" s="21">
        <f ca="1">LEFT(Music_Data[[#This Row],[Duration_minutes]],3)/60</f>
        <v>4.1333333333333337</v>
      </c>
      <c r="N68" s="17">
        <v>2.6599999999999999E-2</v>
      </c>
      <c r="O68" s="17" t="str">
        <f ca="1">PROPER(Music_Data[[#This Row],[Playlist_subgenre2]])</f>
        <v>Meditative</v>
      </c>
    </row>
    <row r="69" spans="1:15">
      <c r="A69" s="17">
        <v>0.52900000000000003</v>
      </c>
      <c r="B69" s="21">
        <v>112</v>
      </c>
      <c r="C69" s="16">
        <v>0.78200000000000003</v>
      </c>
      <c r="D69" s="16" t="str">
        <f ca="1">PROPER(Music_Data[[#This Row],[Playlist_genre2]])</f>
        <v>Ambient</v>
      </c>
      <c r="E69" s="17">
        <v>0.44</v>
      </c>
      <c r="F69" t="s">
        <v>5473</v>
      </c>
      <c r="G69">
        <v>69</v>
      </c>
      <c r="H69" t="s">
        <v>11760</v>
      </c>
      <c r="I69" t="s">
        <v>5480</v>
      </c>
      <c r="J69" s="22">
        <v>45519</v>
      </c>
      <c r="K69">
        <v>1</v>
      </c>
      <c r="L69">
        <v>0</v>
      </c>
      <c r="M69" s="21">
        <f ca="1">LEFT(Music_Data[[#This Row],[Duration_minutes]],3)/60</f>
        <v>2.6</v>
      </c>
      <c r="N69" s="17">
        <v>0.50900000000000001</v>
      </c>
      <c r="O69" s="17" t="str">
        <f ca="1">PROPER(Music_Data[[#This Row],[Playlist_subgenre2]])</f>
        <v>Meditative</v>
      </c>
    </row>
    <row r="70" spans="1:15">
      <c r="A70" s="17">
        <v>0.156</v>
      </c>
      <c r="B70" s="21">
        <v>940</v>
      </c>
      <c r="C70" s="16">
        <v>0.67100000000000004</v>
      </c>
      <c r="D70" s="16" t="str">
        <f ca="1">PROPER(Music_Data[[#This Row],[Playlist_genre2]])</f>
        <v>Ambient</v>
      </c>
      <c r="E70" s="17">
        <v>0.20100000000000001</v>
      </c>
      <c r="F70" t="s">
        <v>11972</v>
      </c>
      <c r="G70">
        <v>69</v>
      </c>
      <c r="H70" t="s">
        <v>11864</v>
      </c>
      <c r="I70" t="s">
        <v>11977</v>
      </c>
      <c r="J70" s="22">
        <v>42867</v>
      </c>
      <c r="K70">
        <v>1</v>
      </c>
      <c r="L70">
        <v>8</v>
      </c>
      <c r="M70" s="21">
        <f ca="1">LEFT(Music_Data[[#This Row],[Duration_minutes]],3)/60</f>
        <v>3.5166666666666666</v>
      </c>
      <c r="N70" s="17">
        <v>0.80400000000000005</v>
      </c>
      <c r="O70" s="17" t="str">
        <f ca="1">PROPER(Music_Data[[#This Row],[Playlist_subgenre2]])</f>
        <v>Academic</v>
      </c>
    </row>
    <row r="71" spans="1:15">
      <c r="A71" s="17">
        <v>0.65100000000000002</v>
      </c>
      <c r="B71" s="21">
        <v>678</v>
      </c>
      <c r="C71" s="16">
        <v>0.49</v>
      </c>
      <c r="D71" s="16" t="str">
        <f ca="1">PROPER(Music_Data[[#This Row],[Playlist_genre2]])</f>
        <v>Ambient</v>
      </c>
      <c r="E71" s="17">
        <v>0.56699999999999995</v>
      </c>
      <c r="F71" t="s">
        <v>5519</v>
      </c>
      <c r="G71">
        <v>68</v>
      </c>
      <c r="H71" t="s">
        <v>11760</v>
      </c>
      <c r="I71" t="s">
        <v>5522</v>
      </c>
      <c r="J71" s="22">
        <v>45398</v>
      </c>
      <c r="K71">
        <v>1</v>
      </c>
      <c r="L71">
        <v>11</v>
      </c>
      <c r="M71" s="21">
        <f ca="1">LEFT(Music_Data[[#This Row],[Duration_minutes]],3)/60</f>
        <v>3</v>
      </c>
      <c r="N71" s="17">
        <v>0.71399999999999997</v>
      </c>
      <c r="O71" s="17" t="str">
        <f ca="1">PROPER(Music_Data[[#This Row],[Playlist_subgenre2]])</f>
        <v>Meditative</v>
      </c>
    </row>
    <row r="72" spans="1:15">
      <c r="A72" s="17">
        <v>0.503</v>
      </c>
      <c r="B72" s="21">
        <v>999</v>
      </c>
      <c r="C72" s="16">
        <v>0.79200000000000004</v>
      </c>
      <c r="D72" s="16" t="str">
        <f ca="1">PROPER(Music_Data[[#This Row],[Playlist_genre2]])</f>
        <v>Ambient</v>
      </c>
      <c r="E72" s="17">
        <v>0.38100000000000001</v>
      </c>
      <c r="F72" t="s">
        <v>11787</v>
      </c>
      <c r="G72">
        <v>68</v>
      </c>
      <c r="H72" t="s">
        <v>11760</v>
      </c>
      <c r="I72" t="s">
        <v>11790</v>
      </c>
      <c r="J72" s="22">
        <v>44820</v>
      </c>
      <c r="K72">
        <v>1</v>
      </c>
      <c r="L72">
        <v>1</v>
      </c>
      <c r="M72" s="21">
        <f ca="1">LEFT(Music_Data[[#This Row],[Duration_minutes]],3)/60</f>
        <v>3.0833333333333335</v>
      </c>
      <c r="N72" s="17">
        <v>3.6900000000000002E-2</v>
      </c>
      <c r="O72" s="17" t="str">
        <f ca="1">PROPER(Music_Data[[#This Row],[Playlist_subgenre2]])</f>
        <v>Meditative</v>
      </c>
    </row>
    <row r="73" spans="1:15">
      <c r="A73" s="17">
        <v>0.34799999999999998</v>
      </c>
      <c r="B73" s="21">
        <v>110</v>
      </c>
      <c r="C73" s="16">
        <v>0.63100000000000001</v>
      </c>
      <c r="D73" s="16" t="str">
        <f ca="1">PROPER(Music_Data[[#This Row],[Playlist_genre2]])</f>
        <v>Ambient</v>
      </c>
      <c r="E73" s="17">
        <v>0.32</v>
      </c>
      <c r="F73" t="s">
        <v>12154</v>
      </c>
      <c r="G73">
        <v>68</v>
      </c>
      <c r="H73" t="s">
        <v>11864</v>
      </c>
      <c r="I73" t="s">
        <v>12160</v>
      </c>
      <c r="J73" s="22">
        <v>44820</v>
      </c>
      <c r="K73">
        <v>1</v>
      </c>
      <c r="L73">
        <v>10</v>
      </c>
      <c r="M73" s="21">
        <f ca="1">LEFT(Music_Data[[#This Row],[Duration_minutes]],3)/60</f>
        <v>3.8666666666666667</v>
      </c>
      <c r="N73" s="17">
        <v>0.92600000000000005</v>
      </c>
      <c r="O73" s="17" t="str">
        <f ca="1">PROPER(Music_Data[[#This Row],[Playlist_subgenre2]])</f>
        <v>Academic</v>
      </c>
    </row>
    <row r="74" spans="1:15">
      <c r="A74" s="17">
        <v>0.11</v>
      </c>
      <c r="B74" s="21">
        <v>818</v>
      </c>
      <c r="C74" s="16">
        <v>0.41499999999999998</v>
      </c>
      <c r="D74" s="16" t="str">
        <f ca="1">PROPER(Music_Data[[#This Row],[Playlist_genre2]])</f>
        <v>Ambient</v>
      </c>
      <c r="E74" s="17">
        <v>0.23400000000000001</v>
      </c>
      <c r="F74" t="s">
        <v>395</v>
      </c>
      <c r="G74">
        <v>68</v>
      </c>
      <c r="H74" t="s">
        <v>11864</v>
      </c>
      <c r="I74" t="s">
        <v>12135</v>
      </c>
      <c r="J74" s="22">
        <v>41901</v>
      </c>
      <c r="K74">
        <v>1</v>
      </c>
      <c r="L74">
        <v>1</v>
      </c>
      <c r="M74" s="21">
        <f ca="1">LEFT(Music_Data[[#This Row],[Duration_minutes]],3)/60</f>
        <v>4</v>
      </c>
      <c r="N74" s="17">
        <v>0.95099999999999996</v>
      </c>
      <c r="O74" s="17" t="str">
        <f ca="1">PROPER(Music_Data[[#This Row],[Playlist_subgenre2]])</f>
        <v>Academic</v>
      </c>
    </row>
    <row r="75" spans="1:15">
      <c r="A75" s="17">
        <v>9.7199999999999995E-2</v>
      </c>
      <c r="B75" s="21">
        <v>866</v>
      </c>
      <c r="C75" s="16">
        <v>0.443</v>
      </c>
      <c r="D75" s="16" t="str">
        <f ca="1">PROPER(Music_Data[[#This Row],[Playlist_genre2]])</f>
        <v>Ambient</v>
      </c>
      <c r="E75" s="17">
        <v>0.28899999999999998</v>
      </c>
      <c r="F75" t="s">
        <v>12137</v>
      </c>
      <c r="G75">
        <v>68</v>
      </c>
      <c r="H75" t="s">
        <v>11864</v>
      </c>
      <c r="I75" t="s">
        <v>12144</v>
      </c>
      <c r="J75" s="22">
        <v>45065</v>
      </c>
      <c r="K75">
        <v>1</v>
      </c>
      <c r="L75">
        <v>2</v>
      </c>
      <c r="M75" s="21">
        <f ca="1">LEFT(Music_Data[[#This Row],[Duration_minutes]],3)/60</f>
        <v>1.6666666666666667</v>
      </c>
      <c r="N75" s="17">
        <v>0.95199999999999996</v>
      </c>
      <c r="O75" s="17" t="str">
        <f ca="1">PROPER(Music_Data[[#This Row],[Playlist_subgenre2]])</f>
        <v>Academic</v>
      </c>
    </row>
    <row r="76" spans="1:15">
      <c r="A76" s="17">
        <v>0.44900000000000001</v>
      </c>
      <c r="B76" s="21">
        <v>123</v>
      </c>
      <c r="C76" s="16">
        <v>0.32700000000000001</v>
      </c>
      <c r="D76" s="16" t="str">
        <f ca="1">PROPER(Music_Data[[#This Row],[Playlist_genre2]])</f>
        <v>Ambient</v>
      </c>
      <c r="E76" s="17">
        <v>0.17899999999999999</v>
      </c>
      <c r="F76" t="s">
        <v>11922</v>
      </c>
      <c r="G76">
        <v>68</v>
      </c>
      <c r="H76" t="s">
        <v>11864</v>
      </c>
      <c r="I76" t="s">
        <v>11928</v>
      </c>
      <c r="J76" s="22">
        <v>43259</v>
      </c>
      <c r="K76">
        <v>1</v>
      </c>
      <c r="L76">
        <v>10</v>
      </c>
      <c r="M76" s="21">
        <f ca="1">LEFT(Music_Data[[#This Row],[Duration_minutes]],3)/60</f>
        <v>3.6333333333333333</v>
      </c>
      <c r="N76" s="17">
        <v>0.36899999999999999</v>
      </c>
      <c r="O76" s="17" t="str">
        <f ca="1">PROPER(Music_Data[[#This Row],[Playlist_subgenre2]])</f>
        <v>Academic</v>
      </c>
    </row>
    <row r="77" spans="1:15">
      <c r="A77" s="17">
        <v>0.501</v>
      </c>
      <c r="B77" s="21">
        <v>103</v>
      </c>
      <c r="C77" s="16">
        <v>0.63700000000000001</v>
      </c>
      <c r="D77" s="16" t="str">
        <f ca="1">PROPER(Music_Data[[#This Row],[Playlist_genre2]])</f>
        <v>Ambient</v>
      </c>
      <c r="E77" s="17">
        <v>0.43099999999999999</v>
      </c>
      <c r="F77" t="s">
        <v>11814</v>
      </c>
      <c r="G77">
        <v>68</v>
      </c>
      <c r="H77" t="s">
        <v>11760</v>
      </c>
      <c r="I77" t="s">
        <v>11820</v>
      </c>
      <c r="J77" s="22">
        <v>43812</v>
      </c>
      <c r="K77">
        <v>0</v>
      </c>
      <c r="L77">
        <v>0</v>
      </c>
      <c r="M77" s="21">
        <f ca="1">LEFT(Music_Data[[#This Row],[Duration_minutes]],3)/60</f>
        <v>3.0833333333333335</v>
      </c>
      <c r="N77" s="17">
        <v>0.22900000000000001</v>
      </c>
      <c r="O77" s="17" t="str">
        <f ca="1">PROPER(Music_Data[[#This Row],[Playlist_subgenre2]])</f>
        <v>Meditative</v>
      </c>
    </row>
    <row r="78" spans="1:15">
      <c r="A78" s="17">
        <v>0.88200000000000001</v>
      </c>
      <c r="B78" s="21">
        <v>148</v>
      </c>
      <c r="C78" s="16">
        <v>0.56899999999999995</v>
      </c>
      <c r="D78" s="16" t="str">
        <f ca="1">PROPER(Music_Data[[#This Row],[Playlist_genre2]])</f>
        <v>Arabic</v>
      </c>
      <c r="E78" s="17">
        <v>0.20100000000000001</v>
      </c>
      <c r="F78" t="s">
        <v>4815</v>
      </c>
      <c r="G78">
        <v>88</v>
      </c>
      <c r="H78" t="s">
        <v>6849</v>
      </c>
      <c r="I78" t="s">
        <v>4822</v>
      </c>
      <c r="J78" s="22">
        <v>45135</v>
      </c>
      <c r="K78">
        <v>0</v>
      </c>
      <c r="L78">
        <v>3</v>
      </c>
      <c r="M78" s="21">
        <f ca="1">LEFT(Music_Data[[#This Row],[Duration_minutes]],3)/60</f>
        <v>3.1833333333333331</v>
      </c>
      <c r="N78" s="17">
        <v>3.1600000000000003E-2</v>
      </c>
      <c r="O78" s="17" t="str">
        <f ca="1">PROPER(Music_Data[[#This Row],[Playlist_subgenre2]])</f>
        <v>Modern</v>
      </c>
    </row>
    <row r="79" spans="1:15">
      <c r="A79" s="17">
        <v>0.55200000000000005</v>
      </c>
      <c r="B79" s="21">
        <v>144</v>
      </c>
      <c r="C79" s="16">
        <v>0.64</v>
      </c>
      <c r="D79" s="16" t="str">
        <f ca="1">PROPER(Music_Data[[#This Row],[Playlist_genre2]])</f>
        <v>Arabic</v>
      </c>
      <c r="E79" s="17">
        <v>0.112</v>
      </c>
      <c r="F79" t="s">
        <v>2070</v>
      </c>
      <c r="G79">
        <v>84</v>
      </c>
      <c r="H79" t="s">
        <v>6849</v>
      </c>
      <c r="I79" t="s">
        <v>2076</v>
      </c>
      <c r="J79" s="22">
        <v>45373</v>
      </c>
      <c r="K79">
        <v>1</v>
      </c>
      <c r="L79">
        <v>2</v>
      </c>
      <c r="M79" s="21">
        <f ca="1">LEFT(Music_Data[[#This Row],[Duration_minutes]],3)/60</f>
        <v>3.8</v>
      </c>
      <c r="N79" s="17">
        <v>2.1499999999999998E-2</v>
      </c>
      <c r="O79" s="17" t="str">
        <f ca="1">PROPER(Music_Data[[#This Row],[Playlist_subgenre2]])</f>
        <v>Modern</v>
      </c>
    </row>
    <row r="80" spans="1:15">
      <c r="A80" s="17">
        <v>0.52900000000000003</v>
      </c>
      <c r="B80" s="21">
        <v>161</v>
      </c>
      <c r="C80" s="16">
        <v>0.67100000000000004</v>
      </c>
      <c r="D80" s="16" t="str">
        <f ca="1">PROPER(Music_Data[[#This Row],[Playlist_genre2]])</f>
        <v>Arabic</v>
      </c>
      <c r="E80" s="17">
        <v>0.20300000000000001</v>
      </c>
      <c r="F80" t="s">
        <v>2153</v>
      </c>
      <c r="G80">
        <v>83</v>
      </c>
      <c r="H80" t="s">
        <v>6849</v>
      </c>
      <c r="I80" t="s">
        <v>7009</v>
      </c>
      <c r="J80" s="22">
        <v>43444</v>
      </c>
      <c r="K80">
        <v>1</v>
      </c>
      <c r="L80">
        <v>0</v>
      </c>
      <c r="M80" s="21">
        <f ca="1">LEFT(Music_Data[[#This Row],[Duration_minutes]],3)/60</f>
        <v>2.75</v>
      </c>
      <c r="N80" s="17">
        <v>7.6899999999999996E-2</v>
      </c>
      <c r="O80" s="17" t="str">
        <f ca="1">PROPER(Music_Data[[#This Row],[Playlist_subgenre2]])</f>
        <v>Modern</v>
      </c>
    </row>
    <row r="81" spans="1:15">
      <c r="A81" s="17">
        <v>0.622</v>
      </c>
      <c r="B81" s="21">
        <v>130</v>
      </c>
      <c r="C81" s="16">
        <v>0.84699999999999998</v>
      </c>
      <c r="D81" s="16" t="str">
        <f ca="1">PROPER(Music_Data[[#This Row],[Playlist_genre2]])</f>
        <v>Arabic</v>
      </c>
      <c r="E81" s="17">
        <v>0.22</v>
      </c>
      <c r="F81" t="s">
        <v>1856</v>
      </c>
      <c r="G81">
        <v>82</v>
      </c>
      <c r="H81" t="s">
        <v>6849</v>
      </c>
      <c r="I81" t="s">
        <v>4972</v>
      </c>
      <c r="J81" s="22">
        <v>45093</v>
      </c>
      <c r="K81">
        <v>0</v>
      </c>
      <c r="L81">
        <v>1</v>
      </c>
      <c r="M81" s="21">
        <f ca="1">LEFT(Music_Data[[#This Row],[Duration_minutes]],3)/60</f>
        <v>2.0833333333333335</v>
      </c>
      <c r="N81" s="17">
        <v>0.11899999999999999</v>
      </c>
      <c r="O81" s="17" t="str">
        <f ca="1">PROPER(Music_Data[[#This Row],[Playlist_subgenre2]])</f>
        <v>Modern</v>
      </c>
    </row>
    <row r="82" spans="1:15">
      <c r="A82" s="17">
        <v>0.66800000000000004</v>
      </c>
      <c r="B82" s="21">
        <v>879</v>
      </c>
      <c r="C82" s="16">
        <v>0.57299999999999995</v>
      </c>
      <c r="D82" s="16" t="str">
        <f ca="1">PROPER(Music_Data[[#This Row],[Playlist_genre2]])</f>
        <v>Arabic</v>
      </c>
      <c r="E82" s="17">
        <v>0.14499999999999999</v>
      </c>
      <c r="F82" t="s">
        <v>2930</v>
      </c>
      <c r="G82">
        <v>82</v>
      </c>
      <c r="H82" t="s">
        <v>6849</v>
      </c>
      <c r="I82" t="s">
        <v>2936</v>
      </c>
      <c r="J82" s="22">
        <v>44897</v>
      </c>
      <c r="K82">
        <v>0</v>
      </c>
      <c r="L82">
        <v>7</v>
      </c>
      <c r="M82" s="21">
        <f ca="1">LEFT(Music_Data[[#This Row],[Duration_minutes]],3)/60</f>
        <v>3.3166666666666669</v>
      </c>
      <c r="N82" s="17">
        <v>0.189</v>
      </c>
      <c r="O82" s="17" t="str">
        <f ca="1">PROPER(Music_Data[[#This Row],[Playlist_subgenre2]])</f>
        <v>Modern</v>
      </c>
    </row>
    <row r="83" spans="1:15">
      <c r="A83" s="17">
        <v>0.55200000000000005</v>
      </c>
      <c r="B83" s="21">
        <v>119</v>
      </c>
      <c r="C83" s="16">
        <v>0.76500000000000001</v>
      </c>
      <c r="D83" s="16" t="str">
        <f ca="1">PROPER(Music_Data[[#This Row],[Playlist_genre2]])</f>
        <v>Arabic</v>
      </c>
      <c r="E83" s="17">
        <v>0.49199999999999999</v>
      </c>
      <c r="F83" t="s">
        <v>7034</v>
      </c>
      <c r="G83">
        <v>82</v>
      </c>
      <c r="H83" t="s">
        <v>6849</v>
      </c>
      <c r="I83" t="s">
        <v>7039</v>
      </c>
      <c r="J83" s="22">
        <v>44897</v>
      </c>
      <c r="K83">
        <v>0</v>
      </c>
      <c r="L83">
        <v>1</v>
      </c>
      <c r="M83" s="21">
        <f ca="1">LEFT(Music_Data[[#This Row],[Duration_minutes]],3)/60</f>
        <v>3.2333333333333334</v>
      </c>
      <c r="N83" s="17">
        <v>0.17499999999999999</v>
      </c>
      <c r="O83" s="17" t="str">
        <f ca="1">PROPER(Music_Data[[#This Row],[Playlist_subgenre2]])</f>
        <v>Modern</v>
      </c>
    </row>
    <row r="84" spans="1:15">
      <c r="A84" s="17">
        <v>0.76400000000000001</v>
      </c>
      <c r="B84" s="21">
        <v>140</v>
      </c>
      <c r="C84" s="16">
        <v>0.88200000000000001</v>
      </c>
      <c r="D84" s="16" t="str">
        <f ca="1">PROPER(Music_Data[[#This Row],[Playlist_genre2]])</f>
        <v>Arabic</v>
      </c>
      <c r="E84" s="17">
        <v>0.88600000000000001</v>
      </c>
      <c r="F84" t="s">
        <v>2212</v>
      </c>
      <c r="G84">
        <v>81</v>
      </c>
      <c r="H84" t="s">
        <v>6849</v>
      </c>
      <c r="I84" t="s">
        <v>2215</v>
      </c>
      <c r="J84" s="22">
        <v>45435</v>
      </c>
      <c r="K84">
        <v>1</v>
      </c>
      <c r="L84">
        <v>11</v>
      </c>
      <c r="M84" s="21">
        <f ca="1">LEFT(Music_Data[[#This Row],[Duration_minutes]],3)/60</f>
        <v>2.3333333333333335</v>
      </c>
      <c r="N84" s="17">
        <v>0.35899999999999999</v>
      </c>
      <c r="O84" s="17" t="str">
        <f ca="1">PROPER(Music_Data[[#This Row],[Playlist_subgenre2]])</f>
        <v>Modern</v>
      </c>
    </row>
    <row r="85" spans="1:15">
      <c r="A85" s="17">
        <v>0.73</v>
      </c>
      <c r="B85" s="21">
        <v>155</v>
      </c>
      <c r="C85" s="16">
        <v>0.83399999999999996</v>
      </c>
      <c r="D85" s="16" t="str">
        <f ca="1">PROPER(Music_Data[[#This Row],[Playlist_genre2]])</f>
        <v>Arabic</v>
      </c>
      <c r="E85" s="17">
        <v>0.44600000000000001</v>
      </c>
      <c r="F85" t="s">
        <v>2919</v>
      </c>
      <c r="G85">
        <v>81</v>
      </c>
      <c r="H85" t="s">
        <v>6849</v>
      </c>
      <c r="I85" t="s">
        <v>2926</v>
      </c>
      <c r="J85" s="22">
        <v>43315</v>
      </c>
      <c r="K85">
        <v>1</v>
      </c>
      <c r="L85">
        <v>8</v>
      </c>
      <c r="M85" s="21">
        <f ca="1">LEFT(Music_Data[[#This Row],[Duration_minutes]],3)/60</f>
        <v>5.2</v>
      </c>
      <c r="N85" s="17">
        <v>5.13E-3</v>
      </c>
      <c r="O85" s="17" t="str">
        <f ca="1">PROPER(Music_Data[[#This Row],[Playlist_subgenre2]])</f>
        <v>Modern</v>
      </c>
    </row>
    <row r="86" spans="1:15">
      <c r="A86" s="17">
        <v>0.71599999999999997</v>
      </c>
      <c r="B86" s="21">
        <v>910</v>
      </c>
      <c r="C86" s="16">
        <v>0.70099999999999996</v>
      </c>
      <c r="D86" s="16" t="str">
        <f ca="1">PROPER(Music_Data[[#This Row],[Playlist_genre2]])</f>
        <v>Arabic</v>
      </c>
      <c r="E86" s="17">
        <v>0.73199999999999998</v>
      </c>
      <c r="F86" t="s">
        <v>5099</v>
      </c>
      <c r="G86">
        <v>80</v>
      </c>
      <c r="H86" t="s">
        <v>6849</v>
      </c>
      <c r="I86" t="s">
        <v>5105</v>
      </c>
      <c r="J86" s="22">
        <v>44281</v>
      </c>
      <c r="K86">
        <v>0</v>
      </c>
      <c r="L86">
        <v>7</v>
      </c>
      <c r="M86" s="21">
        <f ca="1">LEFT(Music_Data[[#This Row],[Duration_minutes]],3)/60</f>
        <v>2.3333333333333335</v>
      </c>
      <c r="N86" s="17">
        <v>0.17399999999999999</v>
      </c>
      <c r="O86" s="17" t="str">
        <f ca="1">PROPER(Music_Data[[#This Row],[Playlist_subgenre2]])</f>
        <v>Modern</v>
      </c>
    </row>
    <row r="87" spans="1:15">
      <c r="A87" s="17">
        <v>0.66200000000000003</v>
      </c>
      <c r="B87" s="21">
        <v>112</v>
      </c>
      <c r="C87" s="16">
        <v>0.89700000000000002</v>
      </c>
      <c r="D87" s="16" t="str">
        <f ca="1">PROPER(Music_Data[[#This Row],[Playlist_genre2]])</f>
        <v>Arabic</v>
      </c>
      <c r="E87" s="17">
        <v>0.39</v>
      </c>
      <c r="F87" t="s">
        <v>2427</v>
      </c>
      <c r="G87">
        <v>79</v>
      </c>
      <c r="H87" t="s">
        <v>6849</v>
      </c>
      <c r="I87" t="s">
        <v>6876</v>
      </c>
      <c r="J87" s="22">
        <v>43378</v>
      </c>
      <c r="K87">
        <v>0</v>
      </c>
      <c r="L87">
        <v>1</v>
      </c>
      <c r="M87" s="21">
        <f ca="1">LEFT(Music_Data[[#This Row],[Duration_minutes]],3)/60</f>
        <v>2.4166666666666665</v>
      </c>
      <c r="N87" s="17">
        <v>8.5199999999999998E-2</v>
      </c>
      <c r="O87" s="17" t="str">
        <f ca="1">PROPER(Music_Data[[#This Row],[Playlist_subgenre2]])</f>
        <v>Modern</v>
      </c>
    </row>
    <row r="88" spans="1:15">
      <c r="A88" s="17">
        <v>0.69199999999999995</v>
      </c>
      <c r="B88" s="21">
        <v>798</v>
      </c>
      <c r="C88" s="16">
        <v>0.623</v>
      </c>
      <c r="D88" s="16" t="str">
        <f ca="1">PROPER(Music_Data[[#This Row],[Playlist_genre2]])</f>
        <v>Arabic</v>
      </c>
      <c r="E88" s="17">
        <v>0.56599999999999995</v>
      </c>
      <c r="F88" t="s">
        <v>2153</v>
      </c>
      <c r="G88">
        <v>78</v>
      </c>
      <c r="H88" t="s">
        <v>6849</v>
      </c>
      <c r="I88" t="s">
        <v>6985</v>
      </c>
      <c r="J88" s="22">
        <v>43532</v>
      </c>
      <c r="K88">
        <v>1</v>
      </c>
      <c r="L88">
        <v>2</v>
      </c>
      <c r="M88" s="21">
        <f ca="1">LEFT(Music_Data[[#This Row],[Duration_minutes]],3)/60</f>
        <v>4</v>
      </c>
      <c r="N88" s="17">
        <v>0.32800000000000001</v>
      </c>
      <c r="O88" s="17" t="str">
        <f ca="1">PROPER(Music_Data[[#This Row],[Playlist_subgenre2]])</f>
        <v>Modern</v>
      </c>
    </row>
    <row r="89" spans="1:15">
      <c r="A89" s="17">
        <v>0.53400000000000003</v>
      </c>
      <c r="B89" s="21">
        <v>939</v>
      </c>
      <c r="C89" s="16">
        <v>0.83199999999999996</v>
      </c>
      <c r="D89" s="16" t="str">
        <f ca="1">PROPER(Music_Data[[#This Row],[Playlist_genre2]])</f>
        <v>Arabic</v>
      </c>
      <c r="E89" s="17">
        <v>0.11600000000000001</v>
      </c>
      <c r="F89" t="s">
        <v>2366</v>
      </c>
      <c r="G89">
        <v>78</v>
      </c>
      <c r="H89" t="s">
        <v>6849</v>
      </c>
      <c r="I89" t="s">
        <v>6852</v>
      </c>
      <c r="J89" s="22">
        <v>43966</v>
      </c>
      <c r="K89">
        <v>0</v>
      </c>
      <c r="L89">
        <v>1</v>
      </c>
      <c r="M89" s="21">
        <f ca="1">LEFT(Music_Data[[#This Row],[Duration_minutes]],3)/60</f>
        <v>2.2000000000000002</v>
      </c>
      <c r="N89" s="17">
        <v>0.34499999999999997</v>
      </c>
      <c r="O89" s="17" t="str">
        <f ca="1">PROPER(Music_Data[[#This Row],[Playlist_subgenre2]])</f>
        <v>Modern</v>
      </c>
    </row>
    <row r="90" spans="1:15">
      <c r="A90" s="17">
        <v>0.65800000000000003</v>
      </c>
      <c r="B90" s="21">
        <v>140</v>
      </c>
      <c r="C90" s="16">
        <v>0.8</v>
      </c>
      <c r="D90" s="16" t="str">
        <f ca="1">PROPER(Music_Data[[#This Row],[Playlist_genre2]])</f>
        <v>Arabic</v>
      </c>
      <c r="E90" s="17">
        <v>0.46200000000000002</v>
      </c>
      <c r="F90" t="s">
        <v>6862</v>
      </c>
      <c r="G90">
        <v>77</v>
      </c>
      <c r="H90" t="s">
        <v>6849</v>
      </c>
      <c r="I90" t="s">
        <v>6869</v>
      </c>
      <c r="J90" s="22">
        <v>44071</v>
      </c>
      <c r="K90">
        <v>0</v>
      </c>
      <c r="L90">
        <v>1</v>
      </c>
      <c r="M90" s="21">
        <f ca="1">LEFT(Music_Data[[#This Row],[Duration_minutes]],3)/60</f>
        <v>3.25</v>
      </c>
      <c r="N90" s="17">
        <v>0.25</v>
      </c>
      <c r="O90" s="17" t="str">
        <f ca="1">PROPER(Music_Data[[#This Row],[Playlist_subgenre2]])</f>
        <v>Modern</v>
      </c>
    </row>
    <row r="91" spans="1:15">
      <c r="A91" s="17">
        <v>0.65100000000000002</v>
      </c>
      <c r="B91" s="21">
        <v>163</v>
      </c>
      <c r="C91" s="16">
        <v>0.66500000000000004</v>
      </c>
      <c r="D91" s="16" t="str">
        <f ca="1">PROPER(Music_Data[[#This Row],[Playlist_genre2]])</f>
        <v>Arabic</v>
      </c>
      <c r="E91" s="17">
        <v>0.23699999999999999</v>
      </c>
      <c r="F91" t="s">
        <v>2153</v>
      </c>
      <c r="G91">
        <v>77</v>
      </c>
      <c r="H91" t="s">
        <v>6849</v>
      </c>
      <c r="I91" t="s">
        <v>6978</v>
      </c>
      <c r="J91" s="22">
        <v>43444</v>
      </c>
      <c r="K91">
        <v>1</v>
      </c>
      <c r="L91">
        <v>1</v>
      </c>
      <c r="M91" s="21">
        <f ca="1">LEFT(Music_Data[[#This Row],[Duration_minutes]],3)/60</f>
        <v>2.9166666666666665</v>
      </c>
      <c r="N91" s="17">
        <v>4.1399999999999999E-2</v>
      </c>
      <c r="O91" s="17" t="str">
        <f ca="1">PROPER(Music_Data[[#This Row],[Playlist_subgenre2]])</f>
        <v>Modern</v>
      </c>
    </row>
    <row r="92" spans="1:15">
      <c r="A92" s="17">
        <v>0.48699999999999999</v>
      </c>
      <c r="B92" s="21">
        <v>127</v>
      </c>
      <c r="C92" s="16">
        <v>0.96399999999999997</v>
      </c>
      <c r="D92" s="16" t="str">
        <f ca="1">PROPER(Music_Data[[#This Row],[Playlist_genre2]])</f>
        <v>Arabic</v>
      </c>
      <c r="E92" s="17">
        <v>0.108</v>
      </c>
      <c r="F92" t="s">
        <v>1909</v>
      </c>
      <c r="G92">
        <v>77</v>
      </c>
      <c r="H92" t="s">
        <v>6849</v>
      </c>
      <c r="I92" t="s">
        <v>2484</v>
      </c>
      <c r="J92" s="22">
        <v>43434</v>
      </c>
      <c r="K92">
        <v>0</v>
      </c>
      <c r="L92">
        <v>10</v>
      </c>
      <c r="M92" s="21">
        <f ca="1">LEFT(Music_Data[[#This Row],[Duration_minutes]],3)/60</f>
        <v>2.5666666666666669</v>
      </c>
      <c r="N92" s="17">
        <v>1.2700000000000001E-3</v>
      </c>
      <c r="O92" s="17" t="str">
        <f ca="1">PROPER(Music_Data[[#This Row],[Playlist_subgenre2]])</f>
        <v>Modern</v>
      </c>
    </row>
    <row r="93" spans="1:15">
      <c r="A93" s="17">
        <v>0.51600000000000001</v>
      </c>
      <c r="B93" s="21">
        <v>119</v>
      </c>
      <c r="C93" s="16">
        <v>0.877</v>
      </c>
      <c r="D93" s="16" t="str">
        <f ca="1">PROPER(Music_Data[[#This Row],[Playlist_genre2]])</f>
        <v>Arabic</v>
      </c>
      <c r="E93" s="17">
        <v>0.255</v>
      </c>
      <c r="F93" t="s">
        <v>1909</v>
      </c>
      <c r="G93">
        <v>77</v>
      </c>
      <c r="H93" t="s">
        <v>6849</v>
      </c>
      <c r="I93" t="s">
        <v>6927</v>
      </c>
      <c r="J93" s="22">
        <v>43070</v>
      </c>
      <c r="K93">
        <v>0</v>
      </c>
      <c r="L93">
        <v>2</v>
      </c>
      <c r="M93" s="21">
        <f ca="1">LEFT(Music_Data[[#This Row],[Duration_minutes]],3)/60</f>
        <v>2.7</v>
      </c>
      <c r="N93" s="17">
        <v>0.215</v>
      </c>
      <c r="O93" s="17" t="str">
        <f ca="1">PROPER(Music_Data[[#This Row],[Playlist_subgenre2]])</f>
        <v>Modern</v>
      </c>
    </row>
    <row r="94" spans="1:15">
      <c r="A94" s="17">
        <v>0.64800000000000002</v>
      </c>
      <c r="B94" s="21">
        <v>932</v>
      </c>
      <c r="C94" s="16">
        <v>0.73699999999999999</v>
      </c>
      <c r="D94" s="16" t="str">
        <f ca="1">PROPER(Music_Data[[#This Row],[Playlist_genre2]])</f>
        <v>Arabic</v>
      </c>
      <c r="E94" s="17">
        <v>0.746</v>
      </c>
      <c r="F94" t="s">
        <v>2993</v>
      </c>
      <c r="G94">
        <v>77</v>
      </c>
      <c r="H94" t="s">
        <v>6849</v>
      </c>
      <c r="I94" t="s">
        <v>2996</v>
      </c>
      <c r="J94" s="22">
        <v>45583</v>
      </c>
      <c r="K94">
        <v>1</v>
      </c>
      <c r="L94">
        <v>1</v>
      </c>
      <c r="M94" s="21">
        <f ca="1">LEFT(Music_Data[[#This Row],[Duration_minutes]],3)/60</f>
        <v>4.3166666666666664</v>
      </c>
      <c r="N94" s="17">
        <v>0.252</v>
      </c>
      <c r="O94" s="17" t="str">
        <f ca="1">PROPER(Music_Data[[#This Row],[Playlist_subgenre2]])</f>
        <v>Modern</v>
      </c>
    </row>
    <row r="95" spans="1:15">
      <c r="A95" s="17">
        <v>0.61299999999999999</v>
      </c>
      <c r="B95" s="21">
        <v>149</v>
      </c>
      <c r="C95" s="16">
        <v>0.65</v>
      </c>
      <c r="D95" s="16" t="str">
        <f ca="1">PROPER(Music_Data[[#This Row],[Playlist_genre2]])</f>
        <v>Arabic</v>
      </c>
      <c r="E95" s="17">
        <v>8.0399999999999999E-2</v>
      </c>
      <c r="F95" t="s">
        <v>2153</v>
      </c>
      <c r="G95">
        <v>76</v>
      </c>
      <c r="H95" t="s">
        <v>6849</v>
      </c>
      <c r="I95" t="s">
        <v>7002</v>
      </c>
      <c r="J95" s="22">
        <v>44022</v>
      </c>
      <c r="K95">
        <v>0</v>
      </c>
      <c r="L95">
        <v>9</v>
      </c>
      <c r="M95" s="21">
        <f ca="1">LEFT(Music_Data[[#This Row],[Duration_minutes]],3)/60</f>
        <v>3.2333333333333334</v>
      </c>
      <c r="N95" s="17">
        <v>3.3600000000000001E-3</v>
      </c>
      <c r="O95" s="17" t="str">
        <f ca="1">PROPER(Music_Data[[#This Row],[Playlist_subgenre2]])</f>
        <v>Modern</v>
      </c>
    </row>
    <row r="96" spans="1:15">
      <c r="A96" s="17">
        <v>0.34599999999999997</v>
      </c>
      <c r="B96" s="21">
        <v>119</v>
      </c>
      <c r="C96" s="16">
        <v>0.96299999999999997</v>
      </c>
      <c r="D96" s="16" t="str">
        <f ca="1">PROPER(Music_Data[[#This Row],[Playlist_genre2]])</f>
        <v>Arabic</v>
      </c>
      <c r="E96" s="17">
        <v>0.56200000000000006</v>
      </c>
      <c r="F96" t="s">
        <v>2622</v>
      </c>
      <c r="G96">
        <v>75</v>
      </c>
      <c r="H96" t="s">
        <v>6849</v>
      </c>
      <c r="I96" t="s">
        <v>2628</v>
      </c>
      <c r="J96" s="22">
        <v>43238</v>
      </c>
      <c r="K96">
        <v>0</v>
      </c>
      <c r="L96">
        <v>5</v>
      </c>
      <c r="M96" s="21">
        <f ca="1">LEFT(Music_Data[[#This Row],[Duration_minutes]],3)/60</f>
        <v>2.3666666666666667</v>
      </c>
      <c r="N96" s="17">
        <v>3.5499999999999997E-2</v>
      </c>
      <c r="O96" s="17" t="str">
        <f ca="1">PROPER(Music_Data[[#This Row],[Playlist_subgenre2]])</f>
        <v>Modern</v>
      </c>
    </row>
    <row r="97" spans="1:15">
      <c r="A97" s="17">
        <v>0.874</v>
      </c>
      <c r="B97" s="21">
        <v>118</v>
      </c>
      <c r="C97" s="16">
        <v>0.77400000000000002</v>
      </c>
      <c r="D97" s="16" t="str">
        <f ca="1">PROPER(Music_Data[[#This Row],[Playlist_genre2]])</f>
        <v>Arabic</v>
      </c>
      <c r="E97" s="17">
        <v>0.92700000000000005</v>
      </c>
      <c r="F97" t="s">
        <v>2964</v>
      </c>
      <c r="G97">
        <v>75</v>
      </c>
      <c r="H97" t="s">
        <v>6849</v>
      </c>
      <c r="I97" t="s">
        <v>2967</v>
      </c>
      <c r="J97" s="22">
        <v>45611</v>
      </c>
      <c r="K97">
        <v>0</v>
      </c>
      <c r="L97">
        <v>5</v>
      </c>
      <c r="M97" s="21">
        <f ca="1">LEFT(Music_Data[[#This Row],[Duration_minutes]],3)/60</f>
        <v>2.9</v>
      </c>
      <c r="N97" s="17">
        <v>0.14199999999999999</v>
      </c>
      <c r="O97" s="17" t="str">
        <f ca="1">PROPER(Music_Data[[#This Row],[Playlist_subgenre2]])</f>
        <v>Modern</v>
      </c>
    </row>
    <row r="98" spans="1:15">
      <c r="A98" s="17">
        <v>0.63900000000000001</v>
      </c>
      <c r="B98" s="21">
        <v>168</v>
      </c>
      <c r="C98" s="16">
        <v>0.77200000000000002</v>
      </c>
      <c r="D98" s="16" t="str">
        <f ca="1">PROPER(Music_Data[[#This Row],[Playlist_genre2]])</f>
        <v>Arabic</v>
      </c>
      <c r="E98" s="17">
        <v>0.26100000000000001</v>
      </c>
      <c r="F98" t="s">
        <v>6894</v>
      </c>
      <c r="G98">
        <v>74</v>
      </c>
      <c r="H98" t="s">
        <v>6849</v>
      </c>
      <c r="I98" t="s">
        <v>6899</v>
      </c>
      <c r="J98" s="22">
        <v>43623</v>
      </c>
      <c r="K98">
        <v>1</v>
      </c>
      <c r="L98">
        <v>1</v>
      </c>
      <c r="M98" s="21">
        <f ca="1">LEFT(Music_Data[[#This Row],[Duration_minutes]],3)/60</f>
        <v>2.7666666666666666</v>
      </c>
      <c r="N98" s="17">
        <v>0.15</v>
      </c>
      <c r="O98" s="17" t="str">
        <f ca="1">PROPER(Music_Data[[#This Row],[Playlist_subgenre2]])</f>
        <v>Modern</v>
      </c>
    </row>
    <row r="99" spans="1:15">
      <c r="A99" s="17">
        <v>0.65300000000000002</v>
      </c>
      <c r="B99" s="21">
        <v>150</v>
      </c>
      <c r="C99" s="16">
        <v>0.54700000000000004</v>
      </c>
      <c r="D99" s="16" t="str">
        <f ca="1">PROPER(Music_Data[[#This Row],[Playlist_genre2]])</f>
        <v>Arabic</v>
      </c>
      <c r="E99" s="17">
        <v>0.16300000000000001</v>
      </c>
      <c r="F99" t="s">
        <v>7027</v>
      </c>
      <c r="G99">
        <v>74</v>
      </c>
      <c r="H99" t="s">
        <v>6849</v>
      </c>
      <c r="I99" t="s">
        <v>7032</v>
      </c>
      <c r="J99" s="22">
        <v>43714</v>
      </c>
      <c r="K99">
        <v>1</v>
      </c>
      <c r="L99">
        <v>5</v>
      </c>
      <c r="M99" s="21">
        <f ca="1">LEFT(Music_Data[[#This Row],[Duration_minutes]],3)/60</f>
        <v>2.9</v>
      </c>
      <c r="N99" s="17">
        <v>0.45600000000000002</v>
      </c>
      <c r="O99" s="17" t="str">
        <f ca="1">PROPER(Music_Data[[#This Row],[Playlist_subgenre2]])</f>
        <v>Modern</v>
      </c>
    </row>
    <row r="100" spans="1:15">
      <c r="A100" s="17">
        <v>0.51500000000000001</v>
      </c>
      <c r="B100" s="21">
        <v>120</v>
      </c>
      <c r="C100" s="16">
        <v>0.56699999999999995</v>
      </c>
      <c r="D100" s="16" t="str">
        <f ca="1">PROPER(Music_Data[[#This Row],[Playlist_genre2]])</f>
        <v>Arabic</v>
      </c>
      <c r="E100" s="17">
        <v>0.32100000000000001</v>
      </c>
      <c r="F100" t="s">
        <v>6939</v>
      </c>
      <c r="G100">
        <v>73</v>
      </c>
      <c r="H100" t="s">
        <v>6849</v>
      </c>
      <c r="I100" t="s">
        <v>6945</v>
      </c>
      <c r="J100" s="22">
        <v>43749</v>
      </c>
      <c r="K100">
        <v>0</v>
      </c>
      <c r="L100">
        <v>6</v>
      </c>
      <c r="M100" s="21">
        <f ca="1">LEFT(Music_Data[[#This Row],[Duration_minutes]],3)/60</f>
        <v>3.7333333333333334</v>
      </c>
      <c r="N100" s="17">
        <v>0.35399999999999998</v>
      </c>
      <c r="O100" s="17" t="str">
        <f ca="1">PROPER(Music_Data[[#This Row],[Playlist_subgenre2]])</f>
        <v>Modern</v>
      </c>
    </row>
    <row r="101" spans="1:15">
      <c r="A101" s="17">
        <v>0.35299999999999998</v>
      </c>
      <c r="B101" s="21">
        <v>879</v>
      </c>
      <c r="C101" s="16">
        <v>0.79700000000000004</v>
      </c>
      <c r="D101" s="16" t="str">
        <f ca="1">PROPER(Music_Data[[#This Row],[Playlist_genre2]])</f>
        <v>Arabic</v>
      </c>
      <c r="E101" s="17">
        <v>7.3099999999999998E-2</v>
      </c>
      <c r="F101" t="s">
        <v>6914</v>
      </c>
      <c r="G101">
        <v>73</v>
      </c>
      <c r="H101" t="s">
        <v>6849</v>
      </c>
      <c r="I101" t="s">
        <v>6920</v>
      </c>
      <c r="J101" s="22">
        <v>43410</v>
      </c>
      <c r="K101">
        <v>0</v>
      </c>
      <c r="L101">
        <v>6</v>
      </c>
      <c r="M101" s="21">
        <f ca="1">LEFT(Music_Data[[#This Row],[Duration_minutes]],3)/60</f>
        <v>3.4666666666666668</v>
      </c>
      <c r="N101" s="17">
        <v>0.59</v>
      </c>
      <c r="O101" s="17" t="str">
        <f ca="1">PROPER(Music_Data[[#This Row],[Playlist_subgenre2]])</f>
        <v>Modern</v>
      </c>
    </row>
    <row r="102" spans="1:15">
      <c r="A102" s="17">
        <v>0.34699999999999998</v>
      </c>
      <c r="B102" s="21">
        <v>750</v>
      </c>
      <c r="C102" s="16">
        <v>0.88400000000000001</v>
      </c>
      <c r="D102" s="16" t="str">
        <f ca="1">PROPER(Music_Data[[#This Row],[Playlist_genre2]])</f>
        <v>Arabic</v>
      </c>
      <c r="E102" s="17">
        <v>0.376</v>
      </c>
      <c r="F102" t="s">
        <v>4975</v>
      </c>
      <c r="G102">
        <v>72</v>
      </c>
      <c r="H102" t="s">
        <v>6849</v>
      </c>
      <c r="I102" t="s">
        <v>6906</v>
      </c>
      <c r="J102" s="22">
        <v>42922</v>
      </c>
      <c r="K102">
        <v>0</v>
      </c>
      <c r="L102">
        <v>8</v>
      </c>
      <c r="M102" s="21">
        <f ca="1">LEFT(Music_Data[[#This Row],[Duration_minutes]],3)/60</f>
        <v>3.6666666666666665</v>
      </c>
      <c r="N102" s="17">
        <v>1.4999999999999999E-2</v>
      </c>
      <c r="O102" s="17" t="str">
        <f ca="1">PROPER(Music_Data[[#This Row],[Playlist_subgenre2]])</f>
        <v>Modern</v>
      </c>
    </row>
    <row r="103" spans="1:15">
      <c r="A103" s="17">
        <v>0.63400000000000001</v>
      </c>
      <c r="B103" s="21">
        <v>101</v>
      </c>
      <c r="C103" s="16">
        <v>0.502</v>
      </c>
      <c r="D103" s="16" t="str">
        <f ca="1">PROPER(Music_Data[[#This Row],[Playlist_genre2]])</f>
        <v>Arabic</v>
      </c>
      <c r="E103" s="17">
        <v>0.64500000000000002</v>
      </c>
      <c r="F103" t="s">
        <v>3019</v>
      </c>
      <c r="G103">
        <v>72</v>
      </c>
      <c r="H103" t="s">
        <v>6849</v>
      </c>
      <c r="I103" t="s">
        <v>3025</v>
      </c>
      <c r="J103" s="22">
        <v>45512</v>
      </c>
      <c r="K103">
        <v>0</v>
      </c>
      <c r="L103">
        <v>8</v>
      </c>
      <c r="M103" s="21">
        <f ca="1">LEFT(Music_Data[[#This Row],[Duration_minutes]],3)/60</f>
        <v>3.65</v>
      </c>
      <c r="N103" s="17">
        <v>0.67700000000000005</v>
      </c>
      <c r="O103" s="17" t="str">
        <f ca="1">PROPER(Music_Data[[#This Row],[Playlist_subgenre2]])</f>
        <v>Modern</v>
      </c>
    </row>
    <row r="104" spans="1:15">
      <c r="A104" s="17">
        <v>0.61899999999999999</v>
      </c>
      <c r="B104" s="21">
        <v>127</v>
      </c>
      <c r="C104" s="16">
        <v>0.96199999999999997</v>
      </c>
      <c r="D104" s="16" t="str">
        <f ca="1">PROPER(Music_Data[[#This Row],[Playlist_genre2]])</f>
        <v>Arabic</v>
      </c>
      <c r="E104" s="17">
        <v>0.154</v>
      </c>
      <c r="F104" t="s">
        <v>1909</v>
      </c>
      <c r="G104">
        <v>72</v>
      </c>
      <c r="H104" t="s">
        <v>6849</v>
      </c>
      <c r="I104" t="s">
        <v>6913</v>
      </c>
      <c r="J104" s="22">
        <v>43952</v>
      </c>
      <c r="K104">
        <v>0</v>
      </c>
      <c r="L104">
        <v>10</v>
      </c>
      <c r="M104" s="21">
        <f ca="1">LEFT(Music_Data[[#This Row],[Duration_minutes]],3)/60</f>
        <v>2.4</v>
      </c>
      <c r="N104" s="17">
        <v>3.5400000000000001E-2</v>
      </c>
      <c r="O104" s="17" t="str">
        <f ca="1">PROPER(Music_Data[[#This Row],[Playlist_subgenre2]])</f>
        <v>Modern</v>
      </c>
    </row>
    <row r="105" spans="1:15">
      <c r="A105" s="17">
        <v>0.54100000000000004</v>
      </c>
      <c r="B105" s="21">
        <v>139</v>
      </c>
      <c r="C105" s="16">
        <v>0.71599999999999997</v>
      </c>
      <c r="D105" s="16" t="str">
        <f ca="1">PROPER(Music_Data[[#This Row],[Playlist_genre2]])</f>
        <v>Arabic</v>
      </c>
      <c r="E105" s="17">
        <v>0.38700000000000001</v>
      </c>
      <c r="F105" t="s">
        <v>7047</v>
      </c>
      <c r="G105">
        <v>72</v>
      </c>
      <c r="H105" t="s">
        <v>6849</v>
      </c>
      <c r="I105" t="s">
        <v>7052</v>
      </c>
      <c r="J105" s="22">
        <v>43238</v>
      </c>
      <c r="K105">
        <v>1</v>
      </c>
      <c r="L105">
        <v>1</v>
      </c>
      <c r="M105" s="21">
        <f ca="1">LEFT(Music_Data[[#This Row],[Duration_minutes]],3)/60</f>
        <v>4.1166666666666663</v>
      </c>
      <c r="N105" s="17">
        <v>2.0999999999999999E-3</v>
      </c>
      <c r="O105" s="17" t="str">
        <f ca="1">PROPER(Music_Data[[#This Row],[Playlist_subgenre2]])</f>
        <v>Modern</v>
      </c>
    </row>
    <row r="106" spans="1:15">
      <c r="A106" s="17">
        <v>0.46300000000000002</v>
      </c>
      <c r="B106" s="21">
        <v>108</v>
      </c>
      <c r="C106" s="16">
        <v>0.97</v>
      </c>
      <c r="D106" s="16" t="str">
        <f ca="1">PROPER(Music_Data[[#This Row],[Playlist_genre2]])</f>
        <v>Arabic</v>
      </c>
      <c r="E106" s="17">
        <v>0.46</v>
      </c>
      <c r="F106" t="s">
        <v>6949</v>
      </c>
      <c r="G106">
        <v>72</v>
      </c>
      <c r="H106" t="s">
        <v>6849</v>
      </c>
      <c r="I106" t="s">
        <v>6955</v>
      </c>
      <c r="J106" s="22">
        <v>43693</v>
      </c>
      <c r="K106">
        <v>1</v>
      </c>
      <c r="L106">
        <v>10</v>
      </c>
      <c r="M106" s="21">
        <f ca="1">LEFT(Music_Data[[#This Row],[Duration_minutes]],3)/60</f>
        <v>2.3666666666666667</v>
      </c>
      <c r="N106" s="17">
        <v>9.5699999999999993E-2</v>
      </c>
      <c r="O106" s="17" t="str">
        <f ca="1">PROPER(Music_Data[[#This Row],[Playlist_subgenre2]])</f>
        <v>Modern</v>
      </c>
    </row>
    <row r="107" spans="1:15">
      <c r="A107" s="17">
        <v>0.68300000000000005</v>
      </c>
      <c r="B107" s="21">
        <v>145</v>
      </c>
      <c r="C107" s="16">
        <v>0.501</v>
      </c>
      <c r="D107" s="16" t="str">
        <f ca="1">PROPER(Music_Data[[#This Row],[Playlist_genre2]])</f>
        <v>Arabic</v>
      </c>
      <c r="E107" s="17">
        <v>0.623</v>
      </c>
      <c r="F107" t="s">
        <v>3011</v>
      </c>
      <c r="G107">
        <v>71</v>
      </c>
      <c r="H107" t="s">
        <v>6849</v>
      </c>
      <c r="I107" t="s">
        <v>3014</v>
      </c>
      <c r="J107" s="22">
        <v>45580</v>
      </c>
      <c r="K107">
        <v>0</v>
      </c>
      <c r="L107">
        <v>6</v>
      </c>
      <c r="M107" s="21">
        <f ca="1">LEFT(Music_Data[[#This Row],[Duration_minutes]],3)/60</f>
        <v>2.6833333333333331</v>
      </c>
      <c r="N107" s="17">
        <v>0.109</v>
      </c>
      <c r="O107" s="17" t="str">
        <f ca="1">PROPER(Music_Data[[#This Row],[Playlist_subgenre2]])</f>
        <v>Modern</v>
      </c>
    </row>
    <row r="108" spans="1:15">
      <c r="A108" s="17">
        <v>0.73599999999999999</v>
      </c>
      <c r="B108" s="21">
        <v>147</v>
      </c>
      <c r="C108" s="16">
        <v>0.77600000000000002</v>
      </c>
      <c r="D108" s="16" t="str">
        <f ca="1">PROPER(Music_Data[[#This Row],[Playlist_genre2]])</f>
        <v>Arabic</v>
      </c>
      <c r="E108" s="17">
        <v>0.23300000000000001</v>
      </c>
      <c r="F108" t="s">
        <v>2153</v>
      </c>
      <c r="G108">
        <v>71</v>
      </c>
      <c r="H108" t="s">
        <v>6849</v>
      </c>
      <c r="I108" t="s">
        <v>7016</v>
      </c>
      <c r="J108" s="22">
        <v>43444</v>
      </c>
      <c r="K108">
        <v>1</v>
      </c>
      <c r="L108">
        <v>7</v>
      </c>
      <c r="M108" s="21">
        <f ca="1">LEFT(Music_Data[[#This Row],[Duration_minutes]],3)/60</f>
        <v>3.1</v>
      </c>
      <c r="N108" s="17">
        <v>8.0199999999999994E-2</v>
      </c>
      <c r="O108" s="17" t="str">
        <f ca="1">PROPER(Music_Data[[#This Row],[Playlist_subgenre2]])</f>
        <v>Modern</v>
      </c>
    </row>
    <row r="109" spans="1:15">
      <c r="A109" s="17">
        <v>0.52400000000000002</v>
      </c>
      <c r="B109" s="21">
        <v>140</v>
      </c>
      <c r="C109" s="16">
        <v>0.747</v>
      </c>
      <c r="D109" s="16" t="str">
        <f ca="1">PROPER(Music_Data[[#This Row],[Playlist_genre2]])</f>
        <v>Arabic</v>
      </c>
      <c r="E109" s="17">
        <v>0.36299999999999999</v>
      </c>
      <c r="F109" t="s">
        <v>6878</v>
      </c>
      <c r="G109">
        <v>71</v>
      </c>
      <c r="H109" t="s">
        <v>6849</v>
      </c>
      <c r="I109" t="s">
        <v>6884</v>
      </c>
      <c r="J109" s="22">
        <v>42965</v>
      </c>
      <c r="K109">
        <v>0</v>
      </c>
      <c r="L109">
        <v>10</v>
      </c>
      <c r="M109" s="21">
        <f ca="1">LEFT(Music_Data[[#This Row],[Duration_minutes]],3)/60</f>
        <v>3.55</v>
      </c>
      <c r="N109" s="17">
        <v>3.0599999999999999E-2</v>
      </c>
      <c r="O109" s="17" t="str">
        <f ca="1">PROPER(Music_Data[[#This Row],[Playlist_subgenre2]])</f>
        <v>Modern</v>
      </c>
    </row>
    <row r="110" spans="1:15">
      <c r="A110" s="17">
        <v>0.74399999999999999</v>
      </c>
      <c r="B110" s="21">
        <v>840</v>
      </c>
      <c r="C110" s="16">
        <v>0.86699999999999999</v>
      </c>
      <c r="D110" s="16" t="str">
        <f ca="1">PROPER(Music_Data[[#This Row],[Playlist_genre2]])</f>
        <v>Arabic</v>
      </c>
      <c r="E110" s="17">
        <v>0.64500000000000002</v>
      </c>
      <c r="F110" t="s">
        <v>6930</v>
      </c>
      <c r="G110">
        <v>71</v>
      </c>
      <c r="H110" t="s">
        <v>6849</v>
      </c>
      <c r="I110" t="s">
        <v>6936</v>
      </c>
      <c r="J110" s="22">
        <v>44050</v>
      </c>
      <c r="K110">
        <v>1</v>
      </c>
      <c r="L110">
        <v>2</v>
      </c>
      <c r="M110" s="21">
        <f ca="1">LEFT(Music_Data[[#This Row],[Duration_minutes]],3)/60</f>
        <v>2.8833333333333333</v>
      </c>
      <c r="N110" s="17">
        <v>0.26800000000000002</v>
      </c>
      <c r="O110" s="17" t="str">
        <f ca="1">PROPER(Music_Data[[#This Row],[Playlist_subgenre2]])</f>
        <v>Modern</v>
      </c>
    </row>
    <row r="111" spans="1:15">
      <c r="A111" s="17">
        <v>0.71899999999999997</v>
      </c>
      <c r="B111" s="21">
        <v>113</v>
      </c>
      <c r="C111" s="16">
        <v>0.89700000000000002</v>
      </c>
      <c r="D111" s="16" t="str">
        <f ca="1">PROPER(Music_Data[[#This Row],[Playlist_genre2]])</f>
        <v>Arabic</v>
      </c>
      <c r="E111" s="17">
        <v>0.54600000000000004</v>
      </c>
      <c r="F111" t="s">
        <v>5502</v>
      </c>
      <c r="G111">
        <v>71</v>
      </c>
      <c r="H111" t="s">
        <v>6849</v>
      </c>
      <c r="I111" t="s">
        <v>5505</v>
      </c>
      <c r="J111" s="22">
        <v>45526</v>
      </c>
      <c r="K111">
        <v>0</v>
      </c>
      <c r="L111">
        <v>6</v>
      </c>
      <c r="M111" s="21">
        <f ca="1">LEFT(Music_Data[[#This Row],[Duration_minutes]],3)/60</f>
        <v>2.6166666666666667</v>
      </c>
      <c r="N111" s="17">
        <v>0.11600000000000001</v>
      </c>
      <c r="O111" s="17" t="str">
        <f ca="1">PROPER(Music_Data[[#This Row],[Playlist_subgenre2]])</f>
        <v>Modern</v>
      </c>
    </row>
    <row r="112" spans="1:15">
      <c r="A112" s="17">
        <v>0.80100000000000005</v>
      </c>
      <c r="B112" s="21">
        <v>104</v>
      </c>
      <c r="C112" s="16">
        <v>0.77800000000000002</v>
      </c>
      <c r="D112" s="16" t="str">
        <f ca="1">PROPER(Music_Data[[#This Row],[Playlist_genre2]])</f>
        <v>Arabic</v>
      </c>
      <c r="E112" s="17">
        <v>0.91400000000000003</v>
      </c>
      <c r="F112" t="s">
        <v>7019</v>
      </c>
      <c r="G112">
        <v>70</v>
      </c>
      <c r="H112" t="s">
        <v>6849</v>
      </c>
      <c r="I112" t="s">
        <v>7025</v>
      </c>
      <c r="J112" s="22">
        <v>45092</v>
      </c>
      <c r="K112">
        <v>0</v>
      </c>
      <c r="L112">
        <v>6</v>
      </c>
      <c r="M112" s="21">
        <f ca="1">LEFT(Music_Data[[#This Row],[Duration_minutes]],3)/60</f>
        <v>2.6166666666666667</v>
      </c>
      <c r="N112" s="17">
        <v>0.69199999999999995</v>
      </c>
      <c r="O112" s="17" t="str">
        <f ca="1">PROPER(Music_Data[[#This Row],[Playlist_subgenre2]])</f>
        <v>Modern</v>
      </c>
    </row>
    <row r="113" spans="1:15">
      <c r="A113" s="17">
        <v>0.72699999999999998</v>
      </c>
      <c r="B113" s="21">
        <v>150</v>
      </c>
      <c r="C113" s="16">
        <v>0.47699999999999998</v>
      </c>
      <c r="D113" s="16" t="str">
        <f ca="1">PROPER(Music_Data[[#This Row],[Playlist_genre2]])</f>
        <v>Arabic</v>
      </c>
      <c r="E113" s="17">
        <v>0.22700000000000001</v>
      </c>
      <c r="F113" t="s">
        <v>2540</v>
      </c>
      <c r="G113">
        <v>70</v>
      </c>
      <c r="H113" t="s">
        <v>6849</v>
      </c>
      <c r="I113" t="s">
        <v>2546</v>
      </c>
      <c r="J113" s="22">
        <v>44316</v>
      </c>
      <c r="K113">
        <v>1</v>
      </c>
      <c r="L113">
        <v>2</v>
      </c>
      <c r="M113" s="21">
        <f ca="1">LEFT(Music_Data[[#This Row],[Duration_minutes]],3)/60</f>
        <v>3.9333333333333331</v>
      </c>
      <c r="N113" s="17">
        <v>8.6600000000000002E-4</v>
      </c>
      <c r="O113" s="17" t="str">
        <f ca="1">PROPER(Music_Data[[#This Row],[Playlist_subgenre2]])</f>
        <v>Modern</v>
      </c>
    </row>
    <row r="114" spans="1:15">
      <c r="A114" s="17">
        <v>0.56399999999999995</v>
      </c>
      <c r="B114" s="21">
        <v>779</v>
      </c>
      <c r="C114" s="16">
        <v>0.85599999999999998</v>
      </c>
      <c r="D114" s="16" t="str">
        <f ca="1">PROPER(Music_Data[[#This Row],[Playlist_genre2]])</f>
        <v>Arabic</v>
      </c>
      <c r="E114" s="17">
        <v>0.48299999999999998</v>
      </c>
      <c r="F114" t="s">
        <v>1909</v>
      </c>
      <c r="G114">
        <v>70</v>
      </c>
      <c r="H114" t="s">
        <v>6849</v>
      </c>
      <c r="I114" t="s">
        <v>2574</v>
      </c>
      <c r="J114" s="22">
        <v>44169</v>
      </c>
      <c r="K114">
        <v>0</v>
      </c>
      <c r="L114">
        <v>6</v>
      </c>
      <c r="M114" s="21">
        <f ca="1">LEFT(Music_Data[[#This Row],[Duration_minutes]],3)/60</f>
        <v>2.25</v>
      </c>
      <c r="N114" s="17">
        <v>3.2699999999999999E-3</v>
      </c>
      <c r="O114" s="17" t="str">
        <f ca="1">PROPER(Music_Data[[#This Row],[Playlist_subgenre2]])</f>
        <v>Modern</v>
      </c>
    </row>
    <row r="115" spans="1:15">
      <c r="A115" s="17">
        <v>0.54200000000000004</v>
      </c>
      <c r="B115" s="21">
        <v>135</v>
      </c>
      <c r="C115" s="16">
        <v>0.92600000000000005</v>
      </c>
      <c r="D115" s="16" t="str">
        <f ca="1">PROPER(Music_Data[[#This Row],[Playlist_genre2]])</f>
        <v>Arabic</v>
      </c>
      <c r="E115" s="17">
        <v>0.56399999999999995</v>
      </c>
      <c r="F115" t="s">
        <v>2724</v>
      </c>
      <c r="G115">
        <v>70</v>
      </c>
      <c r="H115" t="s">
        <v>6849</v>
      </c>
      <c r="I115" t="s">
        <v>2731</v>
      </c>
      <c r="J115" s="22">
        <v>43952</v>
      </c>
      <c r="K115">
        <v>1</v>
      </c>
      <c r="L115">
        <v>1</v>
      </c>
      <c r="M115" s="21">
        <f ca="1">LEFT(Music_Data[[#This Row],[Duration_minutes]],3)/60</f>
        <v>3.0166666666666666</v>
      </c>
      <c r="N115" s="17">
        <v>0.13500000000000001</v>
      </c>
      <c r="O115" s="17" t="str">
        <f ca="1">PROPER(Music_Data[[#This Row],[Playlist_subgenre2]])</f>
        <v>Modern</v>
      </c>
    </row>
    <row r="116" spans="1:15">
      <c r="A116" s="17">
        <v>0.81899999999999995</v>
      </c>
      <c r="B116" s="21">
        <v>110</v>
      </c>
      <c r="C116" s="16">
        <v>0.72599999999999998</v>
      </c>
      <c r="D116" s="16" t="str">
        <f ca="1">PROPER(Music_Data[[#This Row],[Playlist_genre2]])</f>
        <v>Arabic</v>
      </c>
      <c r="E116" s="17">
        <v>0.63600000000000001</v>
      </c>
      <c r="F116" t="s">
        <v>5463</v>
      </c>
      <c r="G116">
        <v>70</v>
      </c>
      <c r="H116" t="s">
        <v>6849</v>
      </c>
      <c r="I116" t="s">
        <v>5469</v>
      </c>
      <c r="J116" s="22">
        <v>45394</v>
      </c>
      <c r="K116">
        <v>1</v>
      </c>
      <c r="L116">
        <v>8</v>
      </c>
      <c r="M116" s="21">
        <f ca="1">LEFT(Music_Data[[#This Row],[Duration_minutes]],3)/60</f>
        <v>2.35</v>
      </c>
      <c r="N116" s="17">
        <v>0.47699999999999998</v>
      </c>
      <c r="O116" s="17" t="str">
        <f ca="1">PROPER(Music_Data[[#This Row],[Playlist_subgenre2]])</f>
        <v>Modern</v>
      </c>
    </row>
    <row r="117" spans="1:15">
      <c r="A117" s="17">
        <v>0.66200000000000003</v>
      </c>
      <c r="B117" s="21">
        <v>143</v>
      </c>
      <c r="C117" s="16">
        <v>0.76700000000000002</v>
      </c>
      <c r="D117" s="16" t="str">
        <f ca="1">PROPER(Music_Data[[#This Row],[Playlist_genre2]])</f>
        <v>Arabic</v>
      </c>
      <c r="E117" s="17">
        <v>0.25900000000000001</v>
      </c>
      <c r="F117" t="s">
        <v>1856</v>
      </c>
      <c r="G117">
        <v>69</v>
      </c>
      <c r="H117" t="s">
        <v>6849</v>
      </c>
      <c r="I117" t="s">
        <v>6962</v>
      </c>
      <c r="J117" s="22">
        <v>45093</v>
      </c>
      <c r="K117">
        <v>0</v>
      </c>
      <c r="L117">
        <v>5</v>
      </c>
      <c r="M117" s="21">
        <f ca="1">LEFT(Music_Data[[#This Row],[Duration_minutes]],3)/60</f>
        <v>3.2166666666666668</v>
      </c>
      <c r="N117" s="17">
        <v>0.10299999999999999</v>
      </c>
      <c r="O117" s="17" t="str">
        <f ca="1">PROPER(Music_Data[[#This Row],[Playlist_subgenre2]])</f>
        <v>Modern</v>
      </c>
    </row>
    <row r="118" spans="1:15">
      <c r="A118" s="17">
        <v>0.39500000000000002</v>
      </c>
      <c r="B118" s="21">
        <v>769</v>
      </c>
      <c r="C118" s="16">
        <v>0.79300000000000004</v>
      </c>
      <c r="D118" s="16" t="str">
        <f ca="1">PROPER(Music_Data[[#This Row],[Playlist_genre2]])</f>
        <v>Arabic</v>
      </c>
      <c r="E118" s="17">
        <v>0.128</v>
      </c>
      <c r="F118" t="s">
        <v>2427</v>
      </c>
      <c r="G118">
        <v>69</v>
      </c>
      <c r="H118" t="s">
        <v>6849</v>
      </c>
      <c r="I118" t="s">
        <v>2433</v>
      </c>
      <c r="J118" s="22">
        <v>43434</v>
      </c>
      <c r="K118">
        <v>1</v>
      </c>
      <c r="L118">
        <v>1</v>
      </c>
      <c r="M118" s="21">
        <f ca="1">LEFT(Music_Data[[#This Row],[Duration_minutes]],3)/60</f>
        <v>3.55</v>
      </c>
      <c r="N118" s="17">
        <v>0.27700000000000002</v>
      </c>
      <c r="O118" s="17" t="str">
        <f ca="1">PROPER(Music_Data[[#This Row],[Playlist_subgenre2]])</f>
        <v>Modern</v>
      </c>
    </row>
    <row r="119" spans="1:15">
      <c r="A119" s="17">
        <v>0.57199999999999995</v>
      </c>
      <c r="B119" s="21">
        <v>141</v>
      </c>
      <c r="C119" s="16">
        <v>0.82299999999999995</v>
      </c>
      <c r="D119" s="16" t="str">
        <f ca="1">PROPER(Music_Data[[#This Row],[Playlist_genre2]])</f>
        <v>Arabic</v>
      </c>
      <c r="E119" s="17">
        <v>0.56799999999999995</v>
      </c>
      <c r="F119" t="s">
        <v>6987</v>
      </c>
      <c r="G119">
        <v>69</v>
      </c>
      <c r="H119" t="s">
        <v>6849</v>
      </c>
      <c r="I119" t="s">
        <v>6993</v>
      </c>
      <c r="J119" s="22">
        <v>43413</v>
      </c>
      <c r="K119">
        <v>0</v>
      </c>
      <c r="L119">
        <v>6</v>
      </c>
      <c r="M119" s="21">
        <f ca="1">LEFT(Music_Data[[#This Row],[Duration_minutes]],3)/60</f>
        <v>2.9166666666666665</v>
      </c>
      <c r="N119" s="17">
        <v>7.9000000000000008E-3</v>
      </c>
      <c r="O119" s="17" t="str">
        <f ca="1">PROPER(Music_Data[[#This Row],[Playlist_subgenre2]])</f>
        <v>Modern</v>
      </c>
    </row>
    <row r="120" spans="1:15">
      <c r="A120" s="17">
        <v>0.44400000000000001</v>
      </c>
      <c r="B120" s="21">
        <v>140</v>
      </c>
      <c r="C120" s="16">
        <v>0.90600000000000003</v>
      </c>
      <c r="D120" s="16" t="str">
        <f ca="1">PROPER(Music_Data[[#This Row],[Playlist_genre2]])</f>
        <v>Arabic</v>
      </c>
      <c r="E120" s="17">
        <v>0.67800000000000005</v>
      </c>
      <c r="F120" t="s">
        <v>2391</v>
      </c>
      <c r="G120">
        <v>68</v>
      </c>
      <c r="H120" t="s">
        <v>6849</v>
      </c>
      <c r="I120" t="s">
        <v>6891</v>
      </c>
      <c r="J120" s="22">
        <v>42566</v>
      </c>
      <c r="K120">
        <v>0</v>
      </c>
      <c r="L120">
        <v>4</v>
      </c>
      <c r="M120" s="21">
        <f ca="1">LEFT(Music_Data[[#This Row],[Duration_minutes]],3)/60</f>
        <v>3.9166666666666665</v>
      </c>
      <c r="N120" s="17">
        <v>0.13600000000000001</v>
      </c>
      <c r="O120" s="17" t="str">
        <f ca="1">PROPER(Music_Data[[#This Row],[Playlist_subgenre2]])</f>
        <v>Modern</v>
      </c>
    </row>
    <row r="121" spans="1:15">
      <c r="A121" s="17">
        <v>0.64</v>
      </c>
      <c r="B121" s="21">
        <v>112</v>
      </c>
      <c r="C121" s="16">
        <v>0.86899999999999999</v>
      </c>
      <c r="D121" s="16" t="str">
        <f ca="1">PROPER(Music_Data[[#This Row],[Playlist_genre2]])</f>
        <v>Arabic</v>
      </c>
      <c r="E121" s="17">
        <v>0.53500000000000003</v>
      </c>
      <c r="F121" t="s">
        <v>7041</v>
      </c>
      <c r="G121">
        <v>68</v>
      </c>
      <c r="H121" t="s">
        <v>6849</v>
      </c>
      <c r="I121" t="s">
        <v>7046</v>
      </c>
      <c r="J121" s="22">
        <v>45512</v>
      </c>
      <c r="K121">
        <v>0</v>
      </c>
      <c r="L121">
        <v>5</v>
      </c>
      <c r="M121" s="21">
        <f ca="1">LEFT(Music_Data[[#This Row],[Duration_minutes]],3)/60</f>
        <v>2.8666666666666667</v>
      </c>
      <c r="N121" s="17">
        <v>1.0999999999999999E-2</v>
      </c>
      <c r="O121" s="17" t="str">
        <f ca="1">PROPER(Music_Data[[#This Row],[Playlist_subgenre2]])</f>
        <v>Modern</v>
      </c>
    </row>
    <row r="122" spans="1:15">
      <c r="A122" s="17">
        <v>0.65100000000000002</v>
      </c>
      <c r="B122" s="21">
        <v>678</v>
      </c>
      <c r="C122" s="16">
        <v>0.49</v>
      </c>
      <c r="D122" s="16" t="str">
        <f ca="1">PROPER(Music_Data[[#This Row],[Playlist_genre2]])</f>
        <v>Arabic</v>
      </c>
      <c r="E122" s="17">
        <v>0.56699999999999995</v>
      </c>
      <c r="F122" t="s">
        <v>5519</v>
      </c>
      <c r="G122">
        <v>68</v>
      </c>
      <c r="H122" t="s">
        <v>6849</v>
      </c>
      <c r="I122" t="s">
        <v>5522</v>
      </c>
      <c r="J122" s="22">
        <v>45398</v>
      </c>
      <c r="K122">
        <v>1</v>
      </c>
      <c r="L122">
        <v>11</v>
      </c>
      <c r="M122" s="21">
        <f ca="1">LEFT(Music_Data[[#This Row],[Duration_minutes]],3)/60</f>
        <v>3</v>
      </c>
      <c r="N122" s="17">
        <v>0.71399999999999997</v>
      </c>
      <c r="O122" s="17" t="str">
        <f ca="1">PROPER(Music_Data[[#This Row],[Playlist_subgenre2]])</f>
        <v>Modern</v>
      </c>
    </row>
    <row r="123" spans="1:15">
      <c r="A123" s="17">
        <v>0.52</v>
      </c>
      <c r="B123" s="21">
        <v>958</v>
      </c>
      <c r="C123" s="16">
        <v>0.57799999999999996</v>
      </c>
      <c r="D123" s="16" t="str">
        <f ca="1">PROPER(Music_Data[[#This Row],[Playlist_genre2]])</f>
        <v>Arabic</v>
      </c>
      <c r="E123" s="17">
        <v>0.42499999999999999</v>
      </c>
      <c r="F123" t="s">
        <v>5510</v>
      </c>
      <c r="G123">
        <v>68</v>
      </c>
      <c r="H123" t="s">
        <v>6849</v>
      </c>
      <c r="I123" t="s">
        <v>5516</v>
      </c>
      <c r="J123" s="22">
        <v>45569</v>
      </c>
      <c r="K123">
        <v>0</v>
      </c>
      <c r="L123">
        <v>11</v>
      </c>
      <c r="M123" s="21">
        <f ca="1">LEFT(Music_Data[[#This Row],[Duration_minutes]],3)/60</f>
        <v>2.5666666666666669</v>
      </c>
      <c r="N123" s="17">
        <v>0.55400000000000005</v>
      </c>
      <c r="O123" s="17" t="str">
        <f ca="1">PROPER(Music_Data[[#This Row],[Playlist_subgenre2]])</f>
        <v>Modern</v>
      </c>
    </row>
    <row r="124" spans="1:15">
      <c r="A124" s="17">
        <v>0.48</v>
      </c>
      <c r="B124" s="21">
        <v>143</v>
      </c>
      <c r="C124" s="16">
        <v>0.84599999999999997</v>
      </c>
      <c r="D124" s="16" t="str">
        <f ca="1">PROPER(Music_Data[[#This Row],[Playlist_genre2]])</f>
        <v>Arabic</v>
      </c>
      <c r="E124" s="17">
        <v>0.41899999999999998</v>
      </c>
      <c r="F124" t="s">
        <v>2521</v>
      </c>
      <c r="G124">
        <v>68</v>
      </c>
      <c r="H124" t="s">
        <v>6849</v>
      </c>
      <c r="I124" t="s">
        <v>2527</v>
      </c>
      <c r="J124" s="22">
        <v>43959</v>
      </c>
      <c r="K124">
        <v>0</v>
      </c>
      <c r="L124">
        <v>8</v>
      </c>
      <c r="M124" s="21">
        <f ca="1">LEFT(Music_Data[[#This Row],[Duration_minutes]],3)/60</f>
        <v>2.8166666666666669</v>
      </c>
      <c r="N124" s="17">
        <v>0.26900000000000002</v>
      </c>
      <c r="O124" s="17" t="str">
        <f ca="1">PROPER(Music_Data[[#This Row],[Playlist_subgenre2]])</f>
        <v>Modern</v>
      </c>
    </row>
    <row r="125" spans="1:15">
      <c r="A125" s="17">
        <v>0.70099999999999996</v>
      </c>
      <c r="B125" s="21">
        <v>134</v>
      </c>
      <c r="C125" s="16">
        <v>0.71</v>
      </c>
      <c r="D125" s="16" t="str">
        <f ca="1">PROPER(Music_Data[[#This Row],[Playlist_genre2]])</f>
        <v>Arabic</v>
      </c>
      <c r="E125" s="17">
        <v>0.56399999999999995</v>
      </c>
      <c r="F125" t="s">
        <v>6963</v>
      </c>
      <c r="G125">
        <v>68</v>
      </c>
      <c r="H125" t="s">
        <v>6849</v>
      </c>
      <c r="I125" t="s">
        <v>6969</v>
      </c>
      <c r="J125" s="22">
        <v>45072</v>
      </c>
      <c r="K125">
        <v>1</v>
      </c>
      <c r="L125">
        <v>11</v>
      </c>
      <c r="M125" s="21">
        <f ca="1">LEFT(Music_Data[[#This Row],[Duration_minutes]],3)/60</f>
        <v>3.65</v>
      </c>
      <c r="N125" s="17">
        <v>1.0500000000000001E-2</v>
      </c>
      <c r="O125" s="17" t="str">
        <f ca="1">PROPER(Music_Data[[#This Row],[Playlist_subgenre2]])</f>
        <v>Modern</v>
      </c>
    </row>
    <row r="126" spans="1:15">
      <c r="A126" s="17">
        <v>0.57599999999999996</v>
      </c>
      <c r="B126" s="21">
        <v>166</v>
      </c>
      <c r="C126" s="16">
        <v>0.77</v>
      </c>
      <c r="D126" s="16" t="str">
        <f ca="1">PROPER(Music_Data[[#This Row],[Playlist_genre2]])</f>
        <v>Arabic</v>
      </c>
      <c r="E126" s="17">
        <v>0.36399999999999999</v>
      </c>
      <c r="F126" t="s">
        <v>2366</v>
      </c>
      <c r="G126">
        <v>68</v>
      </c>
      <c r="H126" t="s">
        <v>6849</v>
      </c>
      <c r="I126" t="s">
        <v>6860</v>
      </c>
      <c r="J126" s="22">
        <v>43623</v>
      </c>
      <c r="K126">
        <v>0</v>
      </c>
      <c r="L126">
        <v>8</v>
      </c>
      <c r="M126" s="21">
        <f ca="1">LEFT(Music_Data[[#This Row],[Duration_minutes]],3)/60</f>
        <v>2.1166666666666667</v>
      </c>
      <c r="N126" s="17">
        <v>0.13800000000000001</v>
      </c>
      <c r="O126" s="17" t="str">
        <f ca="1">PROPER(Music_Data[[#This Row],[Playlist_subgenre2]])</f>
        <v>Modern</v>
      </c>
    </row>
    <row r="127" spans="1:15">
      <c r="A127" s="17">
        <v>0.84099999999999997</v>
      </c>
      <c r="B127" s="21">
        <v>147</v>
      </c>
      <c r="C127" s="16">
        <v>0.754</v>
      </c>
      <c r="D127" s="16" t="str">
        <f ca="1">PROPER(Music_Data[[#This Row],[Playlist_genre2]])</f>
        <v>Arabic</v>
      </c>
      <c r="E127" s="17">
        <v>0.83799999999999997</v>
      </c>
      <c r="F127" t="s">
        <v>5483</v>
      </c>
      <c r="G127">
        <v>68</v>
      </c>
      <c r="H127" t="s">
        <v>6849</v>
      </c>
      <c r="I127" t="s">
        <v>5490</v>
      </c>
      <c r="J127" s="22">
        <v>45483</v>
      </c>
      <c r="K127">
        <v>1</v>
      </c>
      <c r="L127">
        <v>2</v>
      </c>
      <c r="M127" s="21">
        <f ca="1">LEFT(Music_Data[[#This Row],[Duration_minutes]],3)/60</f>
        <v>2.2833333333333332</v>
      </c>
      <c r="N127" s="17">
        <v>0.13600000000000001</v>
      </c>
      <c r="O127" s="17" t="str">
        <f ca="1">PROPER(Music_Data[[#This Row],[Playlist_subgenre2]])</f>
        <v>Modern</v>
      </c>
    </row>
    <row r="128" spans="1:15">
      <c r="A128" s="17">
        <v>0.92500000000000004</v>
      </c>
      <c r="B128" s="21">
        <v>869</v>
      </c>
      <c r="C128" s="16">
        <v>0.749</v>
      </c>
      <c r="D128" s="16" t="str">
        <f ca="1">PROPER(Music_Data[[#This Row],[Playlist_genre2]])</f>
        <v>Blues</v>
      </c>
      <c r="E128" s="17">
        <v>0.64100000000000001</v>
      </c>
      <c r="F128" t="s">
        <v>9861</v>
      </c>
      <c r="G128">
        <v>83</v>
      </c>
      <c r="H128" t="s">
        <v>9661</v>
      </c>
      <c r="I128" t="s">
        <v>9867</v>
      </c>
      <c r="J128" s="22">
        <v>40347</v>
      </c>
      <c r="K128">
        <v>1</v>
      </c>
      <c r="L128">
        <v>10</v>
      </c>
      <c r="M128" s="21">
        <f ca="1">LEFT(Music_Data[[#This Row],[Duration_minutes]],3)/60</f>
        <v>4.3833333333333337</v>
      </c>
      <c r="N128" s="17">
        <v>0.24099999999999999</v>
      </c>
      <c r="O128" s="17" t="str">
        <f ca="1">PROPER(Music_Data[[#This Row],[Playlist_subgenre2]])</f>
        <v>Classic</v>
      </c>
    </row>
    <row r="129" spans="1:15">
      <c r="A129" s="17">
        <v>0.85899999999999999</v>
      </c>
      <c r="B129" s="21">
        <v>650</v>
      </c>
      <c r="C129" s="16">
        <v>0.72799999999999998</v>
      </c>
      <c r="D129" s="16" t="str">
        <f ca="1">PROPER(Music_Data[[#This Row],[Playlist_genre2]])</f>
        <v>Blues</v>
      </c>
      <c r="E129" s="17">
        <v>0.53500000000000003</v>
      </c>
      <c r="F129" t="s">
        <v>9836</v>
      </c>
      <c r="G129">
        <v>81</v>
      </c>
      <c r="H129" t="s">
        <v>9661</v>
      </c>
      <c r="I129" t="s">
        <v>9842</v>
      </c>
      <c r="J129" s="22">
        <v>40179</v>
      </c>
      <c r="K129">
        <v>0</v>
      </c>
      <c r="L129">
        <v>5</v>
      </c>
      <c r="M129" s="21">
        <f ca="1">LEFT(Music_Data[[#This Row],[Duration_minutes]],3)/60</f>
        <v>3.5666666666666669</v>
      </c>
      <c r="N129" s="17">
        <v>4.0099999999999997E-2</v>
      </c>
      <c r="O129" s="17" t="str">
        <f ca="1">PROPER(Music_Data[[#This Row],[Playlist_subgenre2]])</f>
        <v>Classic</v>
      </c>
    </row>
    <row r="130" spans="1:15">
      <c r="A130" s="17">
        <v>0.76800000000000002</v>
      </c>
      <c r="B130" s="21">
        <v>800</v>
      </c>
      <c r="C130" s="16">
        <v>0.78</v>
      </c>
      <c r="D130" s="16" t="str">
        <f ca="1">PROPER(Music_Data[[#This Row],[Playlist_genre2]])</f>
        <v>Blues</v>
      </c>
      <c r="E130" s="17">
        <v>0.50700000000000001</v>
      </c>
      <c r="F130" t="s">
        <v>9906</v>
      </c>
      <c r="G130">
        <v>79</v>
      </c>
      <c r="H130" t="s">
        <v>9661</v>
      </c>
      <c r="I130" t="s">
        <v>9913</v>
      </c>
      <c r="J130" s="22">
        <v>36669</v>
      </c>
      <c r="K130">
        <v>0</v>
      </c>
      <c r="L130">
        <v>6</v>
      </c>
      <c r="M130" s="21">
        <f ca="1">LEFT(Music_Data[[#This Row],[Duration_minutes]],3)/60</f>
        <v>6.7333333333333334</v>
      </c>
      <c r="N130" s="17">
        <v>3.7100000000000001E-2</v>
      </c>
      <c r="O130" s="17" t="str">
        <f ca="1">PROPER(Music_Data[[#This Row],[Playlist_subgenre2]])</f>
        <v>Classic</v>
      </c>
    </row>
    <row r="131" spans="1:15">
      <c r="A131" s="17">
        <v>0.67800000000000005</v>
      </c>
      <c r="B131" s="21">
        <v>138</v>
      </c>
      <c r="C131" s="16">
        <v>0.71299999999999997</v>
      </c>
      <c r="D131" s="16" t="str">
        <f ca="1">PROPER(Music_Data[[#This Row],[Playlist_genre2]])</f>
        <v>Blues</v>
      </c>
      <c r="E131" s="17">
        <v>0.73399999999999999</v>
      </c>
      <c r="F131" t="s">
        <v>9828</v>
      </c>
      <c r="G131">
        <v>78</v>
      </c>
      <c r="H131" t="s">
        <v>9661</v>
      </c>
      <c r="I131" t="s">
        <v>9834</v>
      </c>
      <c r="J131" s="22">
        <v>36368</v>
      </c>
      <c r="K131">
        <v>0</v>
      </c>
      <c r="L131">
        <v>5</v>
      </c>
      <c r="M131" s="21">
        <f ca="1">LEFT(Music_Data[[#This Row],[Duration_minutes]],3)/60</f>
        <v>4.5166666666666666</v>
      </c>
      <c r="N131" s="17">
        <v>0.27300000000000002</v>
      </c>
      <c r="O131" s="17" t="str">
        <f ca="1">PROPER(Music_Data[[#This Row],[Playlist_subgenre2]])</f>
        <v>Classic</v>
      </c>
    </row>
    <row r="132" spans="1:15">
      <c r="A132" s="17">
        <v>0.66100000000000003</v>
      </c>
      <c r="B132" s="21">
        <v>130</v>
      </c>
      <c r="C132" s="16">
        <v>0.76200000000000001</v>
      </c>
      <c r="D132" s="16" t="str">
        <f ca="1">PROPER(Music_Data[[#This Row],[Playlist_genre2]])</f>
        <v>Blues</v>
      </c>
      <c r="E132" s="17">
        <v>0.76900000000000002</v>
      </c>
      <c r="F132" t="s">
        <v>9956</v>
      </c>
      <c r="G132">
        <v>78</v>
      </c>
      <c r="H132" t="s">
        <v>9661</v>
      </c>
      <c r="I132" t="s">
        <v>9959</v>
      </c>
      <c r="J132" s="22">
        <v>39286</v>
      </c>
      <c r="K132">
        <v>0</v>
      </c>
      <c r="L132">
        <v>1</v>
      </c>
      <c r="M132" s="21">
        <f ca="1">LEFT(Music_Data[[#This Row],[Duration_minutes]],3)/60</f>
        <v>3.75</v>
      </c>
      <c r="N132" s="17">
        <v>0.15</v>
      </c>
      <c r="O132" s="17" t="str">
        <f ca="1">PROPER(Music_Data[[#This Row],[Playlist_subgenre2]])</f>
        <v>Classic</v>
      </c>
    </row>
    <row r="133" spans="1:15">
      <c r="A133" s="17">
        <v>0.68</v>
      </c>
      <c r="B133" s="21">
        <v>132</v>
      </c>
      <c r="C133" s="16">
        <v>0.72699999999999998</v>
      </c>
      <c r="D133" s="16" t="str">
        <f ca="1">PROPER(Music_Data[[#This Row],[Playlist_genre2]])</f>
        <v>Blues</v>
      </c>
      <c r="E133" s="17">
        <v>0.72799999999999998</v>
      </c>
      <c r="F133" t="s">
        <v>9852</v>
      </c>
      <c r="G133">
        <v>77</v>
      </c>
      <c r="H133" t="s">
        <v>9661</v>
      </c>
      <c r="I133" t="s">
        <v>9858</v>
      </c>
      <c r="J133" s="22">
        <v>39814</v>
      </c>
      <c r="K133">
        <v>1</v>
      </c>
      <c r="L133">
        <v>2</v>
      </c>
      <c r="M133" s="21">
        <f ca="1">LEFT(Music_Data[[#This Row],[Duration_minutes]],3)/60</f>
        <v>3.5333333333333332</v>
      </c>
      <c r="N133" s="17">
        <v>1.01E-2</v>
      </c>
      <c r="O133" s="17" t="str">
        <f ca="1">PROPER(Music_Data[[#This Row],[Playlist_subgenre2]])</f>
        <v>Classic</v>
      </c>
    </row>
    <row r="134" spans="1:15">
      <c r="A134" s="17">
        <v>0.56499999999999995</v>
      </c>
      <c r="B134" s="21">
        <v>101</v>
      </c>
      <c r="C134" s="16">
        <v>0.78</v>
      </c>
      <c r="D134" s="16" t="str">
        <f ca="1">PROPER(Music_Data[[#This Row],[Playlist_genre2]])</f>
        <v>Blues</v>
      </c>
      <c r="E134" s="17">
        <v>0.36499999999999999</v>
      </c>
      <c r="F134" t="s">
        <v>1039</v>
      </c>
      <c r="G134">
        <v>77</v>
      </c>
      <c r="H134" t="s">
        <v>9661</v>
      </c>
      <c r="I134" t="s">
        <v>9945</v>
      </c>
      <c r="J134" s="22">
        <v>32832</v>
      </c>
      <c r="K134">
        <v>0</v>
      </c>
      <c r="L134">
        <v>3</v>
      </c>
      <c r="M134" s="21">
        <f ca="1">LEFT(Music_Data[[#This Row],[Duration_minutes]],3)/60</f>
        <v>5.3666666666666663</v>
      </c>
      <c r="N134" s="17">
        <v>0.73599999999999999</v>
      </c>
      <c r="O134" s="17" t="str">
        <f ca="1">PROPER(Music_Data[[#This Row],[Playlist_subgenre2]])</f>
        <v>Classic</v>
      </c>
    </row>
    <row r="135" spans="1:15">
      <c r="A135" s="17">
        <v>0.65200000000000002</v>
      </c>
      <c r="B135" s="21">
        <v>806</v>
      </c>
      <c r="C135" s="16">
        <v>0.52</v>
      </c>
      <c r="D135" s="16" t="str">
        <f ca="1">PROPER(Music_Data[[#This Row],[Playlist_genre2]])</f>
        <v>Blues</v>
      </c>
      <c r="E135" s="17">
        <v>0.72199999999999998</v>
      </c>
      <c r="F135" t="s">
        <v>9705</v>
      </c>
      <c r="G135">
        <v>77</v>
      </c>
      <c r="H135" t="s">
        <v>9661</v>
      </c>
      <c r="I135" t="s">
        <v>9711</v>
      </c>
      <c r="J135" s="22">
        <v>33013</v>
      </c>
      <c r="K135">
        <v>1</v>
      </c>
      <c r="L135">
        <v>5</v>
      </c>
      <c r="M135" s="21">
        <f ca="1">LEFT(Music_Data[[#This Row],[Duration_minutes]],3)/60</f>
        <v>4.3</v>
      </c>
      <c r="N135" s="17">
        <v>0.33900000000000002</v>
      </c>
      <c r="O135" s="17" t="str">
        <f ca="1">PROPER(Music_Data[[#This Row],[Playlist_subgenre2]])</f>
        <v>Classic</v>
      </c>
    </row>
    <row r="136" spans="1:15">
      <c r="A136" s="17">
        <v>0.30599999999999999</v>
      </c>
      <c r="B136" s="21">
        <v>118</v>
      </c>
      <c r="C136" s="16">
        <v>0.65</v>
      </c>
      <c r="D136" s="16" t="str">
        <f ca="1">PROPER(Music_Data[[#This Row],[Playlist_genre2]])</f>
        <v>Blues</v>
      </c>
      <c r="E136" s="17">
        <v>0.60499999999999998</v>
      </c>
      <c r="F136" t="s">
        <v>9948</v>
      </c>
      <c r="G136">
        <v>75</v>
      </c>
      <c r="H136" t="s">
        <v>9661</v>
      </c>
      <c r="I136" t="s">
        <v>9954</v>
      </c>
      <c r="J136" s="22">
        <v>22878</v>
      </c>
      <c r="K136">
        <v>1</v>
      </c>
      <c r="L136">
        <v>9</v>
      </c>
      <c r="M136" s="21">
        <f ca="1">LEFT(Music_Data[[#This Row],[Duration_minutes]],3)/60</f>
        <v>3</v>
      </c>
      <c r="N136" s="17">
        <v>0.56999999999999995</v>
      </c>
      <c r="O136" s="17" t="str">
        <f ca="1">PROPER(Music_Data[[#This Row],[Playlist_subgenre2]])</f>
        <v>Classic</v>
      </c>
    </row>
    <row r="137" spans="1:15">
      <c r="A137" s="17">
        <v>0.47899999999999998</v>
      </c>
      <c r="B137" s="21">
        <v>819</v>
      </c>
      <c r="C137" s="16">
        <v>0.67500000000000004</v>
      </c>
      <c r="D137" s="16" t="str">
        <f ca="1">PROPER(Music_Data[[#This Row],[Playlist_genre2]])</f>
        <v>Blues</v>
      </c>
      <c r="E137" s="17">
        <v>0.45400000000000001</v>
      </c>
      <c r="F137" t="s">
        <v>9819</v>
      </c>
      <c r="G137">
        <v>75</v>
      </c>
      <c r="H137" t="s">
        <v>9661</v>
      </c>
      <c r="I137" t="s">
        <v>9825</v>
      </c>
      <c r="J137" s="22">
        <v>38572</v>
      </c>
      <c r="K137">
        <v>0</v>
      </c>
      <c r="L137">
        <v>0</v>
      </c>
      <c r="M137" s="21">
        <f ca="1">LEFT(Music_Data[[#This Row],[Duration_minutes]],3)/60</f>
        <v>3.4833333333333334</v>
      </c>
      <c r="N137" s="17">
        <v>0.63300000000000001</v>
      </c>
      <c r="O137" s="17" t="str">
        <f ca="1">PROPER(Music_Data[[#This Row],[Playlist_subgenre2]])</f>
        <v>Classic</v>
      </c>
    </row>
    <row r="138" spans="1:15">
      <c r="A138" s="17">
        <v>0.65600000000000003</v>
      </c>
      <c r="B138" s="21">
        <v>104</v>
      </c>
      <c r="C138" s="16">
        <v>0.63800000000000001</v>
      </c>
      <c r="D138" s="16" t="str">
        <f ca="1">PROPER(Music_Data[[#This Row],[Playlist_genre2]])</f>
        <v>Blues</v>
      </c>
      <c r="E138" s="17">
        <v>0.22500000000000001</v>
      </c>
      <c r="F138" t="s">
        <v>7562</v>
      </c>
      <c r="G138">
        <v>75</v>
      </c>
      <c r="H138" t="s">
        <v>9661</v>
      </c>
      <c r="I138" t="s">
        <v>7568</v>
      </c>
      <c r="J138" s="22">
        <v>2007</v>
      </c>
      <c r="K138">
        <v>1</v>
      </c>
      <c r="L138">
        <v>5</v>
      </c>
      <c r="M138" s="21">
        <f ca="1">LEFT(Music_Data[[#This Row],[Duration_minutes]],3)/60</f>
        <v>4.3666666666666663</v>
      </c>
      <c r="N138" s="17">
        <v>0.188</v>
      </c>
      <c r="O138" s="17" t="str">
        <f ca="1">PROPER(Music_Data[[#This Row],[Playlist_subgenre2]])</f>
        <v>Classic</v>
      </c>
    </row>
    <row r="139" spans="1:15">
      <c r="A139" s="17">
        <v>0.58799999999999997</v>
      </c>
      <c r="B139" s="21">
        <v>945</v>
      </c>
      <c r="C139" s="16">
        <v>0.68600000000000005</v>
      </c>
      <c r="D139" s="16" t="str">
        <f ca="1">PROPER(Music_Data[[#This Row],[Playlist_genre2]])</f>
        <v>Blues</v>
      </c>
      <c r="E139" s="17">
        <v>0.61699999999999999</v>
      </c>
      <c r="F139" t="s">
        <v>4080</v>
      </c>
      <c r="G139">
        <v>75</v>
      </c>
      <c r="H139" t="s">
        <v>9661</v>
      </c>
      <c r="I139" t="s">
        <v>4086</v>
      </c>
      <c r="J139" s="22">
        <v>38061</v>
      </c>
      <c r="K139">
        <v>0</v>
      </c>
      <c r="L139">
        <v>7</v>
      </c>
      <c r="M139" s="21">
        <f ca="1">LEFT(Music_Data[[#This Row],[Duration_minutes]],3)/60</f>
        <v>4.1500000000000004</v>
      </c>
      <c r="N139" s="17">
        <v>0.17799999999999999</v>
      </c>
      <c r="O139" s="17" t="str">
        <f ca="1">PROPER(Music_Data[[#This Row],[Playlist_subgenre2]])</f>
        <v>Classic</v>
      </c>
    </row>
    <row r="140" spans="1:15">
      <c r="A140" s="17">
        <v>0.82499999999999996</v>
      </c>
      <c r="B140" s="21">
        <v>949</v>
      </c>
      <c r="C140" s="16">
        <v>0.56000000000000005</v>
      </c>
      <c r="D140" s="16" t="str">
        <f ca="1">PROPER(Music_Data[[#This Row],[Playlist_genre2]])</f>
        <v>Blues</v>
      </c>
      <c r="E140" s="17">
        <v>0.26800000000000002</v>
      </c>
      <c r="F140" t="s">
        <v>7570</v>
      </c>
      <c r="G140">
        <v>75</v>
      </c>
      <c r="H140" t="s">
        <v>9661</v>
      </c>
      <c r="I140" t="s">
        <v>7577</v>
      </c>
      <c r="J140" s="22">
        <v>37376</v>
      </c>
      <c r="K140">
        <v>1</v>
      </c>
      <c r="L140">
        <v>11</v>
      </c>
      <c r="M140" s="21">
        <f ca="1">LEFT(Music_Data[[#This Row],[Duration_minutes]],3)/60</f>
        <v>3.95</v>
      </c>
      <c r="N140" s="17">
        <v>0.32300000000000001</v>
      </c>
      <c r="O140" s="17" t="str">
        <f ca="1">PROPER(Music_Data[[#This Row],[Playlist_subgenre2]])</f>
        <v>Classic</v>
      </c>
    </row>
    <row r="141" spans="1:15">
      <c r="A141" s="17">
        <v>0.214</v>
      </c>
      <c r="B141" s="21">
        <v>675</v>
      </c>
      <c r="C141" s="16">
        <v>0.33200000000000002</v>
      </c>
      <c r="D141" s="16" t="str">
        <f ca="1">PROPER(Music_Data[[#This Row],[Playlist_genre2]])</f>
        <v>Blues</v>
      </c>
      <c r="E141" s="17">
        <v>0.11</v>
      </c>
      <c r="F141" t="s">
        <v>7981</v>
      </c>
      <c r="G141">
        <v>75</v>
      </c>
      <c r="H141" t="s">
        <v>9661</v>
      </c>
      <c r="I141" t="s">
        <v>9675</v>
      </c>
      <c r="J141" s="22">
        <v>33925</v>
      </c>
      <c r="K141">
        <v>1</v>
      </c>
      <c r="L141">
        <v>4</v>
      </c>
      <c r="M141" s="21">
        <f ca="1">LEFT(Music_Data[[#This Row],[Duration_minutes]],3)/60</f>
        <v>4.5166666666666666</v>
      </c>
      <c r="N141" s="17">
        <v>0.84499999999999997</v>
      </c>
      <c r="O141" s="17" t="str">
        <f ca="1">PROPER(Music_Data[[#This Row],[Playlist_subgenre2]])</f>
        <v>Classic</v>
      </c>
    </row>
    <row r="142" spans="1:15">
      <c r="A142" s="17">
        <v>0.46700000000000003</v>
      </c>
      <c r="B142" s="21">
        <v>119</v>
      </c>
      <c r="C142" s="16">
        <v>0.61499999999999999</v>
      </c>
      <c r="D142" s="16" t="str">
        <f ca="1">PROPER(Music_Data[[#This Row],[Playlist_genre2]])</f>
        <v>Blues</v>
      </c>
      <c r="E142" s="17">
        <v>0.17699999999999999</v>
      </c>
      <c r="F142" t="s">
        <v>13211</v>
      </c>
      <c r="G142">
        <v>74</v>
      </c>
      <c r="H142" t="s">
        <v>9661</v>
      </c>
      <c r="I142" t="s">
        <v>9798</v>
      </c>
      <c r="J142" s="22">
        <v>35135</v>
      </c>
      <c r="K142">
        <v>1</v>
      </c>
      <c r="L142">
        <v>1</v>
      </c>
      <c r="M142" s="21">
        <f ca="1">LEFT(Music_Data[[#This Row],[Duration_minutes]],3)/60</f>
        <v>4.55</v>
      </c>
      <c r="N142" s="17">
        <v>0.314</v>
      </c>
      <c r="O142" s="17" t="str">
        <f ca="1">PROPER(Music_Data[[#This Row],[Playlist_subgenre2]])</f>
        <v>Classic</v>
      </c>
    </row>
    <row r="143" spans="1:15">
      <c r="A143" s="17">
        <v>0.622</v>
      </c>
      <c r="B143" s="21">
        <v>742</v>
      </c>
      <c r="C143" s="16">
        <v>0.32800000000000001</v>
      </c>
      <c r="D143" s="16" t="str">
        <f ca="1">PROPER(Music_Data[[#This Row],[Playlist_genre2]])</f>
        <v>Blues</v>
      </c>
      <c r="E143" s="17">
        <v>0.40100000000000002</v>
      </c>
      <c r="F143" t="s">
        <v>9883</v>
      </c>
      <c r="G143">
        <v>74</v>
      </c>
      <c r="H143" t="s">
        <v>9661</v>
      </c>
      <c r="I143" t="s">
        <v>9889</v>
      </c>
      <c r="J143" s="22">
        <v>40784</v>
      </c>
      <c r="K143">
        <v>0</v>
      </c>
      <c r="L143">
        <v>5</v>
      </c>
      <c r="M143" s="21">
        <f ca="1">LEFT(Music_Data[[#This Row],[Duration_minutes]],3)/60</f>
        <v>3.8</v>
      </c>
      <c r="N143" s="17">
        <v>0.85799999999999998</v>
      </c>
      <c r="O143" s="17" t="str">
        <f ca="1">PROPER(Music_Data[[#This Row],[Playlist_subgenre2]])</f>
        <v>Classic</v>
      </c>
    </row>
    <row r="144" spans="1:15">
      <c r="A144" s="17">
        <v>0.47599999999999998</v>
      </c>
      <c r="B144" s="21">
        <v>139</v>
      </c>
      <c r="C144" s="16">
        <v>0.84</v>
      </c>
      <c r="D144" s="16" t="str">
        <f ca="1">PROPER(Music_Data[[#This Row],[Playlist_genre2]])</f>
        <v>Blues</v>
      </c>
      <c r="E144" s="17">
        <v>0.76700000000000002</v>
      </c>
      <c r="F144" t="s">
        <v>6394</v>
      </c>
      <c r="G144">
        <v>74</v>
      </c>
      <c r="H144" t="s">
        <v>9661</v>
      </c>
      <c r="I144" t="s">
        <v>9920</v>
      </c>
      <c r="J144" s="22">
        <v>2005</v>
      </c>
      <c r="K144">
        <v>1</v>
      </c>
      <c r="L144">
        <v>0</v>
      </c>
      <c r="M144" s="21">
        <f ca="1">LEFT(Music_Data[[#This Row],[Duration_minutes]],3)/60</f>
        <v>3.35</v>
      </c>
      <c r="N144" s="17">
        <v>2.64E-2</v>
      </c>
      <c r="O144" s="17" t="str">
        <f ca="1">PROPER(Music_Data[[#This Row],[Playlist_subgenre2]])</f>
        <v>Classic</v>
      </c>
    </row>
    <row r="145" spans="1:15">
      <c r="A145" s="17">
        <v>0.498</v>
      </c>
      <c r="B145" s="21">
        <v>116</v>
      </c>
      <c r="C145" s="16">
        <v>0.58099999999999996</v>
      </c>
      <c r="D145" s="16" t="str">
        <f ca="1">PROPER(Music_Data[[#This Row],[Playlist_genre2]])</f>
        <v>Blues</v>
      </c>
      <c r="E145" s="17">
        <v>0.111</v>
      </c>
      <c r="F145" t="s">
        <v>1039</v>
      </c>
      <c r="G145">
        <v>74</v>
      </c>
      <c r="H145" t="s">
        <v>9661</v>
      </c>
      <c r="I145" t="s">
        <v>9684</v>
      </c>
      <c r="J145" s="22">
        <v>42657</v>
      </c>
      <c r="K145">
        <v>1</v>
      </c>
      <c r="L145">
        <v>1</v>
      </c>
      <c r="M145" s="21">
        <f ca="1">LEFT(Music_Data[[#This Row],[Duration_minutes]],3)/60</f>
        <v>3.4333333333333331</v>
      </c>
      <c r="N145" s="17">
        <v>0.19800000000000001</v>
      </c>
      <c r="O145" s="17" t="str">
        <f ca="1">PROPER(Music_Data[[#This Row],[Playlist_subgenre2]])</f>
        <v>Classic</v>
      </c>
    </row>
    <row r="146" spans="1:15">
      <c r="A146" s="17">
        <v>0.60199999999999998</v>
      </c>
      <c r="B146" s="21">
        <v>943</v>
      </c>
      <c r="C146" s="16">
        <v>0.80500000000000005</v>
      </c>
      <c r="D146" s="16" t="str">
        <f ca="1">PROPER(Music_Data[[#This Row],[Playlist_genre2]])</f>
        <v>Blues</v>
      </c>
      <c r="E146" s="17">
        <v>0.74399999999999999</v>
      </c>
      <c r="F146" t="s">
        <v>9800</v>
      </c>
      <c r="G146">
        <v>73</v>
      </c>
      <c r="H146" t="s">
        <v>9661</v>
      </c>
      <c r="I146" t="s">
        <v>9806</v>
      </c>
      <c r="J146" s="22">
        <v>30225</v>
      </c>
      <c r="K146">
        <v>0</v>
      </c>
      <c r="L146">
        <v>0</v>
      </c>
      <c r="M146" s="21">
        <f ca="1">LEFT(Music_Data[[#This Row],[Duration_minutes]],3)/60</f>
        <v>3.9666666666666668</v>
      </c>
      <c r="N146" s="17">
        <v>0.11899999999999999</v>
      </c>
      <c r="O146" s="17" t="str">
        <f ca="1">PROPER(Music_Data[[#This Row],[Playlist_subgenre2]])</f>
        <v>Classic</v>
      </c>
    </row>
    <row r="147" spans="1:15">
      <c r="A147" s="17">
        <v>0.438</v>
      </c>
      <c r="B147" s="21">
        <v>879</v>
      </c>
      <c r="C147" s="16">
        <v>0.38400000000000001</v>
      </c>
      <c r="D147" s="16" t="str">
        <f ca="1">PROPER(Music_Data[[#This Row],[Playlist_genre2]])</f>
        <v>Blues</v>
      </c>
      <c r="E147" s="17">
        <v>0.28699999999999998</v>
      </c>
      <c r="F147" t="s">
        <v>13211</v>
      </c>
      <c r="G147">
        <v>72</v>
      </c>
      <c r="H147" t="s">
        <v>9661</v>
      </c>
      <c r="I147" t="s">
        <v>9792</v>
      </c>
      <c r="J147" s="22">
        <v>35135</v>
      </c>
      <c r="K147">
        <v>1</v>
      </c>
      <c r="L147">
        <v>0</v>
      </c>
      <c r="M147" s="21">
        <f ca="1">LEFT(Music_Data[[#This Row],[Duration_minutes]],3)/60</f>
        <v>7.6</v>
      </c>
      <c r="N147" s="17">
        <v>0.753</v>
      </c>
      <c r="O147" s="17" t="str">
        <f ca="1">PROPER(Music_Data[[#This Row],[Playlist_subgenre2]])</f>
        <v>Classic</v>
      </c>
    </row>
    <row r="148" spans="1:15">
      <c r="A148" s="17">
        <v>0.42199999999999999</v>
      </c>
      <c r="B148" s="21">
        <v>112</v>
      </c>
      <c r="C148" s="16">
        <v>0.75600000000000001</v>
      </c>
      <c r="D148" s="16" t="str">
        <f ca="1">PROPER(Music_Data[[#This Row],[Playlist_genre2]])</f>
        <v>Blues</v>
      </c>
      <c r="E148" s="17">
        <v>0.48699999999999999</v>
      </c>
      <c r="F148" t="s">
        <v>1360</v>
      </c>
      <c r="G148">
        <v>72</v>
      </c>
      <c r="H148" t="s">
        <v>9661</v>
      </c>
      <c r="I148" t="s">
        <v>9664</v>
      </c>
      <c r="J148" s="22">
        <v>32749</v>
      </c>
      <c r="K148">
        <v>0</v>
      </c>
      <c r="L148">
        <v>11</v>
      </c>
      <c r="M148" s="21">
        <f ca="1">LEFT(Music_Data[[#This Row],[Duration_minutes]],3)/60</f>
        <v>5.0666666666666664</v>
      </c>
      <c r="N148" s="17">
        <v>1.6500000000000001E-2</v>
      </c>
      <c r="O148" s="17" t="str">
        <f ca="1">PROPER(Music_Data[[#This Row],[Playlist_subgenre2]])</f>
        <v>Classic</v>
      </c>
    </row>
    <row r="149" spans="1:15">
      <c r="A149" s="17">
        <v>0.42199999999999999</v>
      </c>
      <c r="B149" s="21">
        <v>743</v>
      </c>
      <c r="C149" s="16">
        <v>0.69199999999999995</v>
      </c>
      <c r="D149" s="16" t="str">
        <f ca="1">PROPER(Music_Data[[#This Row],[Playlist_genre2]])</f>
        <v>Blues</v>
      </c>
      <c r="E149" s="17">
        <v>0.46800000000000003</v>
      </c>
      <c r="F149" t="s">
        <v>9891</v>
      </c>
      <c r="G149">
        <v>72</v>
      </c>
      <c r="H149" t="s">
        <v>9661</v>
      </c>
      <c r="I149" t="s">
        <v>9896</v>
      </c>
      <c r="J149" s="22">
        <v>32238</v>
      </c>
      <c r="K149">
        <v>1</v>
      </c>
      <c r="L149">
        <v>2</v>
      </c>
      <c r="M149" s="21">
        <f ca="1">LEFT(Music_Data[[#This Row],[Duration_minutes]],3)/60</f>
        <v>3.2166666666666668</v>
      </c>
      <c r="N149" s="17">
        <v>8.1100000000000005E-2</v>
      </c>
      <c r="O149" s="17" t="str">
        <f ca="1">PROPER(Music_Data[[#This Row],[Playlist_subgenre2]])</f>
        <v>Classic</v>
      </c>
    </row>
    <row r="150" spans="1:15">
      <c r="A150" s="17">
        <v>0.54900000000000004</v>
      </c>
      <c r="B150" s="21">
        <v>900</v>
      </c>
      <c r="C150" s="16">
        <v>0.64400000000000002</v>
      </c>
      <c r="D150" s="16" t="str">
        <f ca="1">PROPER(Music_Data[[#This Row],[Playlist_genre2]])</f>
        <v>Blues</v>
      </c>
      <c r="E150" s="17">
        <v>0.16700000000000001</v>
      </c>
      <c r="F150" t="s">
        <v>3815</v>
      </c>
      <c r="G150">
        <v>71</v>
      </c>
      <c r="H150" t="s">
        <v>9661</v>
      </c>
      <c r="I150" t="s">
        <v>3971</v>
      </c>
      <c r="J150" s="22">
        <v>39395</v>
      </c>
      <c r="K150">
        <v>0</v>
      </c>
      <c r="L150">
        <v>1</v>
      </c>
      <c r="M150" s="21">
        <f ca="1">LEFT(Music_Data[[#This Row],[Duration_minutes]],3)/60</f>
        <v>4.2166666666666668</v>
      </c>
      <c r="N150" s="17">
        <v>2.0899999999999998E-2</v>
      </c>
      <c r="O150" s="17" t="str">
        <f ca="1">PROPER(Music_Data[[#This Row],[Playlist_subgenre2]])</f>
        <v>Classic</v>
      </c>
    </row>
    <row r="151" spans="1:15">
      <c r="A151" s="17">
        <v>0.72</v>
      </c>
      <c r="B151" s="21">
        <v>799</v>
      </c>
      <c r="C151" s="16">
        <v>0.50800000000000001</v>
      </c>
      <c r="D151" s="16" t="str">
        <f ca="1">PROPER(Music_Data[[#This Row],[Playlist_genre2]])</f>
        <v>Blues</v>
      </c>
      <c r="E151" s="17">
        <v>0.47199999999999998</v>
      </c>
      <c r="F151" t="s">
        <v>13209</v>
      </c>
      <c r="G151">
        <v>71</v>
      </c>
      <c r="H151" t="s">
        <v>9661</v>
      </c>
      <c r="I151" t="s">
        <v>7746</v>
      </c>
      <c r="J151" s="22">
        <v>39769</v>
      </c>
      <c r="K151">
        <v>0</v>
      </c>
      <c r="L151">
        <v>11</v>
      </c>
      <c r="M151" s="21">
        <f ca="1">LEFT(Music_Data[[#This Row],[Duration_minutes]],3)/60</f>
        <v>4.3499999999999996</v>
      </c>
      <c r="N151" s="17">
        <v>0.27200000000000002</v>
      </c>
      <c r="O151" s="17" t="str">
        <f ca="1">PROPER(Music_Data[[#This Row],[Playlist_subgenre2]])</f>
        <v>Classic</v>
      </c>
    </row>
    <row r="152" spans="1:15">
      <c r="A152" s="17">
        <v>0.61199999999999999</v>
      </c>
      <c r="B152" s="21">
        <v>867</v>
      </c>
      <c r="C152" s="16">
        <v>0.53600000000000003</v>
      </c>
      <c r="D152" s="16" t="str">
        <f ca="1">PROPER(Music_Data[[#This Row],[Playlist_genre2]])</f>
        <v>Blues</v>
      </c>
      <c r="E152" s="17">
        <v>0.56999999999999995</v>
      </c>
      <c r="F152" t="s">
        <v>3846</v>
      </c>
      <c r="G152">
        <v>71</v>
      </c>
      <c r="H152" t="s">
        <v>9661</v>
      </c>
      <c r="I152" t="s">
        <v>3946</v>
      </c>
      <c r="J152" s="22">
        <v>2005</v>
      </c>
      <c r="K152">
        <v>1</v>
      </c>
      <c r="L152">
        <v>4</v>
      </c>
      <c r="M152" s="21">
        <f ca="1">LEFT(Music_Data[[#This Row],[Duration_minutes]],3)/60</f>
        <v>3.8166666666666669</v>
      </c>
      <c r="N152" s="17">
        <v>0.11899999999999999</v>
      </c>
      <c r="O152" s="17" t="str">
        <f ca="1">PROPER(Music_Data[[#This Row],[Playlist_subgenre2]])</f>
        <v>Classic</v>
      </c>
    </row>
    <row r="153" spans="1:15">
      <c r="A153" s="17">
        <v>0.51900000000000002</v>
      </c>
      <c r="B153" s="21">
        <v>140</v>
      </c>
      <c r="C153" s="16">
        <v>0.54600000000000004</v>
      </c>
      <c r="D153" s="16" t="str">
        <f ca="1">PROPER(Music_Data[[#This Row],[Playlist_genre2]])</f>
        <v>Blues</v>
      </c>
      <c r="E153" s="17">
        <v>0.247</v>
      </c>
      <c r="F153" t="s">
        <v>13211</v>
      </c>
      <c r="G153">
        <v>71</v>
      </c>
      <c r="H153" t="s">
        <v>9661</v>
      </c>
      <c r="I153" t="s">
        <v>9702</v>
      </c>
      <c r="J153" s="22">
        <v>34282</v>
      </c>
      <c r="K153">
        <v>1</v>
      </c>
      <c r="L153">
        <v>8</v>
      </c>
      <c r="M153" s="21">
        <f ca="1">LEFT(Music_Data[[#This Row],[Duration_minutes]],3)/60</f>
        <v>5.7</v>
      </c>
      <c r="N153" s="17">
        <v>0.36</v>
      </c>
      <c r="O153" s="17" t="str">
        <f ca="1">PROPER(Music_Data[[#This Row],[Playlist_subgenre2]])</f>
        <v>Classic</v>
      </c>
    </row>
    <row r="154" spans="1:15">
      <c r="A154" s="17">
        <v>0.249</v>
      </c>
      <c r="B154" s="21">
        <v>828</v>
      </c>
      <c r="C154" s="16">
        <v>0.41799999999999998</v>
      </c>
      <c r="D154" s="16" t="str">
        <f ca="1">PROPER(Music_Data[[#This Row],[Playlist_genre2]])</f>
        <v>Blues</v>
      </c>
      <c r="E154" s="17">
        <v>0.21299999999999999</v>
      </c>
      <c r="F154" t="s">
        <v>9746</v>
      </c>
      <c r="G154">
        <v>71</v>
      </c>
      <c r="H154" t="s">
        <v>9661</v>
      </c>
      <c r="I154" t="s">
        <v>9753</v>
      </c>
      <c r="J154" s="22">
        <v>36841</v>
      </c>
      <c r="K154">
        <v>1</v>
      </c>
      <c r="L154">
        <v>3</v>
      </c>
      <c r="M154" s="21">
        <f ca="1">LEFT(Music_Data[[#This Row],[Duration_minutes]],3)/60</f>
        <v>3.6333333333333333</v>
      </c>
      <c r="N154" s="17">
        <v>0.84099999999999997</v>
      </c>
      <c r="O154" s="17" t="str">
        <f ca="1">PROPER(Music_Data[[#This Row],[Playlist_subgenre2]])</f>
        <v>Classic</v>
      </c>
    </row>
    <row r="155" spans="1:15">
      <c r="A155" s="17">
        <v>0.61399999999999999</v>
      </c>
      <c r="B155" s="21">
        <v>136</v>
      </c>
      <c r="C155" s="16">
        <v>0.55300000000000005</v>
      </c>
      <c r="D155" s="16" t="str">
        <f ca="1">PROPER(Music_Data[[#This Row],[Playlist_genre2]])</f>
        <v>Blues</v>
      </c>
      <c r="E155" s="17">
        <v>0.34499999999999997</v>
      </c>
      <c r="F155" t="s">
        <v>9922</v>
      </c>
      <c r="G155">
        <v>71</v>
      </c>
      <c r="H155" t="s">
        <v>9661</v>
      </c>
      <c r="I155" t="s">
        <v>9928</v>
      </c>
      <c r="J155" s="22">
        <v>31062</v>
      </c>
      <c r="K155">
        <v>1</v>
      </c>
      <c r="L155">
        <v>1</v>
      </c>
      <c r="M155" s="21">
        <f ca="1">LEFT(Music_Data[[#This Row],[Duration_minutes]],3)/60</f>
        <v>4.0333333333333332</v>
      </c>
      <c r="N155" s="17">
        <v>0.76400000000000001</v>
      </c>
      <c r="O155" s="17" t="str">
        <f ca="1">PROPER(Music_Data[[#This Row],[Playlist_subgenre2]])</f>
        <v>Classic</v>
      </c>
    </row>
    <row r="156" spans="1:15">
      <c r="A156" s="17">
        <v>0.53300000000000003</v>
      </c>
      <c r="B156" s="21">
        <v>131</v>
      </c>
      <c r="C156" s="16">
        <v>0.58399999999999996</v>
      </c>
      <c r="D156" s="16" t="str">
        <f ca="1">PROPER(Music_Data[[#This Row],[Playlist_genre2]])</f>
        <v>Blues</v>
      </c>
      <c r="E156" s="17">
        <v>0.224</v>
      </c>
      <c r="F156" t="s">
        <v>9775</v>
      </c>
      <c r="G156">
        <v>71</v>
      </c>
      <c r="H156" t="s">
        <v>9661</v>
      </c>
      <c r="I156" t="s">
        <v>9780</v>
      </c>
      <c r="J156" s="22">
        <v>34485</v>
      </c>
      <c r="K156">
        <v>0</v>
      </c>
      <c r="L156">
        <v>10</v>
      </c>
      <c r="M156" s="21">
        <f ca="1">LEFT(Music_Data[[#This Row],[Duration_minutes]],3)/60</f>
        <v>4.8</v>
      </c>
      <c r="N156" s="17">
        <v>0.68400000000000005</v>
      </c>
      <c r="O156" s="17" t="str">
        <f ca="1">PROPER(Music_Data[[#This Row],[Playlist_subgenre2]])</f>
        <v>Classic</v>
      </c>
    </row>
    <row r="157" spans="1:15">
      <c r="A157" s="17">
        <v>0.621</v>
      </c>
      <c r="B157" s="21">
        <v>140</v>
      </c>
      <c r="C157" s="16">
        <v>0.58299999999999996</v>
      </c>
      <c r="D157" s="16" t="str">
        <f ca="1">PROPER(Music_Data[[#This Row],[Playlist_genre2]])</f>
        <v>Blues</v>
      </c>
      <c r="E157" s="17">
        <v>0.39900000000000002</v>
      </c>
      <c r="F157" t="s">
        <v>13210</v>
      </c>
      <c r="G157">
        <v>70</v>
      </c>
      <c r="H157" t="s">
        <v>9661</v>
      </c>
      <c r="I157" t="s">
        <v>9849</v>
      </c>
      <c r="J157" s="22">
        <v>41967</v>
      </c>
      <c r="K157">
        <v>0</v>
      </c>
      <c r="L157">
        <v>5</v>
      </c>
      <c r="M157" s="21">
        <f ca="1">LEFT(Music_Data[[#This Row],[Duration_minutes]],3)/60</f>
        <v>5.3833333333333337</v>
      </c>
      <c r="N157" s="17">
        <v>9.7199999999999995E-3</v>
      </c>
      <c r="O157" s="17" t="str">
        <f ca="1">PROPER(Music_Data[[#This Row],[Playlist_subgenre2]])</f>
        <v>Classic</v>
      </c>
    </row>
    <row r="158" spans="1:15">
      <c r="A158" s="17">
        <v>0.42799999999999999</v>
      </c>
      <c r="B158" s="21">
        <v>149</v>
      </c>
      <c r="C158" s="16">
        <v>0.64100000000000001</v>
      </c>
      <c r="D158" s="16" t="str">
        <f ca="1">PROPER(Music_Data[[#This Row],[Playlist_genre2]])</f>
        <v>Blues</v>
      </c>
      <c r="E158" s="17">
        <v>0.53</v>
      </c>
      <c r="F158" t="s">
        <v>9687</v>
      </c>
      <c r="G158">
        <v>70</v>
      </c>
      <c r="H158" t="s">
        <v>9661</v>
      </c>
      <c r="I158" t="s">
        <v>9694</v>
      </c>
      <c r="J158" s="22">
        <v>33358</v>
      </c>
      <c r="K158">
        <v>0</v>
      </c>
      <c r="L158">
        <v>5</v>
      </c>
      <c r="M158" s="21">
        <f ca="1">LEFT(Music_Data[[#This Row],[Duration_minutes]],3)/60</f>
        <v>5.85</v>
      </c>
      <c r="N158" s="17">
        <v>6.6600000000000006E-2</v>
      </c>
      <c r="O158" s="17" t="str">
        <f ca="1">PROPER(Music_Data[[#This Row],[Playlist_subgenre2]])</f>
        <v>Classic</v>
      </c>
    </row>
    <row r="159" spans="1:15">
      <c r="A159" s="17">
        <v>0.65</v>
      </c>
      <c r="B159" s="21">
        <v>129</v>
      </c>
      <c r="C159" s="16">
        <v>0.72699999999999998</v>
      </c>
      <c r="D159" s="16" t="str">
        <f ca="1">PROPER(Music_Data[[#This Row],[Playlist_genre2]])</f>
        <v>Blues</v>
      </c>
      <c r="E159" s="17">
        <v>0.66800000000000004</v>
      </c>
      <c r="F159" t="s">
        <v>3921</v>
      </c>
      <c r="G159">
        <v>70</v>
      </c>
      <c r="H159" t="s">
        <v>9661</v>
      </c>
      <c r="I159" t="s">
        <v>9786</v>
      </c>
      <c r="J159" s="22">
        <v>39448</v>
      </c>
      <c r="K159">
        <v>1</v>
      </c>
      <c r="L159">
        <v>0</v>
      </c>
      <c r="M159" s="21">
        <f ca="1">LEFT(Music_Data[[#This Row],[Duration_minutes]],3)/60</f>
        <v>4.2333333333333334</v>
      </c>
      <c r="N159" s="17">
        <v>0.66200000000000003</v>
      </c>
      <c r="O159" s="17" t="str">
        <f ca="1">PROPER(Music_Data[[#This Row],[Playlist_subgenre2]])</f>
        <v>Classic</v>
      </c>
    </row>
    <row r="160" spans="1:15">
      <c r="A160" s="17">
        <v>0.38100000000000001</v>
      </c>
      <c r="B160" s="21">
        <v>121</v>
      </c>
      <c r="C160" s="16">
        <v>0.47599999999999998</v>
      </c>
      <c r="D160" s="16" t="str">
        <f ca="1">PROPER(Music_Data[[#This Row],[Playlist_genre2]])</f>
        <v>Blues</v>
      </c>
      <c r="E160" s="17">
        <v>0.33</v>
      </c>
      <c r="F160" t="s">
        <v>9731</v>
      </c>
      <c r="G160">
        <v>70</v>
      </c>
      <c r="H160" t="s">
        <v>9661</v>
      </c>
      <c r="I160" t="s">
        <v>9737</v>
      </c>
      <c r="J160" s="22">
        <v>26665</v>
      </c>
      <c r="K160">
        <v>0</v>
      </c>
      <c r="L160">
        <v>5</v>
      </c>
      <c r="M160" s="21">
        <f ca="1">LEFT(Music_Data[[#This Row],[Duration_minutes]],3)/60</f>
        <v>4.7666666666666666</v>
      </c>
      <c r="N160" s="17">
        <v>0.72699999999999998</v>
      </c>
      <c r="O160" s="17" t="str">
        <f ca="1">PROPER(Music_Data[[#This Row],[Playlist_subgenre2]])</f>
        <v>Classic</v>
      </c>
    </row>
    <row r="161" spans="1:15">
      <c r="A161" s="17">
        <v>0.64</v>
      </c>
      <c r="B161" s="21">
        <v>101</v>
      </c>
      <c r="C161" s="16">
        <v>0.69099999999999995</v>
      </c>
      <c r="D161" s="16" t="str">
        <f ca="1">PROPER(Music_Data[[#This Row],[Playlist_genre2]])</f>
        <v>Blues</v>
      </c>
      <c r="E161" s="17">
        <v>0.45200000000000001</v>
      </c>
      <c r="F161" t="s">
        <v>13211</v>
      </c>
      <c r="G161">
        <v>69</v>
      </c>
      <c r="H161" t="s">
        <v>9661</v>
      </c>
      <c r="I161" t="s">
        <v>9770</v>
      </c>
      <c r="J161" s="22">
        <v>37337</v>
      </c>
      <c r="K161">
        <v>1</v>
      </c>
      <c r="L161">
        <v>8</v>
      </c>
      <c r="M161" s="21">
        <f ca="1">LEFT(Music_Data[[#This Row],[Duration_minutes]],3)/60</f>
        <v>3.5</v>
      </c>
      <c r="N161" s="17">
        <v>2.47E-2</v>
      </c>
      <c r="O161" s="17" t="str">
        <f ca="1">PROPER(Music_Data[[#This Row],[Playlist_subgenre2]])</f>
        <v>Classic</v>
      </c>
    </row>
    <row r="162" spans="1:15">
      <c r="A162" s="17">
        <v>0.59599999999999997</v>
      </c>
      <c r="B162" s="21">
        <v>931</v>
      </c>
      <c r="C162" s="16">
        <v>0.56899999999999995</v>
      </c>
      <c r="D162" s="16" t="str">
        <f ca="1">PROPER(Music_Data[[#This Row],[Playlist_genre2]])</f>
        <v>Blues</v>
      </c>
      <c r="E162" s="17">
        <v>0.754</v>
      </c>
      <c r="F162" t="s">
        <v>9930</v>
      </c>
      <c r="G162">
        <v>69</v>
      </c>
      <c r="H162" t="s">
        <v>9661</v>
      </c>
      <c r="I162" t="s">
        <v>9935</v>
      </c>
      <c r="J162" s="22">
        <v>39060</v>
      </c>
      <c r="K162">
        <v>1</v>
      </c>
      <c r="L162">
        <v>8</v>
      </c>
      <c r="M162" s="21">
        <f ca="1">LEFT(Music_Data[[#This Row],[Duration_minutes]],3)/60</f>
        <v>3.6166666666666667</v>
      </c>
      <c r="N162" s="17">
        <v>0.45200000000000001</v>
      </c>
      <c r="O162" s="17" t="str">
        <f ca="1">PROPER(Music_Data[[#This Row],[Playlist_subgenre2]])</f>
        <v>Classic</v>
      </c>
    </row>
    <row r="163" spans="1:15">
      <c r="A163" s="17">
        <v>0.317</v>
      </c>
      <c r="B163" s="21">
        <v>131</v>
      </c>
      <c r="C163" s="16">
        <v>0.50900000000000001</v>
      </c>
      <c r="D163" s="16" t="str">
        <f ca="1">PROPER(Music_Data[[#This Row],[Playlist_genre2]])</f>
        <v>Blues</v>
      </c>
      <c r="E163" s="17">
        <v>0.247</v>
      </c>
      <c r="F163" t="s">
        <v>9721</v>
      </c>
      <c r="G163">
        <v>69</v>
      </c>
      <c r="H163" t="s">
        <v>9661</v>
      </c>
      <c r="I163" t="s">
        <v>9727</v>
      </c>
      <c r="J163" s="22">
        <v>30317</v>
      </c>
      <c r="K163">
        <v>1</v>
      </c>
      <c r="L163">
        <v>5</v>
      </c>
      <c r="M163" s="21">
        <f ca="1">LEFT(Music_Data[[#This Row],[Duration_minutes]],3)/60</f>
        <v>3.2</v>
      </c>
      <c r="N163" s="17">
        <v>0.621</v>
      </c>
      <c r="O163" s="17" t="str">
        <f ca="1">PROPER(Music_Data[[#This Row],[Playlist_subgenre2]])</f>
        <v>Classic</v>
      </c>
    </row>
    <row r="164" spans="1:15">
      <c r="A164" s="17">
        <v>0.74</v>
      </c>
      <c r="B164" s="21">
        <v>118</v>
      </c>
      <c r="C164" s="16">
        <v>0.59299999999999997</v>
      </c>
      <c r="D164" s="16" t="str">
        <f ca="1">PROPER(Music_Data[[#This Row],[Playlist_genre2]])</f>
        <v>Blues</v>
      </c>
      <c r="E164" s="17">
        <v>0.501</v>
      </c>
      <c r="F164" t="s">
        <v>5592</v>
      </c>
      <c r="G164">
        <v>69</v>
      </c>
      <c r="H164" t="s">
        <v>9661</v>
      </c>
      <c r="I164" t="s">
        <v>9762</v>
      </c>
      <c r="J164" s="22">
        <v>39406</v>
      </c>
      <c r="K164">
        <v>1</v>
      </c>
      <c r="L164">
        <v>8</v>
      </c>
      <c r="M164" s="21">
        <f ca="1">LEFT(Music_Data[[#This Row],[Duration_minutes]],3)/60</f>
        <v>3.4666666666666668</v>
      </c>
      <c r="N164" s="17">
        <v>0.36399999999999999</v>
      </c>
      <c r="O164" s="17" t="str">
        <f ca="1">PROPER(Music_Data[[#This Row],[Playlist_subgenre2]])</f>
        <v>Classic</v>
      </c>
    </row>
    <row r="165" spans="1:15">
      <c r="A165" s="17">
        <v>0.73</v>
      </c>
      <c r="B165" s="21">
        <v>938</v>
      </c>
      <c r="C165" s="16">
        <v>0.63700000000000001</v>
      </c>
      <c r="D165" s="16" t="str">
        <f ca="1">PROPER(Music_Data[[#This Row],[Playlist_genre2]])</f>
        <v>Blues</v>
      </c>
      <c r="E165" s="17">
        <v>0.73099999999999998</v>
      </c>
      <c r="F165" t="s">
        <v>9870</v>
      </c>
      <c r="G165">
        <v>69</v>
      </c>
      <c r="H165" t="s">
        <v>9661</v>
      </c>
      <c r="I165" t="s">
        <v>9875</v>
      </c>
      <c r="J165" s="22">
        <v>39601</v>
      </c>
      <c r="K165">
        <v>0</v>
      </c>
      <c r="L165">
        <v>5</v>
      </c>
      <c r="M165" s="21">
        <f ca="1">LEFT(Music_Data[[#This Row],[Duration_minutes]],3)/60</f>
        <v>3.6333333333333333</v>
      </c>
      <c r="N165" s="17">
        <v>0.32200000000000001</v>
      </c>
      <c r="O165" s="17" t="str">
        <f ca="1">PROPER(Music_Data[[#This Row],[Playlist_subgenre2]])</f>
        <v>Classic</v>
      </c>
    </row>
    <row r="166" spans="1:15">
      <c r="A166" s="17">
        <v>0.47899999999999998</v>
      </c>
      <c r="B166" s="21">
        <v>184</v>
      </c>
      <c r="C166" s="16">
        <v>0.65600000000000003</v>
      </c>
      <c r="D166" s="16" t="str">
        <f ca="1">PROPER(Music_Data[[#This Row],[Playlist_genre2]])</f>
        <v>Blues</v>
      </c>
      <c r="E166" s="17">
        <v>0.70799999999999996</v>
      </c>
      <c r="F166" t="s">
        <v>9898</v>
      </c>
      <c r="G166">
        <v>69</v>
      </c>
      <c r="H166" t="s">
        <v>9661</v>
      </c>
      <c r="I166" t="s">
        <v>9903</v>
      </c>
      <c r="J166" s="22">
        <v>1998</v>
      </c>
      <c r="K166">
        <v>0</v>
      </c>
      <c r="L166">
        <v>7</v>
      </c>
      <c r="M166" s="21">
        <f ca="1">LEFT(Music_Data[[#This Row],[Duration_minutes]],3)/60</f>
        <v>4.3499999999999996</v>
      </c>
      <c r="N166" s="17">
        <v>6.6500000000000004E-2</v>
      </c>
      <c r="O166" s="17" t="str">
        <f ca="1">PROPER(Music_Data[[#This Row],[Playlist_subgenre2]])</f>
        <v>Classic</v>
      </c>
    </row>
    <row r="167" spans="1:15">
      <c r="A167" s="17">
        <v>0.629</v>
      </c>
      <c r="B167" s="21">
        <v>939</v>
      </c>
      <c r="C167" s="16">
        <v>0.65700000000000003</v>
      </c>
      <c r="D167" s="16" t="str">
        <f ca="1">PROPER(Music_Data[[#This Row],[Playlist_genre2]])</f>
        <v>Blues</v>
      </c>
      <c r="E167" s="17">
        <v>0.72599999999999998</v>
      </c>
      <c r="F167" t="s">
        <v>3975</v>
      </c>
      <c r="G167">
        <v>69</v>
      </c>
      <c r="H167" t="s">
        <v>9661</v>
      </c>
      <c r="I167" t="s">
        <v>4031</v>
      </c>
      <c r="J167" s="22">
        <v>37110</v>
      </c>
      <c r="K167">
        <v>1</v>
      </c>
      <c r="L167">
        <v>6</v>
      </c>
      <c r="M167" s="21">
        <f ca="1">LEFT(Music_Data[[#This Row],[Duration_minutes]],3)/60</f>
        <v>4.4333333333333336</v>
      </c>
      <c r="N167" s="17">
        <v>0.19400000000000001</v>
      </c>
      <c r="O167" s="17" t="str">
        <f ca="1">PROPER(Music_Data[[#This Row],[Playlist_subgenre2]])</f>
        <v>Classic</v>
      </c>
    </row>
    <row r="168" spans="1:15">
      <c r="A168" s="17">
        <v>0.93200000000000005</v>
      </c>
      <c r="B168" s="21">
        <v>129</v>
      </c>
      <c r="C168" s="16">
        <v>0.52200000000000002</v>
      </c>
      <c r="D168" s="16" t="str">
        <f ca="1">PROPER(Music_Data[[#This Row],[Playlist_genre2]])</f>
        <v>Blues</v>
      </c>
      <c r="E168" s="17">
        <v>0.33</v>
      </c>
      <c r="F168" t="s">
        <v>9877</v>
      </c>
      <c r="G168">
        <v>68</v>
      </c>
      <c r="H168" t="s">
        <v>9661</v>
      </c>
      <c r="I168" t="s">
        <v>9882</v>
      </c>
      <c r="J168" s="22">
        <v>40347</v>
      </c>
      <c r="K168">
        <v>1</v>
      </c>
      <c r="L168">
        <v>11</v>
      </c>
      <c r="M168" s="21">
        <f ca="1">LEFT(Music_Data[[#This Row],[Duration_minutes]],3)/60</f>
        <v>4.9833333333333334</v>
      </c>
      <c r="N168" s="17">
        <v>0.11899999999999999</v>
      </c>
      <c r="O168" s="17" t="str">
        <f ca="1">PROPER(Music_Data[[#This Row],[Playlist_subgenre2]])</f>
        <v>Classic</v>
      </c>
    </row>
    <row r="169" spans="1:15">
      <c r="A169" s="17">
        <v>0.51200000000000001</v>
      </c>
      <c r="B169" s="21">
        <v>128</v>
      </c>
      <c r="C169" s="16">
        <v>0.63400000000000001</v>
      </c>
      <c r="D169" s="16" t="str">
        <f ca="1">PROPER(Music_Data[[#This Row],[Playlist_genre2]])</f>
        <v>Blues</v>
      </c>
      <c r="E169" s="17">
        <v>0.193</v>
      </c>
      <c r="F169" t="s">
        <v>9809</v>
      </c>
      <c r="G169">
        <v>68</v>
      </c>
      <c r="H169" t="s">
        <v>9661</v>
      </c>
      <c r="I169" t="s">
        <v>9815</v>
      </c>
      <c r="J169" s="22">
        <v>35431</v>
      </c>
      <c r="K169">
        <v>1</v>
      </c>
      <c r="L169">
        <v>1</v>
      </c>
      <c r="M169" s="21">
        <f ca="1">LEFT(Music_Data[[#This Row],[Duration_minutes]],3)/60</f>
        <v>5.5166666666666666</v>
      </c>
      <c r="N169" s="17">
        <v>0.114</v>
      </c>
      <c r="O169" s="17" t="str">
        <f ca="1">PROPER(Music_Data[[#This Row],[Playlist_subgenre2]])</f>
        <v>Classic</v>
      </c>
    </row>
    <row r="170" spans="1:15">
      <c r="A170" s="17">
        <v>0.40200000000000002</v>
      </c>
      <c r="B170" s="21">
        <v>119</v>
      </c>
      <c r="C170" s="16">
        <v>0.65100000000000002</v>
      </c>
      <c r="D170" s="16" t="str">
        <f ca="1">PROPER(Music_Data[[#This Row],[Playlist_genre2]])</f>
        <v>Blues</v>
      </c>
      <c r="E170" s="17">
        <v>0.25800000000000001</v>
      </c>
      <c r="F170" t="s">
        <v>8256</v>
      </c>
      <c r="G170">
        <v>68</v>
      </c>
      <c r="H170" t="s">
        <v>9661</v>
      </c>
      <c r="I170" t="s">
        <v>9719</v>
      </c>
      <c r="J170" s="22">
        <v>34866</v>
      </c>
      <c r="K170">
        <v>1</v>
      </c>
      <c r="L170">
        <v>11</v>
      </c>
      <c r="M170" s="21">
        <f ca="1">LEFT(Music_Data[[#This Row],[Duration_minutes]],3)/60</f>
        <v>5.75</v>
      </c>
      <c r="N170" s="17">
        <v>0.63900000000000001</v>
      </c>
      <c r="O170" s="17" t="str">
        <f ca="1">PROPER(Music_Data[[#This Row],[Playlist_subgenre2]])</f>
        <v>Classic</v>
      </c>
    </row>
    <row r="171" spans="1:15">
      <c r="A171" s="17">
        <v>0.46700000000000003</v>
      </c>
      <c r="B171" s="21">
        <v>138</v>
      </c>
      <c r="C171" s="16">
        <v>0.84499999999999997</v>
      </c>
      <c r="D171" s="16" t="str">
        <f ca="1">PROPER(Music_Data[[#This Row],[Playlist_genre2]])</f>
        <v>Blues</v>
      </c>
      <c r="E171" s="17">
        <v>0.70199999999999996</v>
      </c>
      <c r="F171" t="s">
        <v>3975</v>
      </c>
      <c r="G171">
        <v>68</v>
      </c>
      <c r="H171" t="s">
        <v>9661</v>
      </c>
      <c r="I171" t="s">
        <v>4199</v>
      </c>
      <c r="J171" s="22">
        <v>38069</v>
      </c>
      <c r="K171">
        <v>1</v>
      </c>
      <c r="L171">
        <v>1</v>
      </c>
      <c r="M171" s="21">
        <f ca="1">LEFT(Music_Data[[#This Row],[Duration_minutes]],3)/60</f>
        <v>3.5166666666666666</v>
      </c>
      <c r="N171" s="17">
        <v>5.8599999999999999E-2</v>
      </c>
      <c r="O171" s="17" t="str">
        <f ca="1">PROPER(Music_Data[[#This Row],[Playlist_subgenre2]])</f>
        <v>Classic</v>
      </c>
    </row>
    <row r="172" spans="1:15">
      <c r="A172" s="17">
        <v>0.26400000000000001</v>
      </c>
      <c r="B172" s="21">
        <v>993</v>
      </c>
      <c r="C172" s="16">
        <v>0.63600000000000001</v>
      </c>
      <c r="D172" s="16" t="str">
        <f ca="1">PROPER(Music_Data[[#This Row],[Playlist_genre2]])</f>
        <v>Blues</v>
      </c>
      <c r="E172" s="17">
        <v>0.26400000000000001</v>
      </c>
      <c r="F172" t="s">
        <v>7981</v>
      </c>
      <c r="G172">
        <v>68</v>
      </c>
      <c r="H172" t="s">
        <v>9661</v>
      </c>
      <c r="I172" t="s">
        <v>9743</v>
      </c>
      <c r="J172" s="22">
        <v>31092</v>
      </c>
      <c r="K172">
        <v>0</v>
      </c>
      <c r="L172">
        <v>6</v>
      </c>
      <c r="M172" s="21">
        <f ca="1">LEFT(Music_Data[[#This Row],[Duration_minutes]],3)/60</f>
        <v>3.9666666666666668</v>
      </c>
      <c r="N172" s="17">
        <v>0.59299999999999997</v>
      </c>
      <c r="O172" s="17" t="str">
        <f ca="1">PROPER(Music_Data[[#This Row],[Playlist_subgenre2]])</f>
        <v>Classic</v>
      </c>
    </row>
    <row r="173" spans="1:15">
      <c r="A173" s="17">
        <v>0.66900000000000004</v>
      </c>
      <c r="B173" s="21">
        <v>130</v>
      </c>
      <c r="C173" s="16">
        <v>0.94899999999999995</v>
      </c>
      <c r="D173" s="16" t="str">
        <f ca="1">PROPER(Music_Data[[#This Row],[Playlist_genre2]])</f>
        <v>Brazilian</v>
      </c>
      <c r="E173" s="17">
        <v>0.84299999999999997</v>
      </c>
      <c r="F173" t="s">
        <v>11371</v>
      </c>
      <c r="G173">
        <v>78</v>
      </c>
      <c r="H173" t="s">
        <v>11323</v>
      </c>
      <c r="I173" t="s">
        <v>11374</v>
      </c>
      <c r="J173" s="22">
        <v>45379</v>
      </c>
      <c r="K173">
        <v>0</v>
      </c>
      <c r="L173">
        <v>2</v>
      </c>
      <c r="M173" s="21">
        <f ca="1">LEFT(Music_Data[[#This Row],[Duration_minutes]],3)/60</f>
        <v>2.2000000000000002</v>
      </c>
      <c r="N173" s="17">
        <v>0.36</v>
      </c>
      <c r="O173" s="17" t="str">
        <f ca="1">PROPER(Music_Data[[#This Row],[Playlist_subgenre2]])</f>
        <v>Funk</v>
      </c>
    </row>
    <row r="174" spans="1:15">
      <c r="A174" s="17">
        <v>0.68700000000000006</v>
      </c>
      <c r="B174" s="21">
        <v>117</v>
      </c>
      <c r="C174" s="16">
        <v>0.77800000000000002</v>
      </c>
      <c r="D174" s="16" t="str">
        <f ca="1">PROPER(Music_Data[[#This Row],[Playlist_genre2]])</f>
        <v>Brazilian</v>
      </c>
      <c r="E174" s="17">
        <v>0.83899999999999997</v>
      </c>
      <c r="F174" t="s">
        <v>11379</v>
      </c>
      <c r="G174">
        <v>78</v>
      </c>
      <c r="H174" t="s">
        <v>11323</v>
      </c>
      <c r="I174" t="s">
        <v>11382</v>
      </c>
      <c r="J174" s="22">
        <v>45400</v>
      </c>
      <c r="K174">
        <v>0</v>
      </c>
      <c r="L174">
        <v>11</v>
      </c>
      <c r="M174" s="21">
        <f ca="1">LEFT(Music_Data[[#This Row],[Duration_minutes]],3)/60</f>
        <v>4.4333333333333336</v>
      </c>
      <c r="N174" s="17">
        <v>0.57799999999999996</v>
      </c>
      <c r="O174" s="17" t="str">
        <f ca="1">PROPER(Music_Data[[#This Row],[Playlist_subgenre2]])</f>
        <v>Funk</v>
      </c>
    </row>
    <row r="175" spans="1:15">
      <c r="A175" s="17">
        <v>0.42699999999999999</v>
      </c>
      <c r="B175" s="21">
        <v>804</v>
      </c>
      <c r="C175" s="16">
        <v>0.49199999999999999</v>
      </c>
      <c r="D175" s="16" t="str">
        <f ca="1">PROPER(Music_Data[[#This Row],[Playlist_genre2]])</f>
        <v>Brazilian</v>
      </c>
      <c r="E175" s="17">
        <v>0.443</v>
      </c>
      <c r="F175" t="s">
        <v>11362</v>
      </c>
      <c r="G175">
        <v>77</v>
      </c>
      <c r="H175" t="s">
        <v>11323</v>
      </c>
      <c r="I175" t="s">
        <v>11365</v>
      </c>
      <c r="J175" s="22">
        <v>45422</v>
      </c>
      <c r="K175">
        <v>0</v>
      </c>
      <c r="L175">
        <v>9</v>
      </c>
      <c r="M175" s="21">
        <f ca="1">LEFT(Music_Data[[#This Row],[Duration_minutes]],3)/60</f>
        <v>2.0499999999999998</v>
      </c>
      <c r="N175" s="17">
        <v>0.36399999999999999</v>
      </c>
      <c r="O175" s="17" t="str">
        <f ca="1">PROPER(Music_Data[[#This Row],[Playlist_subgenre2]])</f>
        <v>Funk</v>
      </c>
    </row>
    <row r="176" spans="1:15">
      <c r="A176" s="17">
        <v>0.80300000000000005</v>
      </c>
      <c r="B176" s="21">
        <v>130</v>
      </c>
      <c r="C176" s="16">
        <v>0.877</v>
      </c>
      <c r="D176" s="16" t="str">
        <f ca="1">PROPER(Music_Data[[#This Row],[Playlist_genre2]])</f>
        <v>Brazilian</v>
      </c>
      <c r="E176" s="17">
        <v>0.79500000000000004</v>
      </c>
      <c r="F176" t="s">
        <v>5237</v>
      </c>
      <c r="G176">
        <v>77</v>
      </c>
      <c r="H176" t="s">
        <v>11323</v>
      </c>
      <c r="I176" t="s">
        <v>5240</v>
      </c>
      <c r="J176" s="22">
        <v>45047</v>
      </c>
      <c r="K176">
        <v>1</v>
      </c>
      <c r="L176">
        <v>9</v>
      </c>
      <c r="M176" s="21">
        <f ca="1">LEFT(Music_Data[[#This Row],[Duration_minutes]],3)/60</f>
        <v>10.266666666666667</v>
      </c>
      <c r="N176" s="17">
        <v>0.73399999999999999</v>
      </c>
      <c r="O176" s="17" t="str">
        <f ca="1">PROPER(Music_Data[[#This Row],[Playlist_subgenre2]])</f>
        <v>Funk</v>
      </c>
    </row>
    <row r="177" spans="1:15">
      <c r="A177" s="17">
        <v>0.59899999999999998</v>
      </c>
      <c r="B177" s="21">
        <v>865</v>
      </c>
      <c r="C177" s="16">
        <v>0.82799999999999996</v>
      </c>
      <c r="D177" s="16" t="str">
        <f ca="1">PROPER(Music_Data[[#This Row],[Playlist_genre2]])</f>
        <v>Brazilian</v>
      </c>
      <c r="E177" s="17">
        <v>0.47799999999999998</v>
      </c>
      <c r="F177" t="s">
        <v>11319</v>
      </c>
      <c r="G177">
        <v>73</v>
      </c>
      <c r="H177" t="s">
        <v>11323</v>
      </c>
      <c r="I177" t="s">
        <v>11322</v>
      </c>
      <c r="J177" s="22">
        <v>43304</v>
      </c>
      <c r="K177">
        <v>1</v>
      </c>
      <c r="L177">
        <v>11</v>
      </c>
      <c r="M177" s="21">
        <f ca="1">LEFT(Music_Data[[#This Row],[Duration_minutes]],3)/60</f>
        <v>2.85</v>
      </c>
      <c r="N177" s="17">
        <v>0.38100000000000001</v>
      </c>
      <c r="O177" s="17" t="str">
        <f ca="1">PROPER(Music_Data[[#This Row],[Playlist_subgenre2]])</f>
        <v>Funk</v>
      </c>
    </row>
    <row r="178" spans="1:15">
      <c r="A178" s="17">
        <v>0.99</v>
      </c>
      <c r="B178" s="21">
        <v>126</v>
      </c>
      <c r="C178" s="16">
        <v>0.748</v>
      </c>
      <c r="D178" s="16" t="str">
        <f ca="1">PROPER(Music_Data[[#This Row],[Playlist_genre2]])</f>
        <v>Brazilian</v>
      </c>
      <c r="E178" s="17">
        <v>0.38600000000000001</v>
      </c>
      <c r="F178" t="s">
        <v>11339</v>
      </c>
      <c r="G178">
        <v>72</v>
      </c>
      <c r="H178" t="s">
        <v>11323</v>
      </c>
      <c r="I178" t="s">
        <v>11342</v>
      </c>
      <c r="J178" s="22">
        <v>45058</v>
      </c>
      <c r="K178">
        <v>1</v>
      </c>
      <c r="L178">
        <v>1</v>
      </c>
      <c r="M178" s="21">
        <f ca="1">LEFT(Music_Data[[#This Row],[Duration_minutes]],3)/60</f>
        <v>1.9666666666666666</v>
      </c>
      <c r="N178" s="17">
        <v>0.30299999999999999</v>
      </c>
      <c r="O178" s="17" t="str">
        <f ca="1">PROPER(Music_Data[[#This Row],[Playlist_subgenre2]])</f>
        <v>Funk</v>
      </c>
    </row>
    <row r="179" spans="1:15">
      <c r="A179" s="17">
        <v>0.90700000000000003</v>
      </c>
      <c r="B179" s="21">
        <v>117</v>
      </c>
      <c r="C179" s="16">
        <v>0.86299999999999999</v>
      </c>
      <c r="D179" s="16" t="str">
        <f ca="1">PROPER(Music_Data[[#This Row],[Playlist_genre2]])</f>
        <v>Brazilian</v>
      </c>
      <c r="E179" s="17">
        <v>0.30399999999999999</v>
      </c>
      <c r="F179" t="s">
        <v>11412</v>
      </c>
      <c r="G179">
        <v>72</v>
      </c>
      <c r="H179" t="s">
        <v>11323</v>
      </c>
      <c r="I179" t="s">
        <v>11415</v>
      </c>
      <c r="J179" s="22">
        <v>45482</v>
      </c>
      <c r="K179">
        <v>0</v>
      </c>
      <c r="L179">
        <v>4</v>
      </c>
      <c r="M179" s="21">
        <f ca="1">LEFT(Music_Data[[#This Row],[Duration_minutes]],3)/60</f>
        <v>1.7833333333333334</v>
      </c>
      <c r="N179" s="17">
        <v>6.83E-2</v>
      </c>
      <c r="O179" s="17" t="str">
        <f ca="1">PROPER(Music_Data[[#This Row],[Playlist_subgenre2]])</f>
        <v>Funk</v>
      </c>
    </row>
    <row r="180" spans="1:15">
      <c r="A180" s="17">
        <v>0.41299999999999998</v>
      </c>
      <c r="B180" s="21">
        <v>130</v>
      </c>
      <c r="C180" s="16">
        <v>0.92</v>
      </c>
      <c r="D180" s="16" t="str">
        <f ca="1">PROPER(Music_Data[[#This Row],[Playlist_genre2]])</f>
        <v>Brazilian</v>
      </c>
      <c r="E180" s="17">
        <v>0.67900000000000005</v>
      </c>
      <c r="F180" t="s">
        <v>11346</v>
      </c>
      <c r="G180">
        <v>72</v>
      </c>
      <c r="H180" t="s">
        <v>11323</v>
      </c>
      <c r="I180" t="s">
        <v>11350</v>
      </c>
      <c r="J180" s="22">
        <v>45127</v>
      </c>
      <c r="K180">
        <v>0</v>
      </c>
      <c r="L180">
        <v>7</v>
      </c>
      <c r="M180" s="21">
        <f ca="1">LEFT(Music_Data[[#This Row],[Duration_minutes]],3)/60</f>
        <v>2.2999999999999998</v>
      </c>
      <c r="N180" s="17">
        <v>0.504</v>
      </c>
      <c r="O180" s="17" t="str">
        <f ca="1">PROPER(Music_Data[[#This Row],[Playlist_subgenre2]])</f>
        <v>Funk</v>
      </c>
    </row>
    <row r="181" spans="1:15">
      <c r="A181" s="17">
        <v>0.96</v>
      </c>
      <c r="B181" s="21">
        <v>130</v>
      </c>
      <c r="C181" s="16">
        <v>0.86299999999999999</v>
      </c>
      <c r="D181" s="16" t="str">
        <f ca="1">PROPER(Music_Data[[#This Row],[Playlist_genre2]])</f>
        <v>Brazilian</v>
      </c>
      <c r="E181" s="17">
        <v>0.58599999999999997</v>
      </c>
      <c r="F181" t="s">
        <v>11404</v>
      </c>
      <c r="G181">
        <v>71</v>
      </c>
      <c r="H181" t="s">
        <v>11323</v>
      </c>
      <c r="I181" t="s">
        <v>13240</v>
      </c>
      <c r="J181" s="22">
        <v>45050</v>
      </c>
      <c r="K181">
        <v>1</v>
      </c>
      <c r="L181">
        <v>11</v>
      </c>
      <c r="M181" s="21">
        <f ca="1">LEFT(Music_Data[[#This Row],[Duration_minutes]],3)/60</f>
        <v>15.333333333333334</v>
      </c>
      <c r="N181" s="17">
        <v>0.497</v>
      </c>
      <c r="O181" s="17" t="str">
        <f ca="1">PROPER(Music_Data[[#This Row],[Playlist_subgenre2]])</f>
        <v>Funk</v>
      </c>
    </row>
    <row r="182" spans="1:15">
      <c r="A182" s="17">
        <v>0.95499999999999996</v>
      </c>
      <c r="B182" s="21">
        <v>130</v>
      </c>
      <c r="C182" s="16">
        <v>0.67900000000000005</v>
      </c>
      <c r="D182" s="16" t="str">
        <f ca="1">PROPER(Music_Data[[#This Row],[Playlist_genre2]])</f>
        <v>Brazilian</v>
      </c>
      <c r="E182" s="17">
        <v>0.71299999999999997</v>
      </c>
      <c r="F182" t="s">
        <v>11387</v>
      </c>
      <c r="G182">
        <v>71</v>
      </c>
      <c r="H182" t="s">
        <v>11323</v>
      </c>
      <c r="I182" t="s">
        <v>11390</v>
      </c>
      <c r="J182" s="22">
        <v>45212</v>
      </c>
      <c r="K182">
        <v>1</v>
      </c>
      <c r="L182">
        <v>6</v>
      </c>
      <c r="M182" s="21">
        <f ca="1">LEFT(Music_Data[[#This Row],[Duration_minutes]],3)/60</f>
        <v>1.9833333333333334</v>
      </c>
      <c r="N182" s="17">
        <v>7.3700000000000002E-4</v>
      </c>
      <c r="O182" s="17" t="str">
        <f ca="1">PROPER(Music_Data[[#This Row],[Playlist_subgenre2]])</f>
        <v>Funk</v>
      </c>
    </row>
    <row r="183" spans="1:15">
      <c r="A183" s="17">
        <v>0.82699999999999996</v>
      </c>
      <c r="B183" s="21">
        <v>129</v>
      </c>
      <c r="C183" s="16">
        <v>0.95599999999999996</v>
      </c>
      <c r="D183" s="16" t="str">
        <f ca="1">PROPER(Music_Data[[#This Row],[Playlist_genre2]])</f>
        <v>Brazilian</v>
      </c>
      <c r="E183" s="17">
        <v>0.61399999999999999</v>
      </c>
      <c r="F183" t="s">
        <v>11329</v>
      </c>
      <c r="G183">
        <v>70</v>
      </c>
      <c r="H183" t="s">
        <v>11323</v>
      </c>
      <c r="I183" t="s">
        <v>11332</v>
      </c>
      <c r="J183" s="22">
        <v>44642</v>
      </c>
      <c r="K183">
        <v>1</v>
      </c>
      <c r="L183">
        <v>9</v>
      </c>
      <c r="M183" s="21">
        <f ca="1">LEFT(Music_Data[[#This Row],[Duration_minutes]],3)/60</f>
        <v>2.2166666666666668</v>
      </c>
      <c r="N183" s="17">
        <v>0.13600000000000001</v>
      </c>
      <c r="O183" s="17" t="str">
        <f ca="1">PROPER(Music_Data[[#This Row],[Playlist_subgenre2]])</f>
        <v>Funk</v>
      </c>
    </row>
    <row r="184" spans="1:15">
      <c r="A184" s="17">
        <v>0.59</v>
      </c>
      <c r="B184" s="21">
        <v>864</v>
      </c>
      <c r="C184" s="16">
        <v>0.71099999999999997</v>
      </c>
      <c r="D184" s="16" t="str">
        <f ca="1">PROPER(Music_Data[[#This Row],[Playlist_genre2]])</f>
        <v>Brazilian</v>
      </c>
      <c r="E184" s="17">
        <v>0.70199999999999996</v>
      </c>
      <c r="F184" t="s">
        <v>11421</v>
      </c>
      <c r="G184">
        <v>70</v>
      </c>
      <c r="H184" t="s">
        <v>11323</v>
      </c>
      <c r="I184" t="s">
        <v>11427</v>
      </c>
      <c r="J184" s="22">
        <v>45282</v>
      </c>
      <c r="K184">
        <v>0</v>
      </c>
      <c r="L184">
        <v>6</v>
      </c>
      <c r="M184" s="21">
        <f ca="1">LEFT(Music_Data[[#This Row],[Duration_minutes]],3)/60</f>
        <v>2.0166666666666666</v>
      </c>
      <c r="N184" s="17">
        <v>0.26</v>
      </c>
      <c r="O184" s="17" t="str">
        <f ca="1">PROPER(Music_Data[[#This Row],[Playlist_subgenre2]])</f>
        <v>Funk</v>
      </c>
    </row>
    <row r="185" spans="1:15">
      <c r="A185" s="17">
        <v>0.78900000000000003</v>
      </c>
      <c r="B185" s="21">
        <v>130</v>
      </c>
      <c r="C185" s="16">
        <v>0.89</v>
      </c>
      <c r="D185" s="16" t="str">
        <f ca="1">PROPER(Music_Data[[#This Row],[Playlist_genre2]])</f>
        <v>Brazilian</v>
      </c>
      <c r="E185" s="17">
        <v>0.75800000000000001</v>
      </c>
      <c r="F185" t="s">
        <v>13194</v>
      </c>
      <c r="G185">
        <v>69</v>
      </c>
      <c r="H185" t="s">
        <v>11323</v>
      </c>
      <c r="I185" t="s">
        <v>11357</v>
      </c>
      <c r="J185" s="22">
        <v>45426</v>
      </c>
      <c r="K185">
        <v>1</v>
      </c>
      <c r="L185">
        <v>11</v>
      </c>
      <c r="M185" s="21">
        <f ca="1">LEFT(Music_Data[[#This Row],[Duration_minutes]],3)/60</f>
        <v>3.3166666666666669</v>
      </c>
      <c r="N185" s="17">
        <v>0.14699999999999999</v>
      </c>
      <c r="O185" s="17" t="str">
        <f ca="1">PROPER(Music_Data[[#This Row],[Playlist_subgenre2]])</f>
        <v>Funk</v>
      </c>
    </row>
    <row r="186" spans="1:15">
      <c r="A186" s="17">
        <v>0.58199999999999996</v>
      </c>
      <c r="B186" s="21">
        <v>849</v>
      </c>
      <c r="C186" s="16">
        <v>0.61499999999999999</v>
      </c>
      <c r="D186" s="16" t="str">
        <f ca="1">PROPER(Music_Data[[#This Row],[Playlist_genre2]])</f>
        <v>Brazilian</v>
      </c>
      <c r="E186" s="17">
        <v>0.89200000000000002</v>
      </c>
      <c r="F186" t="s">
        <v>13195</v>
      </c>
      <c r="G186">
        <v>68</v>
      </c>
      <c r="H186" t="s">
        <v>11323</v>
      </c>
      <c r="I186" t="s">
        <v>13244</v>
      </c>
      <c r="J186" s="22">
        <v>45183</v>
      </c>
      <c r="K186">
        <v>1</v>
      </c>
      <c r="L186">
        <v>6</v>
      </c>
      <c r="M186" s="21">
        <f ca="1">LEFT(Music_Data[[#This Row],[Duration_minutes]],3)/60</f>
        <v>2.6166666666666667</v>
      </c>
      <c r="N186" s="17">
        <v>0.26900000000000002</v>
      </c>
      <c r="O186" s="17" t="str">
        <f ca="1">PROPER(Music_Data[[#This Row],[Playlist_subgenre2]])</f>
        <v>Funk</v>
      </c>
    </row>
    <row r="187" spans="1:15">
      <c r="A187" s="17">
        <v>0.44900000000000001</v>
      </c>
      <c r="B187" s="21">
        <v>924</v>
      </c>
      <c r="C187" s="16">
        <v>0.44700000000000001</v>
      </c>
      <c r="D187" s="16" t="str">
        <f ca="1">PROPER(Music_Data[[#This Row],[Playlist_genre2]])</f>
        <v>Classical</v>
      </c>
      <c r="E187" s="17">
        <v>3.5999999999999997E-2</v>
      </c>
      <c r="F187" t="s">
        <v>1841</v>
      </c>
      <c r="G187">
        <v>75</v>
      </c>
      <c r="H187" t="s">
        <v>1819</v>
      </c>
      <c r="I187" t="s">
        <v>1848</v>
      </c>
      <c r="J187" s="22">
        <v>41275</v>
      </c>
      <c r="K187">
        <v>1</v>
      </c>
      <c r="L187">
        <v>2</v>
      </c>
      <c r="M187" s="21">
        <f ca="1">LEFT(Music_Data[[#This Row],[Duration_minutes]],3)/60</f>
        <v>5.25</v>
      </c>
      <c r="N187" s="17">
        <v>0.93400000000000005</v>
      </c>
      <c r="O187" s="17" t="str">
        <f ca="1">PROPER(Music_Data[[#This Row],[Playlist_subgenre2]])</f>
        <v>Essential</v>
      </c>
    </row>
    <row r="188" spans="1:15">
      <c r="A188" s="17">
        <v>0.13800000000000001</v>
      </c>
      <c r="B188" s="21">
        <v>128</v>
      </c>
      <c r="C188" s="16">
        <v>0.34</v>
      </c>
      <c r="D188" s="16" t="str">
        <f ca="1">PROPER(Music_Data[[#This Row],[Playlist_genre2]])</f>
        <v>Classical</v>
      </c>
      <c r="E188" s="17">
        <v>0.32500000000000001</v>
      </c>
      <c r="F188" t="s">
        <v>12616</v>
      </c>
      <c r="G188">
        <v>72</v>
      </c>
      <c r="H188" t="s">
        <v>12600</v>
      </c>
      <c r="I188" t="s">
        <v>12635</v>
      </c>
      <c r="J188" s="22">
        <v>45072</v>
      </c>
      <c r="K188">
        <v>0</v>
      </c>
      <c r="L188">
        <v>2</v>
      </c>
      <c r="M188" s="21">
        <f ca="1">LEFT(Music_Data[[#This Row],[Duration_minutes]],3)/60</f>
        <v>2.2833333333333332</v>
      </c>
      <c r="N188" s="17">
        <v>0.98399999999999999</v>
      </c>
      <c r="O188" s="17" t="str">
        <f ca="1">PROPER(Music_Data[[#This Row],[Playlist_subgenre2]])</f>
        <v>Neo-Classical</v>
      </c>
    </row>
    <row r="189" spans="1:15">
      <c r="A189" s="17">
        <v>5.16E-2</v>
      </c>
      <c r="B189" s="21">
        <v>875</v>
      </c>
      <c r="C189" s="16">
        <v>0.27</v>
      </c>
      <c r="D189" s="16" t="str">
        <f ca="1">PROPER(Music_Data[[#This Row],[Playlist_genre2]])</f>
        <v>Classical</v>
      </c>
      <c r="E189" s="17">
        <v>0.19900000000000001</v>
      </c>
      <c r="F189" t="s">
        <v>12596</v>
      </c>
      <c r="G189">
        <v>71</v>
      </c>
      <c r="H189" t="s">
        <v>12600</v>
      </c>
      <c r="I189" t="s">
        <v>12603</v>
      </c>
      <c r="J189" s="22">
        <v>43987</v>
      </c>
      <c r="K189">
        <v>0</v>
      </c>
      <c r="L189">
        <v>8</v>
      </c>
      <c r="M189" s="21">
        <f ca="1">LEFT(Music_Data[[#This Row],[Duration_minutes]],3)/60</f>
        <v>10.783333333333333</v>
      </c>
      <c r="N189" s="17">
        <v>0.98599999999999999</v>
      </c>
      <c r="O189" s="17" t="str">
        <f ca="1">PROPER(Music_Data[[#This Row],[Playlist_subgenre2]])</f>
        <v>Neo-Classical</v>
      </c>
    </row>
    <row r="190" spans="1:15">
      <c r="A190" s="17">
        <v>0.14599999999999999</v>
      </c>
      <c r="B190" s="21">
        <v>172</v>
      </c>
      <c r="C190" s="16">
        <v>0.26500000000000001</v>
      </c>
      <c r="D190" s="16" t="str">
        <f ca="1">PROPER(Music_Data[[#This Row],[Playlist_genre2]])</f>
        <v>Classical</v>
      </c>
      <c r="E190" s="17">
        <v>0.41599999999999998</v>
      </c>
      <c r="F190" t="s">
        <v>12616</v>
      </c>
      <c r="G190">
        <v>71</v>
      </c>
      <c r="H190" t="s">
        <v>12600</v>
      </c>
      <c r="I190" t="s">
        <v>12619</v>
      </c>
      <c r="J190" s="22">
        <v>44789</v>
      </c>
      <c r="K190">
        <v>0</v>
      </c>
      <c r="L190">
        <v>8</v>
      </c>
      <c r="M190" s="21">
        <f ca="1">LEFT(Music_Data[[#This Row],[Duration_minutes]],3)/60</f>
        <v>2.5666666666666669</v>
      </c>
      <c r="N190" s="17">
        <v>0.98499999999999999</v>
      </c>
      <c r="O190" s="17" t="str">
        <f ca="1">PROPER(Music_Data[[#This Row],[Playlist_subgenre2]])</f>
        <v>Neo-Classical</v>
      </c>
    </row>
    <row r="191" spans="1:15">
      <c r="A191" s="17">
        <v>9.6799999999999997E-2</v>
      </c>
      <c r="B191" s="21">
        <v>628</v>
      </c>
      <c r="C191" s="16">
        <v>0.28599999999999998</v>
      </c>
      <c r="D191" s="16" t="str">
        <f ca="1">PROPER(Music_Data[[#This Row],[Playlist_genre2]])</f>
        <v>Classical</v>
      </c>
      <c r="E191" s="17">
        <v>3.95E-2</v>
      </c>
      <c r="F191" t="s">
        <v>12640</v>
      </c>
      <c r="G191">
        <v>71</v>
      </c>
      <c r="H191" t="s">
        <v>12600</v>
      </c>
      <c r="I191" t="s">
        <v>12646</v>
      </c>
      <c r="J191" s="22">
        <v>40368</v>
      </c>
      <c r="K191">
        <v>1</v>
      </c>
      <c r="L191">
        <v>7</v>
      </c>
      <c r="M191" s="21">
        <f ca="1">LEFT(Music_Data[[#This Row],[Duration_minutes]],3)/60</f>
        <v>4.583333333333333</v>
      </c>
      <c r="N191" s="17">
        <v>0.17799999999999999</v>
      </c>
      <c r="O191" s="17" t="str">
        <f ca="1">PROPER(Music_Data[[#This Row],[Playlist_subgenre2]])</f>
        <v>Neo-Classical</v>
      </c>
    </row>
    <row r="192" spans="1:15">
      <c r="A192" s="17">
        <v>5.5899999999999998E-2</v>
      </c>
      <c r="B192" s="21">
        <v>952</v>
      </c>
      <c r="C192" s="16">
        <v>0.39600000000000002</v>
      </c>
      <c r="D192" s="16" t="str">
        <f ca="1">PROPER(Music_Data[[#This Row],[Playlist_genre2]])</f>
        <v>Classical</v>
      </c>
      <c r="E192" s="17">
        <v>0.27800000000000002</v>
      </c>
      <c r="F192" t="s">
        <v>12623</v>
      </c>
      <c r="G192">
        <v>70</v>
      </c>
      <c r="H192" t="s">
        <v>12600</v>
      </c>
      <c r="I192" t="s">
        <v>12629</v>
      </c>
      <c r="J192" s="22">
        <v>44001</v>
      </c>
      <c r="K192">
        <v>0</v>
      </c>
      <c r="L192">
        <v>9</v>
      </c>
      <c r="M192" s="21">
        <f ca="1">LEFT(Music_Data[[#This Row],[Duration_minutes]],3)/60</f>
        <v>13.066666666666666</v>
      </c>
      <c r="N192" s="17">
        <v>0.98699999999999999</v>
      </c>
      <c r="O192" s="17" t="str">
        <f ca="1">PROPER(Music_Data[[#This Row],[Playlist_subgenre2]])</f>
        <v>Neo-Classical</v>
      </c>
    </row>
    <row r="193" spans="1:15">
      <c r="A193" s="17">
        <v>5.8200000000000002E-2</v>
      </c>
      <c r="B193" s="21">
        <v>132</v>
      </c>
      <c r="C193" s="16">
        <v>0.191</v>
      </c>
      <c r="D193" s="16" t="str">
        <f ca="1">PROPER(Music_Data[[#This Row],[Playlist_genre2]])</f>
        <v>Classical</v>
      </c>
      <c r="E193" s="17">
        <v>4.5400000000000003E-2</v>
      </c>
      <c r="F193" t="s">
        <v>12607</v>
      </c>
      <c r="G193">
        <v>70</v>
      </c>
      <c r="H193" t="s">
        <v>12600</v>
      </c>
      <c r="I193" t="s">
        <v>12613</v>
      </c>
      <c r="J193" s="22">
        <v>37987</v>
      </c>
      <c r="K193">
        <v>1</v>
      </c>
      <c r="L193">
        <v>8</v>
      </c>
      <c r="M193" s="21">
        <f ca="1">LEFT(Music_Data[[#This Row],[Duration_minutes]],3)/60</f>
        <v>5.95</v>
      </c>
      <c r="N193" s="17">
        <v>0.96099999999999997</v>
      </c>
      <c r="O193" s="17" t="str">
        <f ca="1">PROPER(Music_Data[[#This Row],[Playlist_subgenre2]])</f>
        <v>Neo-Classical</v>
      </c>
    </row>
    <row r="194" spans="1:15">
      <c r="A194" s="17">
        <v>3.62E-3</v>
      </c>
      <c r="B194" s="21">
        <v>696</v>
      </c>
      <c r="C194" s="16">
        <v>0.23499999999999999</v>
      </c>
      <c r="D194" s="16" t="str">
        <f ca="1">PROPER(Music_Data[[#This Row],[Playlist_genre2]])</f>
        <v>Classical</v>
      </c>
      <c r="E194" s="17">
        <v>8.8499999999999995E-2</v>
      </c>
      <c r="F194" t="s">
        <v>10255</v>
      </c>
      <c r="G194">
        <v>70</v>
      </c>
      <c r="H194" t="s">
        <v>10259</v>
      </c>
      <c r="I194" t="s">
        <v>10262</v>
      </c>
      <c r="J194" s="22">
        <v>43809</v>
      </c>
      <c r="K194">
        <v>0</v>
      </c>
      <c r="L194">
        <v>3</v>
      </c>
      <c r="M194" s="21">
        <f ca="1">LEFT(Music_Data[[#This Row],[Duration_minutes]],3)/60</f>
        <v>1.75</v>
      </c>
      <c r="N194" s="17">
        <v>0.995</v>
      </c>
      <c r="O194" s="17" t="str">
        <f ca="1">PROPER(Music_Data[[#This Row],[Playlist_subgenre2]])</f>
        <v>Modern</v>
      </c>
    </row>
    <row r="195" spans="1:15">
      <c r="A195" s="17">
        <v>5.2700000000000004E-3</v>
      </c>
      <c r="B195" s="21">
        <v>170</v>
      </c>
      <c r="C195" s="16">
        <v>0.184</v>
      </c>
      <c r="D195" s="16" t="str">
        <f ca="1">PROPER(Music_Data[[#This Row],[Playlist_genre2]])</f>
        <v>Classical</v>
      </c>
      <c r="E195" s="17">
        <v>0.151</v>
      </c>
      <c r="F195" t="s">
        <v>1829</v>
      </c>
      <c r="G195">
        <v>68</v>
      </c>
      <c r="H195" t="s">
        <v>1819</v>
      </c>
      <c r="I195" t="s">
        <v>1835</v>
      </c>
      <c r="J195" s="22">
        <v>39350</v>
      </c>
      <c r="K195">
        <v>0</v>
      </c>
      <c r="L195">
        <v>1</v>
      </c>
      <c r="M195" s="21">
        <f ca="1">LEFT(Music_Data[[#This Row],[Duration_minutes]],3)/60</f>
        <v>5.25</v>
      </c>
      <c r="N195" s="17">
        <v>0.995</v>
      </c>
      <c r="O195" s="17" t="str">
        <f ca="1">PROPER(Music_Data[[#This Row],[Playlist_subgenre2]])</f>
        <v>Essential</v>
      </c>
    </row>
    <row r="196" spans="1:15">
      <c r="A196" s="17">
        <v>0.16400000000000001</v>
      </c>
      <c r="B196" s="21">
        <v>583</v>
      </c>
      <c r="C196" s="16">
        <v>0.13600000000000001</v>
      </c>
      <c r="D196" s="16" t="str">
        <f ca="1">PROPER(Music_Data[[#This Row],[Playlist_genre2]])</f>
        <v>Classical</v>
      </c>
      <c r="E196" s="17">
        <v>7.0999999999999994E-2</v>
      </c>
      <c r="F196" t="s">
        <v>13204</v>
      </c>
      <c r="G196">
        <v>68</v>
      </c>
      <c r="H196" t="s">
        <v>1819</v>
      </c>
      <c r="I196" t="s">
        <v>1822</v>
      </c>
      <c r="J196" s="22">
        <v>27760</v>
      </c>
      <c r="K196">
        <v>0</v>
      </c>
      <c r="L196">
        <v>4</v>
      </c>
      <c r="M196" s="21">
        <f ca="1">LEFT(Music_Data[[#This Row],[Duration_minutes]],3)/60</f>
        <v>2.7666666666666666</v>
      </c>
      <c r="N196" s="17">
        <v>0.91100000000000003</v>
      </c>
      <c r="O196" s="17" t="str">
        <f ca="1">PROPER(Music_Data[[#This Row],[Playlist_subgenre2]])</f>
        <v>Essential</v>
      </c>
    </row>
    <row r="197" spans="1:15">
      <c r="A197" s="17">
        <v>0.501</v>
      </c>
      <c r="B197" s="21">
        <v>870</v>
      </c>
      <c r="C197" s="16">
        <v>0.66800000000000004</v>
      </c>
      <c r="D197" s="16" t="str">
        <f ca="1">PROPER(Music_Data[[#This Row],[Playlist_genre2]])</f>
        <v>Country</v>
      </c>
      <c r="E197" s="17">
        <v>0.85799999999999998</v>
      </c>
      <c r="F197" t="s">
        <v>3725</v>
      </c>
      <c r="G197">
        <v>73</v>
      </c>
      <c r="H197" t="s">
        <v>3730</v>
      </c>
      <c r="I197" t="s">
        <v>3729</v>
      </c>
      <c r="J197" s="22">
        <v>28814</v>
      </c>
      <c r="K197">
        <v>1</v>
      </c>
      <c r="L197">
        <v>4</v>
      </c>
      <c r="M197" s="21">
        <f ca="1">LEFT(Music_Data[[#This Row],[Duration_minutes]],3)/60</f>
        <v>3.5666666666666669</v>
      </c>
      <c r="N197" s="17">
        <v>0.34200000000000003</v>
      </c>
      <c r="O197" s="17" t="str">
        <f ca="1">PROPER(Music_Data[[#This Row],[Playlist_subgenre2]])</f>
        <v>Classic</v>
      </c>
    </row>
    <row r="198" spans="1:15">
      <c r="A198" s="17">
        <v>0.36099999999999999</v>
      </c>
      <c r="B198" s="21">
        <v>121</v>
      </c>
      <c r="C198" s="16">
        <v>0.60599999999999998</v>
      </c>
      <c r="D198" s="16" t="str">
        <f ca="1">PROPER(Music_Data[[#This Row],[Playlist_genre2]])</f>
        <v>Country</v>
      </c>
      <c r="E198" s="17">
        <v>0.621</v>
      </c>
      <c r="F198" t="s">
        <v>3737</v>
      </c>
      <c r="G198">
        <v>70</v>
      </c>
      <c r="H198" t="s">
        <v>3730</v>
      </c>
      <c r="I198" t="s">
        <v>3743</v>
      </c>
      <c r="J198" s="22">
        <v>29952</v>
      </c>
      <c r="K198">
        <v>1</v>
      </c>
      <c r="L198">
        <v>9</v>
      </c>
      <c r="M198" s="21">
        <f ca="1">LEFT(Music_Data[[#This Row],[Duration_minutes]],3)/60</f>
        <v>2.8833333333333333</v>
      </c>
      <c r="N198" s="17">
        <v>0.26400000000000001</v>
      </c>
      <c r="O198" s="17" t="str">
        <f ca="1">PROPER(Music_Data[[#This Row],[Playlist_subgenre2]])</f>
        <v>Classic</v>
      </c>
    </row>
    <row r="199" spans="1:15">
      <c r="A199" s="17">
        <v>0.36099999999999999</v>
      </c>
      <c r="B199" s="21">
        <v>187</v>
      </c>
      <c r="C199" s="16">
        <v>0.36299999999999999</v>
      </c>
      <c r="D199" s="16" t="str">
        <f ca="1">PROPER(Music_Data[[#This Row],[Playlist_genre2]])</f>
        <v>Country</v>
      </c>
      <c r="E199" s="17">
        <v>0.61199999999999999</v>
      </c>
      <c r="F199" t="s">
        <v>3746</v>
      </c>
      <c r="G199">
        <v>68</v>
      </c>
      <c r="H199" t="s">
        <v>3730</v>
      </c>
      <c r="I199" t="s">
        <v>3753</v>
      </c>
      <c r="J199" s="22">
        <v>28491</v>
      </c>
      <c r="K199">
        <v>1</v>
      </c>
      <c r="L199">
        <v>9</v>
      </c>
      <c r="M199" s="21">
        <f ca="1">LEFT(Music_Data[[#This Row],[Duration_minutes]],3)/60</f>
        <v>2.5333333333333332</v>
      </c>
      <c r="N199" s="17">
        <v>0.623</v>
      </c>
      <c r="O199" s="17" t="str">
        <f ca="1">PROPER(Music_Data[[#This Row],[Playlist_subgenre2]])</f>
        <v>Classic</v>
      </c>
    </row>
    <row r="200" spans="1:15">
      <c r="A200" s="17">
        <v>0.63500000000000001</v>
      </c>
      <c r="B200" s="21">
        <v>103</v>
      </c>
      <c r="C200" s="16">
        <v>0.61699999999999999</v>
      </c>
      <c r="D200" s="16" t="str">
        <f ca="1">PROPER(Music_Data[[#This Row],[Playlist_genre2]])</f>
        <v>Electronic</v>
      </c>
      <c r="E200" s="17">
        <v>0.44600000000000001</v>
      </c>
      <c r="F200" t="s">
        <v>4202</v>
      </c>
      <c r="G200">
        <v>86</v>
      </c>
      <c r="H200" t="s">
        <v>4206</v>
      </c>
      <c r="I200" t="s">
        <v>4209</v>
      </c>
      <c r="J200" s="22">
        <v>42832</v>
      </c>
      <c r="K200">
        <v>0</v>
      </c>
      <c r="L200">
        <v>11</v>
      </c>
      <c r="M200" s="21">
        <f ca="1">LEFT(Music_Data[[#This Row],[Duration_minutes]],3)/60</f>
        <v>4.1166666666666663</v>
      </c>
      <c r="N200" s="17">
        <v>4.9799999999999997E-2</v>
      </c>
      <c r="O200" s="17" t="str">
        <f ca="1">PROPER(Music_Data[[#This Row],[Playlist_subgenre2]])</f>
        <v>Modern</v>
      </c>
    </row>
    <row r="201" spans="1:15">
      <c r="A201" s="17">
        <v>0.51800000000000002</v>
      </c>
      <c r="B201" s="21">
        <v>126</v>
      </c>
      <c r="C201" s="16">
        <v>0.875</v>
      </c>
      <c r="D201" s="16" t="str">
        <f ca="1">PROPER(Music_Data[[#This Row],[Playlist_genre2]])</f>
        <v>Electronic</v>
      </c>
      <c r="E201" s="17">
        <v>0.37</v>
      </c>
      <c r="F201" t="s">
        <v>10268</v>
      </c>
      <c r="G201">
        <v>84</v>
      </c>
      <c r="H201" t="s">
        <v>10265</v>
      </c>
      <c r="I201" t="s">
        <v>10271</v>
      </c>
      <c r="J201" s="22">
        <v>45240</v>
      </c>
      <c r="K201">
        <v>1</v>
      </c>
      <c r="L201">
        <v>2</v>
      </c>
      <c r="M201" s="21">
        <f ca="1">LEFT(Music_Data[[#This Row],[Duration_minutes]],3)/60</f>
        <v>3.55</v>
      </c>
      <c r="N201" s="17">
        <v>6.3799999999999996E-2</v>
      </c>
      <c r="O201" s="17" t="str">
        <f ca="1">PROPER(Music_Data[[#This Row],[Playlist_subgenre2]])</f>
        <v>Tropical</v>
      </c>
    </row>
    <row r="202" spans="1:15">
      <c r="A202" s="17">
        <v>0.51800000000000002</v>
      </c>
      <c r="B202" s="21">
        <v>126</v>
      </c>
      <c r="C202" s="16">
        <v>0.875</v>
      </c>
      <c r="D202" s="16" t="str">
        <f ca="1">PROPER(Music_Data[[#This Row],[Playlist_genre2]])</f>
        <v>Electronic</v>
      </c>
      <c r="E202" s="17">
        <v>0.37</v>
      </c>
      <c r="F202" t="s">
        <v>10268</v>
      </c>
      <c r="G202">
        <v>84</v>
      </c>
      <c r="H202" t="s">
        <v>10298</v>
      </c>
      <c r="I202" t="s">
        <v>10271</v>
      </c>
      <c r="J202" s="22">
        <v>45240</v>
      </c>
      <c r="K202">
        <v>1</v>
      </c>
      <c r="L202">
        <v>2</v>
      </c>
      <c r="M202" s="21">
        <f ca="1">LEFT(Music_Data[[#This Row],[Duration_minutes]],3)/60</f>
        <v>3.55</v>
      </c>
      <c r="N202" s="17">
        <v>6.3799999999999996E-2</v>
      </c>
      <c r="O202" s="17" t="str">
        <f ca="1">PROPER(Music_Data[[#This Row],[Playlist_subgenre2]])</f>
        <v>Techno</v>
      </c>
    </row>
    <row r="203" spans="1:15">
      <c r="A203" s="17">
        <v>0.93899999999999995</v>
      </c>
      <c r="B203" s="21">
        <v>129</v>
      </c>
      <c r="C203" s="16">
        <v>0.67100000000000004</v>
      </c>
      <c r="D203" s="16" t="str">
        <f ca="1">PROPER(Music_Data[[#This Row],[Playlist_genre2]])</f>
        <v>Electronic</v>
      </c>
      <c r="E203" s="17">
        <v>0.53</v>
      </c>
      <c r="F203" t="s">
        <v>4214</v>
      </c>
      <c r="G203">
        <v>84</v>
      </c>
      <c r="H203" t="s">
        <v>4206</v>
      </c>
      <c r="I203" t="s">
        <v>4220</v>
      </c>
      <c r="J203" s="22">
        <v>40711</v>
      </c>
      <c r="K203">
        <v>1</v>
      </c>
      <c r="L203">
        <v>8</v>
      </c>
      <c r="M203" s="21">
        <f ca="1">LEFT(Music_Data[[#This Row],[Duration_minutes]],3)/60</f>
        <v>4.2</v>
      </c>
      <c r="N203" s="17">
        <v>0.191</v>
      </c>
      <c r="O203" s="17" t="str">
        <f ca="1">PROPER(Music_Data[[#This Row],[Playlist_subgenre2]])</f>
        <v>Modern</v>
      </c>
    </row>
    <row r="204" spans="1:15">
      <c r="A204" s="17">
        <v>0.52400000000000002</v>
      </c>
      <c r="B204" s="21">
        <v>950</v>
      </c>
      <c r="C204" s="16">
        <v>0.748</v>
      </c>
      <c r="D204" s="16" t="str">
        <f ca="1">PROPER(Music_Data[[#This Row],[Playlist_genre2]])</f>
        <v>Electronic</v>
      </c>
      <c r="E204" s="17">
        <v>0.66100000000000003</v>
      </c>
      <c r="F204" t="s">
        <v>4274</v>
      </c>
      <c r="G204">
        <v>84</v>
      </c>
      <c r="H204" t="s">
        <v>4206</v>
      </c>
      <c r="I204" t="s">
        <v>4277</v>
      </c>
      <c r="J204" s="22">
        <v>42580</v>
      </c>
      <c r="K204">
        <v>1</v>
      </c>
      <c r="L204">
        <v>8</v>
      </c>
      <c r="M204" s="21">
        <f ca="1">LEFT(Music_Data[[#This Row],[Duration_minutes]],3)/60</f>
        <v>4.0666666666666664</v>
      </c>
      <c r="N204" s="17">
        <v>0.41399999999999998</v>
      </c>
      <c r="O204" s="17" t="str">
        <f ca="1">PROPER(Music_Data[[#This Row],[Playlist_subgenre2]])</f>
        <v>Modern</v>
      </c>
    </row>
    <row r="205" spans="1:15">
      <c r="A205" s="17">
        <v>0.71499999999999997</v>
      </c>
      <c r="B205" s="21">
        <v>199</v>
      </c>
      <c r="C205" s="16">
        <v>0.47499999999999998</v>
      </c>
      <c r="D205" s="16" t="str">
        <f ca="1">PROPER(Music_Data[[#This Row],[Playlist_genre2]])</f>
        <v>Electronic</v>
      </c>
      <c r="E205" s="17">
        <v>0.159</v>
      </c>
      <c r="F205" t="s">
        <v>4223</v>
      </c>
      <c r="G205">
        <v>83</v>
      </c>
      <c r="H205" t="s">
        <v>4206</v>
      </c>
      <c r="I205" t="s">
        <v>4086</v>
      </c>
      <c r="J205" s="22">
        <v>42587</v>
      </c>
      <c r="K205">
        <v>1</v>
      </c>
      <c r="L205">
        <v>8</v>
      </c>
      <c r="M205" s="21">
        <f ca="1">LEFT(Music_Data[[#This Row],[Duration_minutes]],3)/60</f>
        <v>3.4166666666666665</v>
      </c>
      <c r="N205" s="17">
        <v>8.6300000000000002E-2</v>
      </c>
      <c r="O205" s="17" t="str">
        <f ca="1">PROPER(Music_Data[[#This Row],[Playlist_subgenre2]])</f>
        <v>Modern</v>
      </c>
    </row>
    <row r="206" spans="1:15">
      <c r="A206" s="17">
        <v>0.78700000000000003</v>
      </c>
      <c r="B206" s="21">
        <v>119</v>
      </c>
      <c r="C206" s="16">
        <v>0.70399999999999996</v>
      </c>
      <c r="D206" s="16" t="str">
        <f ca="1">PROPER(Music_Data[[#This Row],[Playlist_genre2]])</f>
        <v>Electronic</v>
      </c>
      <c r="E206" s="17">
        <v>0.31</v>
      </c>
      <c r="F206" t="s">
        <v>4906</v>
      </c>
      <c r="G206">
        <v>83</v>
      </c>
      <c r="H206" t="s">
        <v>10298</v>
      </c>
      <c r="I206" t="s">
        <v>4910</v>
      </c>
      <c r="J206" s="22">
        <v>45492</v>
      </c>
      <c r="K206">
        <v>0</v>
      </c>
      <c r="L206">
        <v>11</v>
      </c>
      <c r="M206" s="21">
        <f ca="1">LEFT(Music_Data[[#This Row],[Duration_minutes]],3)/60</f>
        <v>3.5666666666666669</v>
      </c>
      <c r="N206" s="17">
        <v>9.2599999999999991E-3</v>
      </c>
      <c r="O206" s="17" t="str">
        <f ca="1">PROPER(Music_Data[[#This Row],[Playlist_subgenre2]])</f>
        <v>Techno</v>
      </c>
    </row>
    <row r="207" spans="1:15">
      <c r="A207" s="17">
        <v>0.78700000000000003</v>
      </c>
      <c r="B207" s="21">
        <v>119</v>
      </c>
      <c r="C207" s="16">
        <v>0.70399999999999996</v>
      </c>
      <c r="D207" s="16" t="str">
        <f ca="1">PROPER(Music_Data[[#This Row],[Playlist_genre2]])</f>
        <v>Electronic</v>
      </c>
      <c r="E207" s="17">
        <v>0.31</v>
      </c>
      <c r="F207" t="s">
        <v>4906</v>
      </c>
      <c r="G207">
        <v>83</v>
      </c>
      <c r="H207" t="s">
        <v>12536</v>
      </c>
      <c r="I207" t="s">
        <v>4910</v>
      </c>
      <c r="J207" s="22">
        <v>45492</v>
      </c>
      <c r="K207">
        <v>0</v>
      </c>
      <c r="L207">
        <v>11</v>
      </c>
      <c r="M207" s="21">
        <f ca="1">LEFT(Music_Data[[#This Row],[Duration_minutes]],3)/60</f>
        <v>3.5666666666666669</v>
      </c>
      <c r="N207" s="17">
        <v>9.2599999999999991E-3</v>
      </c>
      <c r="O207" s="17" t="str">
        <f ca="1">PROPER(Music_Data[[#This Row],[Playlist_subgenre2]])</f>
        <v>Afro House</v>
      </c>
    </row>
    <row r="208" spans="1:15">
      <c r="A208" s="17">
        <v>0.61799999999999999</v>
      </c>
      <c r="B208" s="21">
        <v>126</v>
      </c>
      <c r="C208" s="16">
        <v>0.85299999999999998</v>
      </c>
      <c r="D208" s="16" t="str">
        <f ca="1">PROPER(Music_Data[[#This Row],[Playlist_genre2]])</f>
        <v>Electronic</v>
      </c>
      <c r="E208" s="17">
        <v>0.32</v>
      </c>
      <c r="F208" t="s">
        <v>4916</v>
      </c>
      <c r="G208">
        <v>83</v>
      </c>
      <c r="H208" t="s">
        <v>10265</v>
      </c>
      <c r="I208" t="s">
        <v>4920</v>
      </c>
      <c r="J208" s="22">
        <v>45492</v>
      </c>
      <c r="K208">
        <v>1</v>
      </c>
      <c r="L208">
        <v>6</v>
      </c>
      <c r="M208" s="21">
        <f ca="1">LEFT(Music_Data[[#This Row],[Duration_minutes]],3)/60</f>
        <v>2.4166666666666665</v>
      </c>
      <c r="N208" s="17">
        <v>0.63300000000000001</v>
      </c>
      <c r="O208" s="17" t="str">
        <f ca="1">PROPER(Music_Data[[#This Row],[Playlist_subgenre2]])</f>
        <v>Tropical</v>
      </c>
    </row>
    <row r="209" spans="1:15">
      <c r="A209" s="17">
        <v>0.61799999999999999</v>
      </c>
      <c r="B209" s="21">
        <v>126</v>
      </c>
      <c r="C209" s="16">
        <v>0.85299999999999998</v>
      </c>
      <c r="D209" s="16" t="str">
        <f ca="1">PROPER(Music_Data[[#This Row],[Playlist_genre2]])</f>
        <v>Electronic</v>
      </c>
      <c r="E209" s="17">
        <v>0.32</v>
      </c>
      <c r="F209" t="s">
        <v>4916</v>
      </c>
      <c r="G209">
        <v>83</v>
      </c>
      <c r="H209" t="s">
        <v>10298</v>
      </c>
      <c r="I209" t="s">
        <v>4920</v>
      </c>
      <c r="J209" s="22">
        <v>45492</v>
      </c>
      <c r="K209">
        <v>1</v>
      </c>
      <c r="L209">
        <v>6</v>
      </c>
      <c r="M209" s="21">
        <f ca="1">LEFT(Music_Data[[#This Row],[Duration_minutes]],3)/60</f>
        <v>2.4166666666666665</v>
      </c>
      <c r="N209" s="17">
        <v>0.63300000000000001</v>
      </c>
      <c r="O209" s="17" t="str">
        <f ca="1">PROPER(Music_Data[[#This Row],[Playlist_subgenre2]])</f>
        <v>Techno</v>
      </c>
    </row>
    <row r="210" spans="1:15">
      <c r="A210" s="17">
        <v>0.83499999999999996</v>
      </c>
      <c r="B210" s="21">
        <v>125</v>
      </c>
      <c r="C210" s="16">
        <v>0.52700000000000002</v>
      </c>
      <c r="D210" s="16" t="str">
        <f ca="1">PROPER(Music_Data[[#This Row],[Playlist_genre2]])</f>
        <v>Electronic</v>
      </c>
      <c r="E210" s="17">
        <v>0.65400000000000003</v>
      </c>
      <c r="F210" t="s">
        <v>4242</v>
      </c>
      <c r="G210">
        <v>82</v>
      </c>
      <c r="H210" t="s">
        <v>4206</v>
      </c>
      <c r="I210" t="s">
        <v>4249</v>
      </c>
      <c r="J210" s="22">
        <v>41640</v>
      </c>
      <c r="K210">
        <v>1</v>
      </c>
      <c r="L210">
        <v>6</v>
      </c>
      <c r="M210" s="21">
        <f ca="1">LEFT(Music_Data[[#This Row],[Duration_minutes]],3)/60</f>
        <v>2.9333333333333331</v>
      </c>
      <c r="N210" s="17">
        <v>1.66E-2</v>
      </c>
      <c r="O210" s="17" t="str">
        <f ca="1">PROPER(Music_Data[[#This Row],[Playlist_subgenre2]])</f>
        <v>Modern</v>
      </c>
    </row>
    <row r="211" spans="1:15">
      <c r="A211" s="17">
        <v>0.82299999999999995</v>
      </c>
      <c r="B211" s="21">
        <v>128</v>
      </c>
      <c r="C211" s="16">
        <v>0.64600000000000002</v>
      </c>
      <c r="D211" s="16" t="str">
        <f ca="1">PROPER(Music_Data[[#This Row],[Playlist_genre2]])</f>
        <v>Electronic</v>
      </c>
      <c r="E211" s="17">
        <v>0.41799999999999998</v>
      </c>
      <c r="F211" t="s">
        <v>4232</v>
      </c>
      <c r="G211">
        <v>82</v>
      </c>
      <c r="H211" t="s">
        <v>4206</v>
      </c>
      <c r="I211" t="s">
        <v>4239</v>
      </c>
      <c r="J211" s="22">
        <v>41943</v>
      </c>
      <c r="K211">
        <v>0</v>
      </c>
      <c r="L211">
        <v>2</v>
      </c>
      <c r="M211" s="21">
        <f ca="1">LEFT(Music_Data[[#This Row],[Duration_minutes]],3)/60</f>
        <v>3.7833333333333332</v>
      </c>
      <c r="N211" s="17">
        <v>0.21299999999999999</v>
      </c>
      <c r="O211" s="17" t="str">
        <f ca="1">PROPER(Music_Data[[#This Row],[Playlist_subgenre2]])</f>
        <v>Modern</v>
      </c>
    </row>
    <row r="212" spans="1:15">
      <c r="A212" s="17">
        <v>0.96299999999999997</v>
      </c>
      <c r="B212" s="21">
        <v>129</v>
      </c>
      <c r="C212" s="16">
        <v>0.58099999999999996</v>
      </c>
      <c r="D212" s="16" t="str">
        <f ca="1">PROPER(Music_Data[[#This Row],[Playlist_genre2]])</f>
        <v>Electronic</v>
      </c>
      <c r="E212" s="17">
        <v>0.78800000000000003</v>
      </c>
      <c r="F212" t="s">
        <v>4309</v>
      </c>
      <c r="G212">
        <v>82</v>
      </c>
      <c r="H212" t="s">
        <v>4206</v>
      </c>
      <c r="I212" t="s">
        <v>4315</v>
      </c>
      <c r="J212" s="22">
        <v>2012</v>
      </c>
      <c r="K212">
        <v>1</v>
      </c>
      <c r="L212">
        <v>11</v>
      </c>
      <c r="M212" s="21">
        <f ca="1">LEFT(Music_Data[[#This Row],[Duration_minutes]],3)/60</f>
        <v>3.4</v>
      </c>
      <c r="N212" s="17">
        <v>2.9499999999999998E-2</v>
      </c>
      <c r="O212" s="17" t="str">
        <f ca="1">PROPER(Music_Data[[#This Row],[Playlist_subgenre2]])</f>
        <v>Modern</v>
      </c>
    </row>
    <row r="213" spans="1:15">
      <c r="A213" s="17">
        <v>0.85599999999999998</v>
      </c>
      <c r="B213" s="21">
        <v>127</v>
      </c>
      <c r="C213" s="16">
        <v>0.59599999999999997</v>
      </c>
      <c r="D213" s="16" t="str">
        <f ca="1">PROPER(Music_Data[[#This Row],[Playlist_genre2]])</f>
        <v>Electronic</v>
      </c>
      <c r="E213" s="17">
        <v>0.74299999999999999</v>
      </c>
      <c r="F213" t="s">
        <v>4292</v>
      </c>
      <c r="G213">
        <v>81</v>
      </c>
      <c r="H213" t="s">
        <v>4206</v>
      </c>
      <c r="I213" t="s">
        <v>4297</v>
      </c>
      <c r="J213" s="22">
        <v>41943</v>
      </c>
      <c r="K213">
        <v>0</v>
      </c>
      <c r="L213">
        <v>4</v>
      </c>
      <c r="M213" s="21">
        <f ca="1">LEFT(Music_Data[[#This Row],[Duration_minutes]],3)/60</f>
        <v>3.7</v>
      </c>
      <c r="N213" s="17">
        <v>2.1100000000000001E-2</v>
      </c>
      <c r="O213" s="17" t="str">
        <f ca="1">PROPER(Music_Data[[#This Row],[Playlist_subgenre2]])</f>
        <v>Modern</v>
      </c>
    </row>
    <row r="214" spans="1:15">
      <c r="A214" s="17">
        <v>0.85599999999999998</v>
      </c>
      <c r="B214" s="21">
        <v>127</v>
      </c>
      <c r="C214" s="16">
        <v>0.59599999999999997</v>
      </c>
      <c r="D214" s="16" t="str">
        <f ca="1">PROPER(Music_Data[[#This Row],[Playlist_genre2]])</f>
        <v>Electronic</v>
      </c>
      <c r="E214" s="17">
        <v>0.74299999999999999</v>
      </c>
      <c r="F214" t="s">
        <v>4292</v>
      </c>
      <c r="G214">
        <v>81</v>
      </c>
      <c r="H214" t="s">
        <v>10298</v>
      </c>
      <c r="I214" t="s">
        <v>4297</v>
      </c>
      <c r="J214" s="22">
        <v>41943</v>
      </c>
      <c r="K214">
        <v>0</v>
      </c>
      <c r="L214">
        <v>4</v>
      </c>
      <c r="M214" s="21">
        <f ca="1">LEFT(Music_Data[[#This Row],[Duration_minutes]],3)/60</f>
        <v>3.7</v>
      </c>
      <c r="N214" s="17">
        <v>2.1100000000000001E-2</v>
      </c>
      <c r="O214" s="17" t="str">
        <f ca="1">PROPER(Music_Data[[#This Row],[Playlist_subgenre2]])</f>
        <v>Techno</v>
      </c>
    </row>
    <row r="215" spans="1:15">
      <c r="A215" s="17">
        <v>0.627</v>
      </c>
      <c r="B215" s="21">
        <v>179</v>
      </c>
      <c r="C215" s="16">
        <v>0.46800000000000003</v>
      </c>
      <c r="D215" s="16" t="str">
        <f ca="1">PROPER(Music_Data[[#This Row],[Playlist_genre2]])</f>
        <v>Electronic</v>
      </c>
      <c r="E215" s="17">
        <v>0.159</v>
      </c>
      <c r="F215" t="s">
        <v>4282</v>
      </c>
      <c r="G215">
        <v>80</v>
      </c>
      <c r="H215" t="s">
        <v>4206</v>
      </c>
      <c r="I215" t="s">
        <v>4288</v>
      </c>
      <c r="J215" s="22">
        <v>43448</v>
      </c>
      <c r="K215">
        <v>1</v>
      </c>
      <c r="L215">
        <v>6</v>
      </c>
      <c r="M215" s="21">
        <f ca="1">LEFT(Music_Data[[#This Row],[Duration_minutes]],3)/60</f>
        <v>3.5333333333333332</v>
      </c>
      <c r="N215" s="17">
        <v>2.81E-2</v>
      </c>
      <c r="O215" s="17" t="str">
        <f ca="1">PROPER(Music_Data[[#This Row],[Playlist_subgenre2]])</f>
        <v>Modern</v>
      </c>
    </row>
    <row r="216" spans="1:15">
      <c r="A216" s="17">
        <v>0.78700000000000003</v>
      </c>
      <c r="B216" s="21">
        <v>126</v>
      </c>
      <c r="C216" s="16">
        <v>0.60399999999999998</v>
      </c>
      <c r="D216" s="16" t="str">
        <f ca="1">PROPER(Music_Data[[#This Row],[Playlist_genre2]])</f>
        <v>Electronic</v>
      </c>
      <c r="E216" s="17">
        <v>0.30099999999999999</v>
      </c>
      <c r="F216" t="s">
        <v>4317</v>
      </c>
      <c r="G216">
        <v>80</v>
      </c>
      <c r="H216" t="s">
        <v>4206</v>
      </c>
      <c r="I216" t="s">
        <v>4323</v>
      </c>
      <c r="J216" s="22">
        <v>41250</v>
      </c>
      <c r="K216">
        <v>0</v>
      </c>
      <c r="L216">
        <v>0</v>
      </c>
      <c r="M216" s="21">
        <f ca="1">LEFT(Music_Data[[#This Row],[Duration_minutes]],3)/60</f>
        <v>4.083333333333333</v>
      </c>
      <c r="N216" s="17">
        <v>6.7900000000000002E-2</v>
      </c>
      <c r="O216" s="17" t="str">
        <f ca="1">PROPER(Music_Data[[#This Row],[Playlist_subgenre2]])</f>
        <v>Modern</v>
      </c>
    </row>
    <row r="217" spans="1:15">
      <c r="A217" s="17">
        <v>0.77</v>
      </c>
      <c r="B217" s="21">
        <v>125</v>
      </c>
      <c r="C217" s="16">
        <v>0.69399999999999995</v>
      </c>
      <c r="D217" s="16" t="str">
        <f ca="1">PROPER(Music_Data[[#This Row],[Playlist_genre2]])</f>
        <v>Electronic</v>
      </c>
      <c r="E217" s="17">
        <v>0.16300000000000001</v>
      </c>
      <c r="F217" t="s">
        <v>4300</v>
      </c>
      <c r="G217">
        <v>80</v>
      </c>
      <c r="H217" t="s">
        <v>4206</v>
      </c>
      <c r="I217" t="s">
        <v>4303</v>
      </c>
      <c r="J217" s="22">
        <v>43259</v>
      </c>
      <c r="K217">
        <v>1</v>
      </c>
      <c r="L217">
        <v>6</v>
      </c>
      <c r="M217" s="21">
        <f ca="1">LEFT(Music_Data[[#This Row],[Duration_minutes]],3)/60</f>
        <v>3.0666666666666669</v>
      </c>
      <c r="N217" s="17">
        <v>0.17599999999999999</v>
      </c>
      <c r="O217" s="17" t="str">
        <f ca="1">PROPER(Music_Data[[#This Row],[Playlist_subgenre2]])</f>
        <v>Modern</v>
      </c>
    </row>
    <row r="218" spans="1:15">
      <c r="A218" s="17">
        <v>0.86899999999999999</v>
      </c>
      <c r="B218" s="21">
        <v>126</v>
      </c>
      <c r="C218" s="16">
        <v>0.874</v>
      </c>
      <c r="D218" s="16" t="str">
        <f ca="1">PROPER(Music_Data[[#This Row],[Playlist_genre2]])</f>
        <v>Electronic</v>
      </c>
      <c r="E218" s="17">
        <v>0.72599999999999998</v>
      </c>
      <c r="F218" t="s">
        <v>10301</v>
      </c>
      <c r="G218">
        <v>80</v>
      </c>
      <c r="H218" t="s">
        <v>10298</v>
      </c>
      <c r="I218" t="s">
        <v>10307</v>
      </c>
      <c r="J218" s="22">
        <v>44491</v>
      </c>
      <c r="K218">
        <v>0</v>
      </c>
      <c r="L218">
        <v>1</v>
      </c>
      <c r="M218" s="21">
        <f ca="1">LEFT(Music_Data[[#This Row],[Duration_minutes]],3)/60</f>
        <v>1.7</v>
      </c>
      <c r="N218" s="17">
        <v>1.16E-3</v>
      </c>
      <c r="O218" s="17" t="str">
        <f ca="1">PROPER(Music_Data[[#This Row],[Playlist_subgenre2]])</f>
        <v>Techno</v>
      </c>
    </row>
    <row r="219" spans="1:15">
      <c r="A219" s="17">
        <v>0.68500000000000005</v>
      </c>
      <c r="B219" s="21">
        <v>118</v>
      </c>
      <c r="C219" s="16">
        <v>0.78200000000000003</v>
      </c>
      <c r="D219" s="16" t="str">
        <f ca="1">PROPER(Music_Data[[#This Row],[Playlist_genre2]])</f>
        <v>Electronic</v>
      </c>
      <c r="E219" s="17">
        <v>0.60299999999999998</v>
      </c>
      <c r="F219" t="s">
        <v>4263</v>
      </c>
      <c r="G219">
        <v>80</v>
      </c>
      <c r="H219" t="s">
        <v>4206</v>
      </c>
      <c r="I219" t="s">
        <v>4270</v>
      </c>
      <c r="J219" s="22">
        <v>42293</v>
      </c>
      <c r="K219">
        <v>1</v>
      </c>
      <c r="L219">
        <v>4</v>
      </c>
      <c r="M219" s="21">
        <f ca="1">LEFT(Music_Data[[#This Row],[Duration_minutes]],3)/60</f>
        <v>3</v>
      </c>
      <c r="N219" s="17">
        <v>0.16600000000000001</v>
      </c>
      <c r="O219" s="17" t="str">
        <f ca="1">PROPER(Music_Data[[#This Row],[Playlist_subgenre2]])</f>
        <v>Modern</v>
      </c>
    </row>
    <row r="220" spans="1:15">
      <c r="A220" s="17">
        <v>0.751</v>
      </c>
      <c r="B220" s="21">
        <v>117</v>
      </c>
      <c r="C220" s="16">
        <v>0.88</v>
      </c>
      <c r="D220" s="16" t="str">
        <f ca="1">PROPER(Music_Data[[#This Row],[Playlist_genre2]])</f>
        <v>Electronic</v>
      </c>
      <c r="E220" s="17">
        <v>0.88400000000000001</v>
      </c>
      <c r="F220" t="s">
        <v>4252</v>
      </c>
      <c r="G220">
        <v>80</v>
      </c>
      <c r="H220" t="s">
        <v>4206</v>
      </c>
      <c r="I220" t="s">
        <v>4256</v>
      </c>
      <c r="J220" s="22">
        <v>43672</v>
      </c>
      <c r="K220">
        <v>0</v>
      </c>
      <c r="L220">
        <v>7</v>
      </c>
      <c r="M220" s="21">
        <f ca="1">LEFT(Music_Data[[#This Row],[Duration_minutes]],3)/60</f>
        <v>2.6166666666666667</v>
      </c>
      <c r="N220" s="17">
        <v>0.17699999999999999</v>
      </c>
      <c r="O220" s="17" t="str">
        <f ca="1">PROPER(Music_Data[[#This Row],[Playlist_subgenre2]])</f>
        <v>Modern</v>
      </c>
    </row>
    <row r="221" spans="1:15">
      <c r="A221" s="17">
        <v>0.86899999999999999</v>
      </c>
      <c r="B221" s="21">
        <v>159</v>
      </c>
      <c r="C221" s="16">
        <v>0.53300000000000003</v>
      </c>
      <c r="D221" s="16" t="str">
        <f ca="1">PROPER(Music_Data[[#This Row],[Playlist_genre2]])</f>
        <v>Electronic</v>
      </c>
      <c r="E221" s="17">
        <v>0.42499999999999999</v>
      </c>
      <c r="F221" t="s">
        <v>4368</v>
      </c>
      <c r="G221">
        <v>80</v>
      </c>
      <c r="H221" t="s">
        <v>4206</v>
      </c>
      <c r="I221" t="s">
        <v>4371</v>
      </c>
      <c r="J221" s="22">
        <v>42405</v>
      </c>
      <c r="K221">
        <v>1</v>
      </c>
      <c r="L221">
        <v>11</v>
      </c>
      <c r="M221" s="21">
        <f ca="1">LEFT(Music_Data[[#This Row],[Duration_minutes]],3)/60</f>
        <v>3.4666666666666668</v>
      </c>
      <c r="N221" s="17">
        <v>0.156</v>
      </c>
      <c r="O221" s="17" t="str">
        <f ca="1">PROPER(Music_Data[[#This Row],[Playlist_subgenre2]])</f>
        <v>Modern</v>
      </c>
    </row>
    <row r="222" spans="1:15">
      <c r="A222" s="17">
        <v>0.85699999999999998</v>
      </c>
      <c r="B222" s="21">
        <v>128</v>
      </c>
      <c r="C222" s="16">
        <v>0.41399999999999998</v>
      </c>
      <c r="D222" s="16" t="str">
        <f ca="1">PROPER(Music_Data[[#This Row],[Playlist_genre2]])</f>
        <v>Electronic</v>
      </c>
      <c r="E222" s="17">
        <v>0.34799999999999998</v>
      </c>
      <c r="F222" t="s">
        <v>4377</v>
      </c>
      <c r="G222">
        <v>79</v>
      </c>
      <c r="H222" t="s">
        <v>4206</v>
      </c>
      <c r="I222" t="s">
        <v>4382</v>
      </c>
      <c r="J222" s="22">
        <v>41943</v>
      </c>
      <c r="K222">
        <v>0</v>
      </c>
      <c r="L222">
        <v>0</v>
      </c>
      <c r="M222" s="21">
        <f ca="1">LEFT(Music_Data[[#This Row],[Duration_minutes]],3)/60</f>
        <v>3.5333333333333332</v>
      </c>
      <c r="N222" s="17">
        <v>2.87E-2</v>
      </c>
      <c r="O222" s="17" t="str">
        <f ca="1">PROPER(Music_Data[[#This Row],[Playlist_subgenre2]])</f>
        <v>Modern</v>
      </c>
    </row>
    <row r="223" spans="1:15">
      <c r="A223" s="17">
        <v>0.79700000000000004</v>
      </c>
      <c r="B223" s="21">
        <v>122</v>
      </c>
      <c r="C223" s="16">
        <v>0.70199999999999996</v>
      </c>
      <c r="D223" s="16" t="str">
        <f ca="1">PROPER(Music_Data[[#This Row],[Playlist_genre2]])</f>
        <v>Electronic</v>
      </c>
      <c r="E223" s="17">
        <v>3.56E-2</v>
      </c>
      <c r="F223" t="s">
        <v>5116</v>
      </c>
      <c r="G223">
        <v>79</v>
      </c>
      <c r="H223" t="s">
        <v>12536</v>
      </c>
      <c r="I223" t="s">
        <v>5122</v>
      </c>
      <c r="J223" s="22">
        <v>45282</v>
      </c>
      <c r="K223">
        <v>0</v>
      </c>
      <c r="L223">
        <v>10</v>
      </c>
      <c r="M223" s="21">
        <f ca="1">LEFT(Music_Data[[#This Row],[Duration_minutes]],3)/60</f>
        <v>3.4666666666666668</v>
      </c>
      <c r="N223" s="17">
        <v>0.58299999999999996</v>
      </c>
      <c r="O223" s="17" t="str">
        <f ca="1">PROPER(Music_Data[[#This Row],[Playlist_subgenre2]])</f>
        <v>Afro House</v>
      </c>
    </row>
    <row r="224" spans="1:15">
      <c r="A224" s="17">
        <v>0.71399999999999997</v>
      </c>
      <c r="B224" s="21">
        <v>101</v>
      </c>
      <c r="C224" s="16">
        <v>0.66400000000000003</v>
      </c>
      <c r="D224" s="16" t="str">
        <f ca="1">PROPER(Music_Data[[#This Row],[Playlist_genre2]])</f>
        <v>Electronic</v>
      </c>
      <c r="E224" s="17">
        <v>0.71</v>
      </c>
      <c r="F224" t="s">
        <v>4327</v>
      </c>
      <c r="G224">
        <v>79</v>
      </c>
      <c r="H224" t="s">
        <v>4206</v>
      </c>
      <c r="I224" t="s">
        <v>4333</v>
      </c>
      <c r="J224" s="22">
        <v>42496</v>
      </c>
      <c r="K224">
        <v>0</v>
      </c>
      <c r="L224">
        <v>7</v>
      </c>
      <c r="M224" s="21">
        <f ca="1">LEFT(Music_Data[[#This Row],[Duration_minutes]],3)/60</f>
        <v>3.2833333333333332</v>
      </c>
      <c r="N224" s="17">
        <v>3.5299999999999998E-2</v>
      </c>
      <c r="O224" s="17" t="str">
        <f ca="1">PROPER(Music_Data[[#This Row],[Playlist_subgenre2]])</f>
        <v>Modern</v>
      </c>
    </row>
    <row r="225" spans="1:15">
      <c r="A225" s="17">
        <v>0.72899999999999998</v>
      </c>
      <c r="B225" s="21">
        <v>127</v>
      </c>
      <c r="C225" s="16">
        <v>0.88</v>
      </c>
      <c r="D225" s="16" t="str">
        <f ca="1">PROPER(Music_Data[[#This Row],[Playlist_genre2]])</f>
        <v>Electronic</v>
      </c>
      <c r="E225" s="17">
        <v>0.246</v>
      </c>
      <c r="F225" t="s">
        <v>10311</v>
      </c>
      <c r="G225">
        <v>79</v>
      </c>
      <c r="H225" t="s">
        <v>10298</v>
      </c>
      <c r="I225" t="s">
        <v>10314</v>
      </c>
      <c r="J225" s="22">
        <v>45526</v>
      </c>
      <c r="K225">
        <v>0</v>
      </c>
      <c r="L225">
        <v>11</v>
      </c>
      <c r="M225" s="21">
        <f ca="1">LEFT(Music_Data[[#This Row],[Duration_minutes]],3)/60</f>
        <v>3.3</v>
      </c>
      <c r="N225" s="17">
        <v>0.33400000000000002</v>
      </c>
      <c r="O225" s="17" t="str">
        <f ca="1">PROPER(Music_Data[[#This Row],[Playlist_subgenre2]])</f>
        <v>Techno</v>
      </c>
    </row>
    <row r="226" spans="1:15">
      <c r="A226" s="17">
        <v>0.73599999999999999</v>
      </c>
      <c r="B226" s="21">
        <v>127</v>
      </c>
      <c r="C226" s="16">
        <v>0.57899999999999996</v>
      </c>
      <c r="D226" s="16" t="str">
        <f ca="1">PROPER(Music_Data[[#This Row],[Playlist_genre2]])</f>
        <v>Electronic</v>
      </c>
      <c r="E226" s="17">
        <v>0.61299999999999999</v>
      </c>
      <c r="F226" t="s">
        <v>4242</v>
      </c>
      <c r="G226">
        <v>78</v>
      </c>
      <c r="H226" t="s">
        <v>4206</v>
      </c>
      <c r="I226" t="s">
        <v>4354</v>
      </c>
      <c r="J226" s="22">
        <v>42279</v>
      </c>
      <c r="K226">
        <v>0</v>
      </c>
      <c r="L226">
        <v>6</v>
      </c>
      <c r="M226" s="21">
        <f ca="1">LEFT(Music_Data[[#This Row],[Duration_minutes]],3)/60</f>
        <v>3.8333333333333335</v>
      </c>
      <c r="N226" s="17">
        <v>0.31</v>
      </c>
      <c r="O226" s="17" t="str">
        <f ca="1">PROPER(Music_Data[[#This Row],[Playlist_subgenre2]])</f>
        <v>Modern</v>
      </c>
    </row>
    <row r="227" spans="1:15">
      <c r="A227" s="17">
        <v>0.77700000000000002</v>
      </c>
      <c r="B227" s="21">
        <v>130</v>
      </c>
      <c r="C227" s="16">
        <v>0.73</v>
      </c>
      <c r="D227" s="16" t="str">
        <f ca="1">PROPER(Music_Data[[#This Row],[Playlist_genre2]])</f>
        <v>Electronic</v>
      </c>
      <c r="E227" s="17">
        <v>0.57499999999999996</v>
      </c>
      <c r="F227" t="s">
        <v>4357</v>
      </c>
      <c r="G227">
        <v>78</v>
      </c>
      <c r="H227" t="s">
        <v>4206</v>
      </c>
      <c r="I227" t="s">
        <v>4364</v>
      </c>
      <c r="J227" s="22">
        <v>40662</v>
      </c>
      <c r="K227">
        <v>0</v>
      </c>
      <c r="L227">
        <v>3</v>
      </c>
      <c r="M227" s="21">
        <f ca="1">LEFT(Music_Data[[#This Row],[Duration_minutes]],3)/60</f>
        <v>4.7333333333333334</v>
      </c>
      <c r="N227" s="17">
        <v>0.105</v>
      </c>
      <c r="O227" s="17" t="str">
        <f ca="1">PROPER(Music_Data[[#This Row],[Playlist_subgenre2]])</f>
        <v>Modern</v>
      </c>
    </row>
    <row r="228" spans="1:15">
      <c r="A228" s="17">
        <v>0.81499999999999995</v>
      </c>
      <c r="B228" s="21">
        <v>123</v>
      </c>
      <c r="C228" s="16">
        <v>0.63600000000000001</v>
      </c>
      <c r="D228" s="16" t="str">
        <f ca="1">PROPER(Music_Data[[#This Row],[Playlist_genre2]])</f>
        <v>Electronic</v>
      </c>
      <c r="E228" s="17">
        <v>0.63600000000000001</v>
      </c>
      <c r="F228" t="s">
        <v>4336</v>
      </c>
      <c r="G228">
        <v>78</v>
      </c>
      <c r="H228" t="s">
        <v>4206</v>
      </c>
      <c r="I228" t="s">
        <v>4343</v>
      </c>
      <c r="J228" s="22">
        <v>42272</v>
      </c>
      <c r="K228">
        <v>0</v>
      </c>
      <c r="L228">
        <v>5</v>
      </c>
      <c r="M228" s="21">
        <f ca="1">LEFT(Music_Data[[#This Row],[Duration_minutes]],3)/60</f>
        <v>3.65</v>
      </c>
      <c r="N228" s="17">
        <v>1.8499999999999999E-2</v>
      </c>
      <c r="O228" s="17" t="str">
        <f ca="1">PROPER(Music_Data[[#This Row],[Playlist_subgenre2]])</f>
        <v>Modern</v>
      </c>
    </row>
    <row r="229" spans="1:15">
      <c r="A229" s="17">
        <v>0.74099999999999999</v>
      </c>
      <c r="B229" s="21">
        <v>123</v>
      </c>
      <c r="C229" s="16">
        <v>0.64600000000000002</v>
      </c>
      <c r="D229" s="16" t="str">
        <f ca="1">PROPER(Music_Data[[#This Row],[Playlist_genre2]])</f>
        <v>Electronic</v>
      </c>
      <c r="E229" s="17">
        <v>0.57099999999999995</v>
      </c>
      <c r="F229" t="s">
        <v>4405</v>
      </c>
      <c r="G229">
        <v>77</v>
      </c>
      <c r="H229" t="s">
        <v>4206</v>
      </c>
      <c r="I229" t="s">
        <v>4409</v>
      </c>
      <c r="J229" s="22">
        <v>42944</v>
      </c>
      <c r="K229">
        <v>0</v>
      </c>
      <c r="L229">
        <v>5</v>
      </c>
      <c r="M229" s="21">
        <f ca="1">LEFT(Music_Data[[#This Row],[Duration_minutes]],3)/60</f>
        <v>3.3833333333333333</v>
      </c>
      <c r="N229" s="17">
        <v>2.75E-2</v>
      </c>
      <c r="O229" s="17" t="str">
        <f ca="1">PROPER(Music_Data[[#This Row],[Playlist_subgenre2]])</f>
        <v>Modern</v>
      </c>
    </row>
    <row r="230" spans="1:15">
      <c r="A230" s="17">
        <v>0.92700000000000005</v>
      </c>
      <c r="B230" s="21">
        <v>123</v>
      </c>
      <c r="C230" s="16">
        <v>0.63100000000000001</v>
      </c>
      <c r="D230" s="16" t="str">
        <f ca="1">PROPER(Music_Data[[#This Row],[Playlist_genre2]])</f>
        <v>Electronic</v>
      </c>
      <c r="E230" s="17">
        <v>0.46500000000000002</v>
      </c>
      <c r="F230" t="s">
        <v>4445</v>
      </c>
      <c r="G230">
        <v>77</v>
      </c>
      <c r="H230" t="s">
        <v>4206</v>
      </c>
      <c r="I230" t="s">
        <v>4449</v>
      </c>
      <c r="J230" s="22">
        <v>42489</v>
      </c>
      <c r="K230">
        <v>0</v>
      </c>
      <c r="L230">
        <v>9</v>
      </c>
      <c r="M230" s="21">
        <f ca="1">LEFT(Music_Data[[#This Row],[Duration_minutes]],3)/60</f>
        <v>3.7</v>
      </c>
      <c r="N230" s="17">
        <v>0.19900000000000001</v>
      </c>
      <c r="O230" s="17" t="str">
        <f ca="1">PROPER(Music_Data[[#This Row],[Playlist_subgenre2]])</f>
        <v>Modern</v>
      </c>
    </row>
    <row r="231" spans="1:15">
      <c r="A231" s="17">
        <v>0.81100000000000005</v>
      </c>
      <c r="B231" s="21">
        <v>116</v>
      </c>
      <c r="C231" s="16">
        <v>0.79400000000000004</v>
      </c>
      <c r="D231" s="16" t="str">
        <f ca="1">PROPER(Music_Data[[#This Row],[Playlist_genre2]])</f>
        <v>Electronic</v>
      </c>
      <c r="E231" s="17">
        <v>0.86199999999999999</v>
      </c>
      <c r="F231" t="s">
        <v>4395</v>
      </c>
      <c r="G231">
        <v>77</v>
      </c>
      <c r="H231" t="s">
        <v>4206</v>
      </c>
      <c r="I231" t="s">
        <v>4398</v>
      </c>
      <c r="J231" s="22">
        <v>41383</v>
      </c>
      <c r="K231">
        <v>0</v>
      </c>
      <c r="L231">
        <v>6</v>
      </c>
      <c r="M231" s="21">
        <f ca="1">LEFT(Music_Data[[#This Row],[Duration_minutes]],3)/60</f>
        <v>4.1333333333333337</v>
      </c>
      <c r="N231" s="17">
        <v>4.2599999999999999E-2</v>
      </c>
      <c r="O231" s="17" t="str">
        <f ca="1">PROPER(Music_Data[[#This Row],[Playlist_subgenre2]])</f>
        <v>Modern</v>
      </c>
    </row>
    <row r="232" spans="1:15">
      <c r="A232" s="17">
        <v>0.81299999999999994</v>
      </c>
      <c r="B232" s="21">
        <v>125</v>
      </c>
      <c r="C232" s="16">
        <v>0.51300000000000001</v>
      </c>
      <c r="D232" s="16" t="str">
        <f ca="1">PROPER(Music_Data[[#This Row],[Playlist_genre2]])</f>
        <v>Electronic</v>
      </c>
      <c r="E232" s="17">
        <v>0.35499999999999998</v>
      </c>
      <c r="F232" t="s">
        <v>10327</v>
      </c>
      <c r="G232">
        <v>77</v>
      </c>
      <c r="H232" t="s">
        <v>10298</v>
      </c>
      <c r="I232" t="s">
        <v>10330</v>
      </c>
      <c r="J232" s="22">
        <v>45541</v>
      </c>
      <c r="K232">
        <v>1</v>
      </c>
      <c r="L232">
        <v>5</v>
      </c>
      <c r="M232" s="21">
        <f ca="1">LEFT(Music_Data[[#This Row],[Duration_minutes]],3)/60</f>
        <v>2.7333333333333334</v>
      </c>
      <c r="N232" s="17">
        <v>0.28000000000000003</v>
      </c>
      <c r="O232" s="17" t="str">
        <f ca="1">PROPER(Music_Data[[#This Row],[Playlist_subgenre2]])</f>
        <v>Techno</v>
      </c>
    </row>
    <row r="233" spans="1:15">
      <c r="A233" s="17">
        <v>0.65500000000000003</v>
      </c>
      <c r="B233" s="21">
        <v>129</v>
      </c>
      <c r="C233" s="16">
        <v>0.55800000000000005</v>
      </c>
      <c r="D233" s="16" t="str">
        <f ca="1">PROPER(Music_Data[[#This Row],[Playlist_genre2]])</f>
        <v>Electronic</v>
      </c>
      <c r="E233" s="17">
        <v>0.39</v>
      </c>
      <c r="F233" t="s">
        <v>10382</v>
      </c>
      <c r="G233">
        <v>77</v>
      </c>
      <c r="H233" t="s">
        <v>10298</v>
      </c>
      <c r="I233" t="s">
        <v>10385</v>
      </c>
      <c r="J233" s="22">
        <v>45583</v>
      </c>
      <c r="K233">
        <v>1</v>
      </c>
      <c r="L233">
        <v>0</v>
      </c>
      <c r="M233" s="21">
        <f ca="1">LEFT(Music_Data[[#This Row],[Duration_minutes]],3)/60</f>
        <v>2.6</v>
      </c>
      <c r="N233" s="17">
        <v>0.20799999999999999</v>
      </c>
      <c r="O233" s="17" t="str">
        <f ca="1">PROPER(Music_Data[[#This Row],[Playlist_subgenre2]])</f>
        <v>Techno</v>
      </c>
    </row>
    <row r="234" spans="1:15">
      <c r="A234" s="17">
        <v>0.86</v>
      </c>
      <c r="B234" s="21">
        <v>127</v>
      </c>
      <c r="C234" s="16">
        <v>0.60799999999999998</v>
      </c>
      <c r="D234" s="16" t="str">
        <f ca="1">PROPER(Music_Data[[#This Row],[Playlist_genre2]])</f>
        <v>Electronic</v>
      </c>
      <c r="E234" s="17">
        <v>0.437</v>
      </c>
      <c r="F234" t="s">
        <v>4384</v>
      </c>
      <c r="G234">
        <v>77</v>
      </c>
      <c r="H234" t="s">
        <v>4206</v>
      </c>
      <c r="I234" t="s">
        <v>4390</v>
      </c>
      <c r="J234" s="22">
        <v>41082</v>
      </c>
      <c r="K234">
        <v>0</v>
      </c>
      <c r="L234">
        <v>5</v>
      </c>
      <c r="M234" s="21">
        <f ca="1">LEFT(Music_Data[[#This Row],[Duration_minutes]],3)/60</f>
        <v>3.8666666666666667</v>
      </c>
      <c r="N234" s="17">
        <v>9.9099999999999994E-2</v>
      </c>
      <c r="O234" s="17" t="str">
        <f ca="1">PROPER(Music_Data[[#This Row],[Playlist_subgenre2]])</f>
        <v>Modern</v>
      </c>
    </row>
    <row r="235" spans="1:15">
      <c r="A235" s="17">
        <v>0.79700000000000004</v>
      </c>
      <c r="B235" s="21">
        <v>121</v>
      </c>
      <c r="C235" s="16">
        <v>0.84499999999999997</v>
      </c>
      <c r="D235" s="16" t="str">
        <f ca="1">PROPER(Music_Data[[#This Row],[Playlist_genre2]])</f>
        <v>Electronic</v>
      </c>
      <c r="E235" s="17">
        <v>0.42199999999999999</v>
      </c>
      <c r="F235" t="s">
        <v>10334</v>
      </c>
      <c r="G235">
        <v>77</v>
      </c>
      <c r="H235" t="s">
        <v>10298</v>
      </c>
      <c r="I235" t="s">
        <v>10337</v>
      </c>
      <c r="J235" s="22">
        <v>44610</v>
      </c>
      <c r="K235">
        <v>1</v>
      </c>
      <c r="L235">
        <v>1</v>
      </c>
      <c r="M235" s="21">
        <f ca="1">LEFT(Music_Data[[#This Row],[Duration_minutes]],3)/60</f>
        <v>2.5166666666666666</v>
      </c>
      <c r="N235" s="17">
        <v>5.8200000000000002E-2</v>
      </c>
      <c r="O235" s="17" t="str">
        <f ca="1">PROPER(Music_Data[[#This Row],[Playlist_subgenre2]])</f>
        <v>Techno</v>
      </c>
    </row>
    <row r="236" spans="1:15">
      <c r="A236" s="17">
        <v>0.44900000000000001</v>
      </c>
      <c r="B236" s="21">
        <v>114</v>
      </c>
      <c r="C236" s="16">
        <v>0.66900000000000004</v>
      </c>
      <c r="D236" s="16" t="str">
        <f ca="1">PROPER(Music_Data[[#This Row],[Playlist_genre2]])</f>
        <v>Electronic</v>
      </c>
      <c r="E236" s="17">
        <v>0.32700000000000001</v>
      </c>
      <c r="F236" t="s">
        <v>12979</v>
      </c>
      <c r="G236">
        <v>77</v>
      </c>
      <c r="H236" t="s">
        <v>12939</v>
      </c>
      <c r="I236" t="s">
        <v>12985</v>
      </c>
      <c r="J236" s="22">
        <v>41640</v>
      </c>
      <c r="K236">
        <v>0</v>
      </c>
      <c r="L236">
        <v>0</v>
      </c>
      <c r="M236" s="21">
        <f ca="1">LEFT(Music_Data[[#This Row],[Duration_minutes]],3)/60</f>
        <v>3.55</v>
      </c>
      <c r="N236" s="17">
        <v>0.184</v>
      </c>
      <c r="O236" s="17" t="str">
        <f ca="1">PROPER(Music_Data[[#This Row],[Playlist_subgenre2]])</f>
        <v>French</v>
      </c>
    </row>
    <row r="237" spans="1:15">
      <c r="A237" s="17">
        <v>0.51900000000000002</v>
      </c>
      <c r="B237" s="21">
        <v>133</v>
      </c>
      <c r="C237" s="16">
        <v>0.501</v>
      </c>
      <c r="D237" s="16" t="str">
        <f ca="1">PROPER(Music_Data[[#This Row],[Playlist_genre2]])</f>
        <v>Electronic</v>
      </c>
      <c r="E237" s="17">
        <v>0.16800000000000001</v>
      </c>
      <c r="F237" t="s">
        <v>4416</v>
      </c>
      <c r="G237">
        <v>77</v>
      </c>
      <c r="H237" t="s">
        <v>4206</v>
      </c>
      <c r="I237" t="s">
        <v>4420</v>
      </c>
      <c r="J237" s="22">
        <v>42580</v>
      </c>
      <c r="K237">
        <v>0</v>
      </c>
      <c r="L237">
        <v>4</v>
      </c>
      <c r="M237" s="21">
        <f ca="1">LEFT(Music_Data[[#This Row],[Duration_minutes]],3)/60</f>
        <v>3.25</v>
      </c>
      <c r="N237" s="17">
        <v>0.109</v>
      </c>
      <c r="O237" s="17" t="str">
        <f ca="1">PROPER(Music_Data[[#This Row],[Playlist_subgenre2]])</f>
        <v>Modern</v>
      </c>
    </row>
    <row r="238" spans="1:15">
      <c r="A238" s="17">
        <v>0.86</v>
      </c>
      <c r="B238" s="21">
        <v>128</v>
      </c>
      <c r="C238" s="16">
        <v>0.755</v>
      </c>
      <c r="D238" s="16" t="str">
        <f ca="1">PROPER(Music_Data[[#This Row],[Playlist_genre2]])</f>
        <v>Electronic</v>
      </c>
      <c r="E238" s="17">
        <v>0.61799999999999999</v>
      </c>
      <c r="F238" t="s">
        <v>10318</v>
      </c>
      <c r="G238">
        <v>77</v>
      </c>
      <c r="H238" t="s">
        <v>10298</v>
      </c>
      <c r="I238" t="s">
        <v>10321</v>
      </c>
      <c r="J238" s="22">
        <v>45345</v>
      </c>
      <c r="K238">
        <v>0</v>
      </c>
      <c r="L238">
        <v>5</v>
      </c>
      <c r="M238" s="21">
        <f ca="1">LEFT(Music_Data[[#This Row],[Duration_minutes]],3)/60</f>
        <v>2.5333333333333332</v>
      </c>
      <c r="N238" s="17">
        <v>1.44E-2</v>
      </c>
      <c r="O238" s="17" t="str">
        <f ca="1">PROPER(Music_Data[[#This Row],[Playlist_subgenre2]])</f>
        <v>Techno</v>
      </c>
    </row>
    <row r="239" spans="1:15">
      <c r="A239" s="17">
        <v>0.81799999999999995</v>
      </c>
      <c r="B239" s="21">
        <v>125</v>
      </c>
      <c r="C239" s="16">
        <v>0.68700000000000006</v>
      </c>
      <c r="D239" s="16" t="str">
        <f ca="1">PROPER(Music_Data[[#This Row],[Playlist_genre2]])</f>
        <v>Electronic</v>
      </c>
      <c r="E239" s="17">
        <v>0.88600000000000001</v>
      </c>
      <c r="F239" t="s">
        <v>5293</v>
      </c>
      <c r="G239">
        <v>76</v>
      </c>
      <c r="H239" t="s">
        <v>10298</v>
      </c>
      <c r="I239" t="s">
        <v>5297</v>
      </c>
      <c r="J239" s="22">
        <v>44729</v>
      </c>
      <c r="K239">
        <v>1</v>
      </c>
      <c r="L239">
        <v>0</v>
      </c>
      <c r="M239" s="21">
        <f ca="1">LEFT(Music_Data[[#This Row],[Duration_minutes]],3)/60</f>
        <v>2.75</v>
      </c>
      <c r="N239" s="17">
        <v>1.12E-2</v>
      </c>
      <c r="O239" s="17" t="str">
        <f ca="1">PROPER(Music_Data[[#This Row],[Playlist_subgenre2]])</f>
        <v>Techno</v>
      </c>
    </row>
    <row r="240" spans="1:15">
      <c r="A240" s="17">
        <v>0.91500000000000004</v>
      </c>
      <c r="B240" s="21">
        <v>126</v>
      </c>
      <c r="C240" s="16">
        <v>0.54400000000000004</v>
      </c>
      <c r="D240" s="16" t="str">
        <f ca="1">PROPER(Music_Data[[#This Row],[Playlist_genre2]])</f>
        <v>Electronic</v>
      </c>
      <c r="E240" s="17">
        <v>0.51</v>
      </c>
      <c r="F240" t="s">
        <v>4495</v>
      </c>
      <c r="G240">
        <v>76</v>
      </c>
      <c r="H240" t="s">
        <v>4206</v>
      </c>
      <c r="I240" t="s">
        <v>4501</v>
      </c>
      <c r="J240" s="22">
        <v>41943</v>
      </c>
      <c r="K240">
        <v>1</v>
      </c>
      <c r="L240">
        <v>8</v>
      </c>
      <c r="M240" s="21">
        <f ca="1">LEFT(Music_Data[[#This Row],[Duration_minutes]],3)/60</f>
        <v>3.0666666666666669</v>
      </c>
      <c r="N240" s="17">
        <v>0.129</v>
      </c>
      <c r="O240" s="17" t="str">
        <f ca="1">PROPER(Music_Data[[#This Row],[Playlist_subgenre2]])</f>
        <v>Modern</v>
      </c>
    </row>
    <row r="241" spans="1:15">
      <c r="A241" s="17">
        <v>0.86899999999999999</v>
      </c>
      <c r="B241" s="21">
        <v>127</v>
      </c>
      <c r="C241" s="16">
        <v>0.61599999999999999</v>
      </c>
      <c r="D241" s="16" t="str">
        <f ca="1">PROPER(Music_Data[[#This Row],[Playlist_genre2]])</f>
        <v>Electronic</v>
      </c>
      <c r="E241" s="17">
        <v>0.47299999999999998</v>
      </c>
      <c r="F241" t="s">
        <v>4486</v>
      </c>
      <c r="G241">
        <v>76</v>
      </c>
      <c r="H241" t="s">
        <v>4206</v>
      </c>
      <c r="I241" t="s">
        <v>4492</v>
      </c>
      <c r="J241" s="22">
        <v>40506</v>
      </c>
      <c r="K241">
        <v>1</v>
      </c>
      <c r="L241">
        <v>0</v>
      </c>
      <c r="M241" s="21">
        <f ca="1">LEFT(Music_Data[[#This Row],[Duration_minutes]],3)/60</f>
        <v>3.9</v>
      </c>
      <c r="N241" s="17">
        <v>2.8299999999999999E-2</v>
      </c>
      <c r="O241" s="17" t="str">
        <f ca="1">PROPER(Music_Data[[#This Row],[Playlist_subgenre2]])</f>
        <v>Modern</v>
      </c>
    </row>
    <row r="242" spans="1:15">
      <c r="A242" s="17">
        <v>0.69</v>
      </c>
      <c r="B242" s="21">
        <v>125</v>
      </c>
      <c r="C242" s="16">
        <v>0.84699999999999998</v>
      </c>
      <c r="D242" s="16" t="str">
        <f ca="1">PROPER(Music_Data[[#This Row],[Playlist_genre2]])</f>
        <v>Electronic</v>
      </c>
      <c r="E242" s="17">
        <v>0.69199999999999995</v>
      </c>
      <c r="F242" t="s">
        <v>10342</v>
      </c>
      <c r="G242">
        <v>76</v>
      </c>
      <c r="H242" t="s">
        <v>10298</v>
      </c>
      <c r="I242" t="s">
        <v>10345</v>
      </c>
      <c r="J242" s="22">
        <v>44652</v>
      </c>
      <c r="K242">
        <v>0</v>
      </c>
      <c r="L242">
        <v>1</v>
      </c>
      <c r="M242" s="21">
        <f ca="1">LEFT(Music_Data[[#This Row],[Duration_minutes]],3)/60</f>
        <v>3.1</v>
      </c>
      <c r="N242" s="17">
        <v>1.2699999999999999E-2</v>
      </c>
      <c r="O242" s="17" t="str">
        <f ca="1">PROPER(Music_Data[[#This Row],[Playlist_subgenre2]])</f>
        <v>Techno</v>
      </c>
    </row>
    <row r="243" spans="1:15">
      <c r="A243" s="17">
        <v>0.71699999999999997</v>
      </c>
      <c r="B243" s="21">
        <v>121</v>
      </c>
      <c r="C243" s="16">
        <v>0.79300000000000004</v>
      </c>
      <c r="D243" s="16" t="str">
        <f ca="1">PROPER(Music_Data[[#This Row],[Playlist_genre2]])</f>
        <v>Electronic</v>
      </c>
      <c r="E243" s="17">
        <v>0.46600000000000003</v>
      </c>
      <c r="F243" t="s">
        <v>4425</v>
      </c>
      <c r="G243">
        <v>76</v>
      </c>
      <c r="H243" t="s">
        <v>4206</v>
      </c>
      <c r="I243" t="s">
        <v>4431</v>
      </c>
      <c r="J243" s="22">
        <v>42678</v>
      </c>
      <c r="K243">
        <v>0</v>
      </c>
      <c r="L243">
        <v>0</v>
      </c>
      <c r="M243" s="21">
        <f ca="1">LEFT(Music_Data[[#This Row],[Duration_minutes]],3)/60</f>
        <v>3.25</v>
      </c>
      <c r="N243" s="17">
        <v>9.2700000000000005E-2</v>
      </c>
      <c r="O243" s="17" t="str">
        <f ca="1">PROPER(Music_Data[[#This Row],[Playlist_subgenre2]])</f>
        <v>Modern</v>
      </c>
    </row>
    <row r="244" spans="1:15">
      <c r="A244" s="17">
        <v>0.71699999999999997</v>
      </c>
      <c r="B244" s="21">
        <v>121</v>
      </c>
      <c r="C244" s="16">
        <v>0.79300000000000004</v>
      </c>
      <c r="D244" s="16" t="str">
        <f ca="1">PROPER(Music_Data[[#This Row],[Playlist_genre2]])</f>
        <v>Electronic</v>
      </c>
      <c r="E244" s="17">
        <v>0.46600000000000003</v>
      </c>
      <c r="F244" t="s">
        <v>4425</v>
      </c>
      <c r="G244">
        <v>76</v>
      </c>
      <c r="H244" t="s">
        <v>10265</v>
      </c>
      <c r="I244" t="s">
        <v>4431</v>
      </c>
      <c r="J244" s="22">
        <v>42678</v>
      </c>
      <c r="K244">
        <v>0</v>
      </c>
      <c r="L244">
        <v>0</v>
      </c>
      <c r="M244" s="21">
        <f ca="1">LEFT(Music_Data[[#This Row],[Duration_minutes]],3)/60</f>
        <v>3.25</v>
      </c>
      <c r="N244" s="17">
        <v>9.2700000000000005E-2</v>
      </c>
      <c r="O244" s="17" t="str">
        <f ca="1">PROPER(Music_Data[[#This Row],[Playlist_subgenre2]])</f>
        <v>Tropical</v>
      </c>
    </row>
    <row r="245" spans="1:15">
      <c r="A245" s="17">
        <v>0.77700000000000002</v>
      </c>
      <c r="B245" s="21">
        <v>108</v>
      </c>
      <c r="C245" s="16">
        <v>0.57999999999999996</v>
      </c>
      <c r="D245" s="16" t="str">
        <f ca="1">PROPER(Music_Data[[#This Row],[Playlist_genre2]])</f>
        <v>Electronic</v>
      </c>
      <c r="E245" s="17">
        <v>0.58899999999999997</v>
      </c>
      <c r="F245" t="s">
        <v>5266</v>
      </c>
      <c r="G245">
        <v>76</v>
      </c>
      <c r="H245" t="s">
        <v>10265</v>
      </c>
      <c r="I245" t="s">
        <v>5270</v>
      </c>
      <c r="J245" s="22">
        <v>45310</v>
      </c>
      <c r="K245">
        <v>1</v>
      </c>
      <c r="L245">
        <v>3</v>
      </c>
      <c r="M245" s="21">
        <f ca="1">LEFT(Music_Data[[#This Row],[Duration_minutes]],3)/60</f>
        <v>2.9666666666666668</v>
      </c>
      <c r="N245" s="17">
        <v>0.104</v>
      </c>
      <c r="O245" s="17" t="str">
        <f ca="1">PROPER(Music_Data[[#This Row],[Playlist_subgenre2]])</f>
        <v>Tropical</v>
      </c>
    </row>
    <row r="246" spans="1:15">
      <c r="A246" s="17">
        <v>0.77700000000000002</v>
      </c>
      <c r="B246" s="21">
        <v>108</v>
      </c>
      <c r="C246" s="16">
        <v>0.57999999999999996</v>
      </c>
      <c r="D246" s="16" t="str">
        <f ca="1">PROPER(Music_Data[[#This Row],[Playlist_genre2]])</f>
        <v>Electronic</v>
      </c>
      <c r="E246" s="17">
        <v>0.58899999999999997</v>
      </c>
      <c r="F246" t="s">
        <v>5266</v>
      </c>
      <c r="G246">
        <v>76</v>
      </c>
      <c r="H246" t="s">
        <v>10298</v>
      </c>
      <c r="I246" t="s">
        <v>5270</v>
      </c>
      <c r="J246" s="22">
        <v>45310</v>
      </c>
      <c r="K246">
        <v>1</v>
      </c>
      <c r="L246">
        <v>3</v>
      </c>
      <c r="M246" s="21">
        <f ca="1">LEFT(Music_Data[[#This Row],[Duration_minutes]],3)/60</f>
        <v>2.9666666666666668</v>
      </c>
      <c r="N246" s="17">
        <v>0.104</v>
      </c>
      <c r="O246" s="17" t="str">
        <f ca="1">PROPER(Music_Data[[#This Row],[Playlist_subgenre2]])</f>
        <v>Techno</v>
      </c>
    </row>
    <row r="247" spans="1:15">
      <c r="A247" s="17">
        <v>0.68500000000000005</v>
      </c>
      <c r="B247" s="21">
        <v>130</v>
      </c>
      <c r="C247" s="16">
        <v>0.77200000000000002</v>
      </c>
      <c r="D247" s="16" t="str">
        <f ca="1">PROPER(Music_Data[[#This Row],[Playlist_genre2]])</f>
        <v>Electronic</v>
      </c>
      <c r="E247" s="17">
        <v>0.501</v>
      </c>
      <c r="F247" t="s">
        <v>4434</v>
      </c>
      <c r="G247">
        <v>76</v>
      </c>
      <c r="H247" t="s">
        <v>4206</v>
      </c>
      <c r="I247" t="s">
        <v>4441</v>
      </c>
      <c r="J247" s="22">
        <v>41275</v>
      </c>
      <c r="K247">
        <v>1</v>
      </c>
      <c r="L247">
        <v>5</v>
      </c>
      <c r="M247" s="21">
        <f ca="1">LEFT(Music_Data[[#This Row],[Duration_minutes]],3)/60</f>
        <v>4.7166666666666668</v>
      </c>
      <c r="N247" s="17">
        <v>1.9E-2</v>
      </c>
      <c r="O247" s="17" t="str">
        <f ca="1">PROPER(Music_Data[[#This Row],[Playlist_subgenre2]])</f>
        <v>Modern</v>
      </c>
    </row>
    <row r="248" spans="1:15">
      <c r="A248" s="17">
        <v>0.74099999999999999</v>
      </c>
      <c r="B248" s="21">
        <v>119</v>
      </c>
      <c r="C248" s="16">
        <v>0.72</v>
      </c>
      <c r="D248" s="16" t="str">
        <f ca="1">PROPER(Music_Data[[#This Row],[Playlist_genre2]])</f>
        <v>Electronic</v>
      </c>
      <c r="E248" s="17">
        <v>0.35699999999999998</v>
      </c>
      <c r="F248" t="s">
        <v>4504</v>
      </c>
      <c r="G248">
        <v>75</v>
      </c>
      <c r="H248" t="s">
        <v>4206</v>
      </c>
      <c r="I248" t="s">
        <v>4510</v>
      </c>
      <c r="J248" s="22">
        <v>41950</v>
      </c>
      <c r="K248">
        <v>0</v>
      </c>
      <c r="L248">
        <v>10</v>
      </c>
      <c r="M248" s="21">
        <f ca="1">LEFT(Music_Data[[#This Row],[Duration_minutes]],3)/60</f>
        <v>3.3</v>
      </c>
      <c r="N248" s="17">
        <v>0.10100000000000001</v>
      </c>
      <c r="O248" s="17" t="str">
        <f ca="1">PROPER(Music_Data[[#This Row],[Playlist_subgenre2]])</f>
        <v>Modern</v>
      </c>
    </row>
    <row r="249" spans="1:15">
      <c r="A249" s="17">
        <v>0.72199999999999998</v>
      </c>
      <c r="B249" s="21">
        <v>121</v>
      </c>
      <c r="C249" s="16">
        <v>0.58699999999999997</v>
      </c>
      <c r="D249" s="16" t="str">
        <f ca="1">PROPER(Music_Data[[#This Row],[Playlist_genre2]])</f>
        <v>Electronic</v>
      </c>
      <c r="E249" s="17">
        <v>0.46600000000000003</v>
      </c>
      <c r="F249" t="s">
        <v>10364</v>
      </c>
      <c r="G249">
        <v>75</v>
      </c>
      <c r="H249" t="s">
        <v>10298</v>
      </c>
      <c r="I249" t="s">
        <v>10371</v>
      </c>
      <c r="J249" s="22">
        <v>44113</v>
      </c>
      <c r="K249">
        <v>0</v>
      </c>
      <c r="L249">
        <v>2</v>
      </c>
      <c r="M249" s="21">
        <f ca="1">LEFT(Music_Data[[#This Row],[Duration_minutes]],3)/60</f>
        <v>3</v>
      </c>
      <c r="N249" s="17">
        <v>7.54E-4</v>
      </c>
      <c r="O249" s="17" t="str">
        <f ca="1">PROPER(Music_Data[[#This Row],[Playlist_subgenre2]])</f>
        <v>Techno</v>
      </c>
    </row>
    <row r="250" spans="1:15">
      <c r="A250" s="17">
        <v>0.89600000000000002</v>
      </c>
      <c r="B250" s="21">
        <v>101</v>
      </c>
      <c r="C250" s="16">
        <v>0.67</v>
      </c>
      <c r="D250" s="16" t="str">
        <f ca="1">PROPER(Music_Data[[#This Row],[Playlist_genre2]])</f>
        <v>Electronic</v>
      </c>
      <c r="E250" s="17">
        <v>0.40300000000000002</v>
      </c>
      <c r="F250" t="s">
        <v>10349</v>
      </c>
      <c r="G250">
        <v>75</v>
      </c>
      <c r="H250" t="s">
        <v>10298</v>
      </c>
      <c r="I250" t="s">
        <v>7209</v>
      </c>
      <c r="J250" s="22">
        <v>44323</v>
      </c>
      <c r="K250">
        <v>1</v>
      </c>
      <c r="L250">
        <v>1</v>
      </c>
      <c r="M250" s="21">
        <f ca="1">LEFT(Music_Data[[#This Row],[Duration_minutes]],3)/60</f>
        <v>2.6666666666666665</v>
      </c>
      <c r="N250" s="17">
        <v>3.4200000000000001E-2</v>
      </c>
      <c r="O250" s="17" t="str">
        <f ca="1">PROPER(Music_Data[[#This Row],[Playlist_subgenre2]])</f>
        <v>Techno</v>
      </c>
    </row>
    <row r="251" spans="1:15">
      <c r="A251" s="17">
        <v>0.57699999999999996</v>
      </c>
      <c r="B251" s="21">
        <v>119</v>
      </c>
      <c r="C251" s="16">
        <v>0.79500000000000004</v>
      </c>
      <c r="D251" s="16" t="str">
        <f ca="1">PROPER(Music_Data[[#This Row],[Playlist_genre2]])</f>
        <v>Electronic</v>
      </c>
      <c r="E251" s="17">
        <v>0.20599999999999999</v>
      </c>
      <c r="F251" t="s">
        <v>13198</v>
      </c>
      <c r="G251">
        <v>75</v>
      </c>
      <c r="H251" t="s">
        <v>12536</v>
      </c>
      <c r="I251" t="s">
        <v>12545</v>
      </c>
      <c r="J251" s="22">
        <v>45450</v>
      </c>
      <c r="K251">
        <v>0</v>
      </c>
      <c r="L251">
        <v>1</v>
      </c>
      <c r="M251" s="21">
        <f ca="1">LEFT(Music_Data[[#This Row],[Duration_minutes]],3)/60</f>
        <v>4.1333333333333337</v>
      </c>
      <c r="N251" s="17">
        <v>2.63E-3</v>
      </c>
      <c r="O251" s="17" t="str">
        <f ca="1">PROPER(Music_Data[[#This Row],[Playlist_subgenre2]])</f>
        <v>Afro House</v>
      </c>
    </row>
    <row r="252" spans="1:15">
      <c r="A252" s="17">
        <v>0.51</v>
      </c>
      <c r="B252" s="21">
        <v>119</v>
      </c>
      <c r="C252" s="16">
        <v>0.82899999999999996</v>
      </c>
      <c r="D252" s="16" t="str">
        <f ca="1">PROPER(Music_Data[[#This Row],[Playlist_genre2]])</f>
        <v>Electronic</v>
      </c>
      <c r="E252" s="17">
        <v>0.45</v>
      </c>
      <c r="F252" t="s">
        <v>4475</v>
      </c>
      <c r="G252">
        <v>75</v>
      </c>
      <c r="H252" t="s">
        <v>4206</v>
      </c>
      <c r="I252" t="s">
        <v>4481</v>
      </c>
      <c r="J252" s="22">
        <v>41677</v>
      </c>
      <c r="K252">
        <v>0</v>
      </c>
      <c r="L252">
        <v>5</v>
      </c>
      <c r="M252" s="21">
        <f ca="1">LEFT(Music_Data[[#This Row],[Duration_minutes]],3)/60</f>
        <v>3.4666666666666668</v>
      </c>
      <c r="N252" s="17">
        <v>8.2100000000000003E-3</v>
      </c>
      <c r="O252" s="17" t="str">
        <f ca="1">PROPER(Music_Data[[#This Row],[Playlist_subgenre2]])</f>
        <v>Modern</v>
      </c>
    </row>
    <row r="253" spans="1:15">
      <c r="A253" s="17">
        <v>0.876</v>
      </c>
      <c r="B253" s="21">
        <v>129</v>
      </c>
      <c r="C253" s="16">
        <v>0.67100000000000004</v>
      </c>
      <c r="D253" s="16" t="str">
        <f ca="1">PROPER(Music_Data[[#This Row],[Playlist_genre2]])</f>
        <v>Electronic</v>
      </c>
      <c r="E253" s="17">
        <v>0.96399999999999997</v>
      </c>
      <c r="F253" t="s">
        <v>10356</v>
      </c>
      <c r="G253">
        <v>75</v>
      </c>
      <c r="H253" t="s">
        <v>10298</v>
      </c>
      <c r="I253" t="s">
        <v>10362</v>
      </c>
      <c r="J253" s="22">
        <v>45092</v>
      </c>
      <c r="K253">
        <v>0</v>
      </c>
      <c r="L253">
        <v>7</v>
      </c>
      <c r="M253" s="21">
        <f ca="1">LEFT(Music_Data[[#This Row],[Duration_minutes]],3)/60</f>
        <v>3.85</v>
      </c>
      <c r="N253" s="17">
        <v>0.12</v>
      </c>
      <c r="O253" s="17" t="str">
        <f ca="1">PROPER(Music_Data[[#This Row],[Playlist_subgenre2]])</f>
        <v>Techno</v>
      </c>
    </row>
    <row r="254" spans="1:15">
      <c r="A254" s="17">
        <v>0.76600000000000001</v>
      </c>
      <c r="B254" s="21">
        <v>127</v>
      </c>
      <c r="C254" s="16">
        <v>0.73499999999999999</v>
      </c>
      <c r="D254" s="16" t="str">
        <f ca="1">PROPER(Music_Data[[#This Row],[Playlist_genre2]])</f>
        <v>Electronic</v>
      </c>
      <c r="E254" s="17">
        <v>0.6</v>
      </c>
      <c r="F254" t="s">
        <v>4463</v>
      </c>
      <c r="G254">
        <v>75</v>
      </c>
      <c r="H254" t="s">
        <v>4206</v>
      </c>
      <c r="I254" t="s">
        <v>4469</v>
      </c>
      <c r="J254" s="22">
        <v>40866</v>
      </c>
      <c r="K254">
        <v>1</v>
      </c>
      <c r="L254">
        <v>1</v>
      </c>
      <c r="M254" s="21">
        <f ca="1">LEFT(Music_Data[[#This Row],[Duration_minutes]],3)/60</f>
        <v>3.5833333333333335</v>
      </c>
      <c r="N254" s="17">
        <v>2.5000000000000001E-2</v>
      </c>
      <c r="O254" s="17" t="str">
        <f ca="1">PROPER(Music_Data[[#This Row],[Playlist_subgenre2]])</f>
        <v>Modern</v>
      </c>
    </row>
    <row r="255" spans="1:15">
      <c r="A255" s="17">
        <v>0.59299999999999997</v>
      </c>
      <c r="B255" s="21">
        <v>119</v>
      </c>
      <c r="C255" s="16">
        <v>0.79</v>
      </c>
      <c r="D255" s="16" t="str">
        <f ca="1">PROPER(Music_Data[[#This Row],[Playlist_genre2]])</f>
        <v>Electronic</v>
      </c>
      <c r="E255" s="17">
        <v>0.72</v>
      </c>
      <c r="F255" t="s">
        <v>4453</v>
      </c>
      <c r="G255">
        <v>75</v>
      </c>
      <c r="H255" t="s">
        <v>4206</v>
      </c>
      <c r="I255" t="s">
        <v>4459</v>
      </c>
      <c r="J255" s="22">
        <v>40179</v>
      </c>
      <c r="K255">
        <v>0</v>
      </c>
      <c r="L255">
        <v>1</v>
      </c>
      <c r="M255" s="21">
        <f ca="1">LEFT(Music_Data[[#This Row],[Duration_minutes]],3)/60</f>
        <v>3.4333333333333331</v>
      </c>
      <c r="N255" s="17">
        <v>9.8299999999999998E-2</v>
      </c>
      <c r="O255" s="17" t="str">
        <f ca="1">PROPER(Music_Data[[#This Row],[Playlist_subgenre2]])</f>
        <v>Modern</v>
      </c>
    </row>
    <row r="256" spans="1:15">
      <c r="A256" s="17">
        <v>0.59299999999999997</v>
      </c>
      <c r="B256" s="21">
        <v>119</v>
      </c>
      <c r="C256" s="16">
        <v>0.79</v>
      </c>
      <c r="D256" s="16" t="str">
        <f ca="1">PROPER(Music_Data[[#This Row],[Playlist_genre2]])</f>
        <v>Electronic</v>
      </c>
      <c r="E256" s="17">
        <v>0.72</v>
      </c>
      <c r="F256" t="s">
        <v>4453</v>
      </c>
      <c r="G256">
        <v>75</v>
      </c>
      <c r="H256" t="s">
        <v>12939</v>
      </c>
      <c r="I256" t="s">
        <v>4459</v>
      </c>
      <c r="J256" s="22">
        <v>40179</v>
      </c>
      <c r="K256">
        <v>0</v>
      </c>
      <c r="L256">
        <v>1</v>
      </c>
      <c r="M256" s="21">
        <f ca="1">LEFT(Music_Data[[#This Row],[Duration_minutes]],3)/60</f>
        <v>3.4333333333333331</v>
      </c>
      <c r="N256" s="17">
        <v>9.8299999999999998E-2</v>
      </c>
      <c r="O256" s="17" t="str">
        <f ca="1">PROPER(Music_Data[[#This Row],[Playlist_subgenre2]])</f>
        <v>French</v>
      </c>
    </row>
    <row r="257" spans="1:15">
      <c r="A257" s="17">
        <v>0.627</v>
      </c>
      <c r="B257" s="21">
        <v>118</v>
      </c>
      <c r="C257" s="16">
        <v>0.78800000000000003</v>
      </c>
      <c r="D257" s="16" t="str">
        <f ca="1">PROPER(Music_Data[[#This Row],[Playlist_genre2]])</f>
        <v>Electronic</v>
      </c>
      <c r="E257" s="17">
        <v>0.90900000000000003</v>
      </c>
      <c r="F257" t="s">
        <v>13037</v>
      </c>
      <c r="G257">
        <v>74</v>
      </c>
      <c r="H257" t="s">
        <v>12939</v>
      </c>
      <c r="I257" t="s">
        <v>13040</v>
      </c>
      <c r="J257" s="22">
        <v>45415</v>
      </c>
      <c r="K257">
        <v>0</v>
      </c>
      <c r="L257">
        <v>0</v>
      </c>
      <c r="M257" s="21">
        <f ca="1">LEFT(Music_Data[[#This Row],[Duration_minutes]],3)/60</f>
        <v>2.75</v>
      </c>
      <c r="N257" s="17">
        <v>0.69299999999999995</v>
      </c>
      <c r="O257" s="17" t="str">
        <f ca="1">PROPER(Music_Data[[#This Row],[Playlist_subgenre2]])</f>
        <v>French</v>
      </c>
    </row>
    <row r="258" spans="1:15">
      <c r="A258" s="17">
        <v>0.64100000000000001</v>
      </c>
      <c r="B258" s="21">
        <v>141</v>
      </c>
      <c r="C258" s="16">
        <v>0.52900000000000003</v>
      </c>
      <c r="D258" s="16" t="str">
        <f ca="1">PROPER(Music_Data[[#This Row],[Playlist_genre2]])</f>
        <v>Electronic</v>
      </c>
      <c r="E258" s="17">
        <v>8.8999999999999996E-2</v>
      </c>
      <c r="F258" t="s">
        <v>12683</v>
      </c>
      <c r="G258">
        <v>74</v>
      </c>
      <c r="H258" t="s">
        <v>12652</v>
      </c>
      <c r="I258" t="s">
        <v>12689</v>
      </c>
      <c r="J258" s="22">
        <v>43945</v>
      </c>
      <c r="K258">
        <v>1</v>
      </c>
      <c r="L258">
        <v>2</v>
      </c>
      <c r="M258" s="21">
        <f ca="1">LEFT(Music_Data[[#This Row],[Duration_minutes]],3)/60</f>
        <v>4.6166666666666663</v>
      </c>
      <c r="N258" s="17">
        <v>7.1099999999999997E-2</v>
      </c>
      <c r="O258" s="17" t="str">
        <f ca="1">PROPER(Music_Data[[#This Row],[Playlist_subgenre2]])</f>
        <v>Vaporwave</v>
      </c>
    </row>
    <row r="259" spans="1:15">
      <c r="A259" s="17">
        <v>0.69699999999999995</v>
      </c>
      <c r="B259" s="21">
        <v>122</v>
      </c>
      <c r="C259" s="16">
        <v>0.61299999999999999</v>
      </c>
      <c r="D259" s="16" t="str">
        <f ca="1">PROPER(Music_Data[[#This Row],[Playlist_genre2]])</f>
        <v>Electronic</v>
      </c>
      <c r="E259" s="17">
        <v>0.47599999999999998</v>
      </c>
      <c r="F259" t="s">
        <v>4513</v>
      </c>
      <c r="G259">
        <v>74</v>
      </c>
      <c r="H259" t="s">
        <v>4206</v>
      </c>
      <c r="I259" t="s">
        <v>4519</v>
      </c>
      <c r="J259" s="22">
        <v>36962</v>
      </c>
      <c r="K259">
        <v>1</v>
      </c>
      <c r="L259">
        <v>2</v>
      </c>
      <c r="M259" s="21">
        <f ca="1">LEFT(Music_Data[[#This Row],[Duration_minutes]],3)/60</f>
        <v>5.333333333333333</v>
      </c>
      <c r="N259" s="17">
        <v>1.9400000000000001E-2</v>
      </c>
      <c r="O259" s="17" t="str">
        <f ca="1">PROPER(Music_Data[[#This Row],[Playlist_subgenre2]])</f>
        <v>Modern</v>
      </c>
    </row>
    <row r="260" spans="1:15">
      <c r="A260" s="17">
        <v>0.79300000000000004</v>
      </c>
      <c r="B260" s="21">
        <v>870</v>
      </c>
      <c r="C260" s="16">
        <v>0.54500000000000004</v>
      </c>
      <c r="D260" s="16" t="str">
        <f ca="1">PROPER(Music_Data[[#This Row],[Playlist_genre2]])</f>
        <v>Electronic</v>
      </c>
      <c r="E260" s="17">
        <v>0.41099999999999998</v>
      </c>
      <c r="F260" t="s">
        <v>10398</v>
      </c>
      <c r="G260">
        <v>74</v>
      </c>
      <c r="H260" t="s">
        <v>10298</v>
      </c>
      <c r="I260" t="s">
        <v>10401</v>
      </c>
      <c r="J260" s="22">
        <v>45303</v>
      </c>
      <c r="K260">
        <v>0</v>
      </c>
      <c r="L260">
        <v>0</v>
      </c>
      <c r="M260" s="21">
        <f ca="1">LEFT(Music_Data[[#This Row],[Duration_minutes]],3)/60</f>
        <v>3.0666666666666669</v>
      </c>
      <c r="N260" s="17">
        <v>0.191</v>
      </c>
      <c r="O260" s="17" t="str">
        <f ca="1">PROPER(Music_Data[[#This Row],[Playlist_subgenre2]])</f>
        <v>Techno</v>
      </c>
    </row>
    <row r="261" spans="1:15">
      <c r="A261" s="17">
        <v>0.80500000000000005</v>
      </c>
      <c r="B261" s="21">
        <v>126</v>
      </c>
      <c r="C261" s="16">
        <v>0.50600000000000001</v>
      </c>
      <c r="D261" s="16" t="str">
        <f ca="1">PROPER(Music_Data[[#This Row],[Playlist_genre2]])</f>
        <v>Electronic</v>
      </c>
      <c r="E261" s="17">
        <v>0.38300000000000001</v>
      </c>
      <c r="F261" t="s">
        <v>4555</v>
      </c>
      <c r="G261">
        <v>74</v>
      </c>
      <c r="H261" t="s">
        <v>4206</v>
      </c>
      <c r="I261" t="s">
        <v>4561</v>
      </c>
      <c r="J261" s="22">
        <v>42160</v>
      </c>
      <c r="K261">
        <v>1</v>
      </c>
      <c r="L261">
        <v>1</v>
      </c>
      <c r="M261" s="21">
        <f ca="1">LEFT(Music_Data[[#This Row],[Duration_minutes]],3)/60</f>
        <v>3.7833333333333332</v>
      </c>
      <c r="N261" s="17">
        <v>7.11E-3</v>
      </c>
      <c r="O261" s="17" t="str">
        <f ca="1">PROPER(Music_Data[[#This Row],[Playlist_subgenre2]])</f>
        <v>Modern</v>
      </c>
    </row>
    <row r="262" spans="1:15">
      <c r="A262" s="17">
        <v>0.85199999999999998</v>
      </c>
      <c r="B262" s="21">
        <v>119</v>
      </c>
      <c r="C262" s="16">
        <v>0.77900000000000003</v>
      </c>
      <c r="D262" s="16" t="str">
        <f ca="1">PROPER(Music_Data[[#This Row],[Playlist_genre2]])</f>
        <v>Electronic</v>
      </c>
      <c r="E262" s="17">
        <v>0.60099999999999998</v>
      </c>
      <c r="F262" t="s">
        <v>13021</v>
      </c>
      <c r="G262">
        <v>74</v>
      </c>
      <c r="H262" t="s">
        <v>12939</v>
      </c>
      <c r="I262" t="s">
        <v>13027</v>
      </c>
      <c r="J262" s="22">
        <v>42244</v>
      </c>
      <c r="K262">
        <v>1</v>
      </c>
      <c r="L262">
        <v>2</v>
      </c>
      <c r="M262" s="21">
        <f ca="1">LEFT(Music_Data[[#This Row],[Duration_minutes]],3)/60</f>
        <v>3.95</v>
      </c>
      <c r="N262" s="17">
        <v>0.23499999999999999</v>
      </c>
      <c r="O262" s="17" t="str">
        <f ca="1">PROPER(Music_Data[[#This Row],[Playlist_subgenre2]])</f>
        <v>French</v>
      </c>
    </row>
    <row r="263" spans="1:15">
      <c r="A263" s="17">
        <v>0.255</v>
      </c>
      <c r="B263" s="21">
        <v>959</v>
      </c>
      <c r="C263" s="16">
        <v>0.375</v>
      </c>
      <c r="D263" s="16" t="str">
        <f ca="1">PROPER(Music_Data[[#This Row],[Playlist_genre2]])</f>
        <v>Electronic</v>
      </c>
      <c r="E263" s="17">
        <v>0.33100000000000002</v>
      </c>
      <c r="F263" t="s">
        <v>12979</v>
      </c>
      <c r="G263">
        <v>74</v>
      </c>
      <c r="H263" t="s">
        <v>12939</v>
      </c>
      <c r="I263" t="s">
        <v>12991</v>
      </c>
      <c r="J263" s="22">
        <v>41640</v>
      </c>
      <c r="K263">
        <v>0</v>
      </c>
      <c r="L263">
        <v>10</v>
      </c>
      <c r="M263" s="21">
        <f ca="1">LEFT(Music_Data[[#This Row],[Duration_minutes]],3)/60</f>
        <v>5.2666666666666666</v>
      </c>
      <c r="N263" s="17">
        <v>0.81499999999999995</v>
      </c>
      <c r="O263" s="17" t="str">
        <f ca="1">PROPER(Music_Data[[#This Row],[Playlist_subgenre2]])</f>
        <v>French</v>
      </c>
    </row>
    <row r="264" spans="1:15">
      <c r="A264" s="17">
        <v>0.88600000000000001</v>
      </c>
      <c r="B264" s="21">
        <v>120</v>
      </c>
      <c r="C264" s="16">
        <v>0.65500000000000003</v>
      </c>
      <c r="D264" s="16" t="str">
        <f ca="1">PROPER(Music_Data[[#This Row],[Playlist_genre2]])</f>
        <v>Electronic</v>
      </c>
      <c r="E264" s="17">
        <v>0.77800000000000002</v>
      </c>
      <c r="F264" t="s">
        <v>10374</v>
      </c>
      <c r="G264">
        <v>74</v>
      </c>
      <c r="H264" t="s">
        <v>10298</v>
      </c>
      <c r="I264" t="s">
        <v>10377</v>
      </c>
      <c r="J264" s="22">
        <v>45604</v>
      </c>
      <c r="K264">
        <v>0</v>
      </c>
      <c r="L264">
        <v>10</v>
      </c>
      <c r="M264" s="21">
        <f ca="1">LEFT(Music_Data[[#This Row],[Duration_minutes]],3)/60</f>
        <v>3.3166666666666669</v>
      </c>
      <c r="N264" s="17">
        <v>6.6000000000000003E-2</v>
      </c>
      <c r="O264" s="17" t="str">
        <f ca="1">PROPER(Music_Data[[#This Row],[Playlist_subgenre2]])</f>
        <v>Techno</v>
      </c>
    </row>
    <row r="265" spans="1:15">
      <c r="A265" s="17">
        <v>0.86099999999999999</v>
      </c>
      <c r="B265" s="21">
        <v>117</v>
      </c>
      <c r="C265" s="16">
        <v>0.73</v>
      </c>
      <c r="D265" s="16" t="str">
        <f ca="1">PROPER(Music_Data[[#This Row],[Playlist_genre2]])</f>
        <v>Electronic</v>
      </c>
      <c r="E265" s="17">
        <v>0.70399999999999996</v>
      </c>
      <c r="F265" t="s">
        <v>4535</v>
      </c>
      <c r="G265">
        <v>74</v>
      </c>
      <c r="H265" t="s">
        <v>4206</v>
      </c>
      <c r="I265" t="s">
        <v>4542</v>
      </c>
      <c r="J265" s="22">
        <v>43413</v>
      </c>
      <c r="K265">
        <v>1</v>
      </c>
      <c r="L265">
        <v>1</v>
      </c>
      <c r="M265" s="21">
        <f ca="1">LEFT(Music_Data[[#This Row],[Duration_minutes]],3)/60</f>
        <v>3.2666666666666666</v>
      </c>
      <c r="N265" s="17">
        <v>0.39</v>
      </c>
      <c r="O265" s="17" t="str">
        <f ca="1">PROPER(Music_Data[[#This Row],[Playlist_subgenre2]])</f>
        <v>Modern</v>
      </c>
    </row>
    <row r="266" spans="1:15">
      <c r="A266" s="17">
        <v>0.63400000000000001</v>
      </c>
      <c r="B266" s="21">
        <v>113</v>
      </c>
      <c r="C266" s="16">
        <v>0.70399999999999996</v>
      </c>
      <c r="D266" s="16" t="str">
        <f ca="1">PROPER(Music_Data[[#This Row],[Playlist_genre2]])</f>
        <v>Electronic</v>
      </c>
      <c r="E266" s="17">
        <v>0.41099999999999998</v>
      </c>
      <c r="F266" t="s">
        <v>4523</v>
      </c>
      <c r="G266">
        <v>74</v>
      </c>
      <c r="H266" t="s">
        <v>4206</v>
      </c>
      <c r="I266" t="s">
        <v>4529</v>
      </c>
      <c r="J266" s="22">
        <v>42503</v>
      </c>
      <c r="K266">
        <v>0</v>
      </c>
      <c r="L266">
        <v>11</v>
      </c>
      <c r="M266" s="21">
        <f ca="1">LEFT(Music_Data[[#This Row],[Duration_minutes]],3)/60</f>
        <v>4.5166666666666666</v>
      </c>
      <c r="N266" s="17">
        <v>0.39300000000000002</v>
      </c>
      <c r="O266" s="17" t="str">
        <f ca="1">PROPER(Music_Data[[#This Row],[Playlist_subgenre2]])</f>
        <v>Modern</v>
      </c>
    </row>
    <row r="267" spans="1:15">
      <c r="A267" s="17">
        <v>0.98899999999999999</v>
      </c>
      <c r="B267" s="21">
        <v>126</v>
      </c>
      <c r="C267" s="16">
        <v>0.621</v>
      </c>
      <c r="D267" s="16" t="str">
        <f ca="1">PROPER(Music_Data[[#This Row],[Playlist_genre2]])</f>
        <v>Electronic</v>
      </c>
      <c r="E267" s="17">
        <v>3.4799999999999998E-2</v>
      </c>
      <c r="F267" t="s">
        <v>4545</v>
      </c>
      <c r="G267">
        <v>74</v>
      </c>
      <c r="H267" t="s">
        <v>4206</v>
      </c>
      <c r="I267" t="s">
        <v>4552</v>
      </c>
      <c r="J267" s="22">
        <v>44358</v>
      </c>
      <c r="K267">
        <v>0</v>
      </c>
      <c r="L267">
        <v>10</v>
      </c>
      <c r="M267" s="21">
        <f ca="1">LEFT(Music_Data[[#This Row],[Duration_minutes]],3)/60</f>
        <v>2.6333333333333333</v>
      </c>
      <c r="N267" s="17">
        <v>1.4999999999999999E-2</v>
      </c>
      <c r="O267" s="17" t="str">
        <f ca="1">PROPER(Music_Data[[#This Row],[Playlist_subgenre2]])</f>
        <v>Modern</v>
      </c>
    </row>
    <row r="268" spans="1:15">
      <c r="A268" s="17">
        <v>0.63700000000000001</v>
      </c>
      <c r="B268" s="21">
        <v>120</v>
      </c>
      <c r="C268" s="16">
        <v>0.84699999999999998</v>
      </c>
      <c r="D268" s="16" t="str">
        <f ca="1">PROPER(Music_Data[[#This Row],[Playlist_genre2]])</f>
        <v>Electronic</v>
      </c>
      <c r="E268" s="17">
        <v>5.0900000000000001E-2</v>
      </c>
      <c r="F268" t="s">
        <v>10389</v>
      </c>
      <c r="G268">
        <v>74</v>
      </c>
      <c r="H268" t="s">
        <v>10298</v>
      </c>
      <c r="I268" t="s">
        <v>10396</v>
      </c>
      <c r="J268" s="22">
        <v>45226</v>
      </c>
      <c r="K268">
        <v>0</v>
      </c>
      <c r="L268">
        <v>7</v>
      </c>
      <c r="M268" s="21">
        <f ca="1">LEFT(Music_Data[[#This Row],[Duration_minutes]],3)/60</f>
        <v>3.4666666666666668</v>
      </c>
      <c r="N268" s="17">
        <v>0.20100000000000001</v>
      </c>
      <c r="O268" s="17" t="str">
        <f ca="1">PROPER(Music_Data[[#This Row],[Playlist_subgenre2]])</f>
        <v>Techno</v>
      </c>
    </row>
    <row r="269" spans="1:15">
      <c r="A269" s="17">
        <v>0.63700000000000001</v>
      </c>
      <c r="B269" s="21">
        <v>120</v>
      </c>
      <c r="C269" s="16">
        <v>0.84699999999999998</v>
      </c>
      <c r="D269" s="16" t="str">
        <f ca="1">PROPER(Music_Data[[#This Row],[Playlist_genre2]])</f>
        <v>Electronic</v>
      </c>
      <c r="E269" s="17">
        <v>5.0900000000000001E-2</v>
      </c>
      <c r="F269" t="s">
        <v>10389</v>
      </c>
      <c r="G269">
        <v>74</v>
      </c>
      <c r="H269" t="s">
        <v>12536</v>
      </c>
      <c r="I269" t="s">
        <v>10396</v>
      </c>
      <c r="J269" s="22">
        <v>45226</v>
      </c>
      <c r="K269">
        <v>0</v>
      </c>
      <c r="L269">
        <v>7</v>
      </c>
      <c r="M269" s="21">
        <f ca="1">LEFT(Music_Data[[#This Row],[Duration_minutes]],3)/60</f>
        <v>3.4666666666666668</v>
      </c>
      <c r="N269" s="17">
        <v>0.20100000000000001</v>
      </c>
      <c r="O269" s="17" t="str">
        <f ca="1">PROPER(Music_Data[[#This Row],[Playlist_subgenre2]])</f>
        <v>Afro House</v>
      </c>
    </row>
    <row r="270" spans="1:15">
      <c r="A270" s="17">
        <v>0.46300000000000002</v>
      </c>
      <c r="B270" s="21">
        <v>121</v>
      </c>
      <c r="C270" s="16">
        <v>0.77800000000000002</v>
      </c>
      <c r="D270" s="16" t="str">
        <f ca="1">PROPER(Music_Data[[#This Row],[Playlist_genre2]])</f>
        <v>Electronic</v>
      </c>
      <c r="E270" s="17">
        <v>0.496</v>
      </c>
      <c r="F270" t="s">
        <v>4627</v>
      </c>
      <c r="G270">
        <v>73</v>
      </c>
      <c r="H270" t="s">
        <v>4206</v>
      </c>
      <c r="I270" t="s">
        <v>4634</v>
      </c>
      <c r="J270" s="22">
        <v>42664</v>
      </c>
      <c r="K270">
        <v>1</v>
      </c>
      <c r="L270">
        <v>11</v>
      </c>
      <c r="M270" s="21">
        <f ca="1">LEFT(Music_Data[[#This Row],[Duration_minutes]],3)/60</f>
        <v>3.2333333333333334</v>
      </c>
      <c r="N270" s="17">
        <v>0.54600000000000004</v>
      </c>
      <c r="O270" s="17" t="str">
        <f ca="1">PROPER(Music_Data[[#This Row],[Playlist_subgenre2]])</f>
        <v>Modern</v>
      </c>
    </row>
    <row r="271" spans="1:15">
      <c r="A271" s="17">
        <v>0.73</v>
      </c>
      <c r="B271" s="21">
        <v>859</v>
      </c>
      <c r="C271" s="16">
        <v>0.59599999999999997</v>
      </c>
      <c r="D271" s="16" t="str">
        <f ca="1">PROPER(Music_Data[[#This Row],[Playlist_genre2]])</f>
        <v>Electronic</v>
      </c>
      <c r="E271" s="17">
        <v>0.52500000000000002</v>
      </c>
      <c r="F271" t="s">
        <v>4607</v>
      </c>
      <c r="G271">
        <v>73</v>
      </c>
      <c r="H271" t="s">
        <v>4206</v>
      </c>
      <c r="I271" t="s">
        <v>4613</v>
      </c>
      <c r="J271" s="22">
        <v>41953</v>
      </c>
      <c r="K271">
        <v>1</v>
      </c>
      <c r="L271">
        <v>9</v>
      </c>
      <c r="M271" s="21">
        <f ca="1">LEFT(Music_Data[[#This Row],[Duration_minutes]],3)/60</f>
        <v>3.2</v>
      </c>
      <c r="N271" s="17">
        <v>0.24</v>
      </c>
      <c r="O271" s="17" t="str">
        <f ca="1">PROPER(Music_Data[[#This Row],[Playlist_subgenre2]])</f>
        <v>Modern</v>
      </c>
    </row>
    <row r="272" spans="1:15">
      <c r="A272" s="17">
        <v>0.69499999999999995</v>
      </c>
      <c r="B272" s="21">
        <v>104</v>
      </c>
      <c r="C272" s="16">
        <v>0.58299999999999996</v>
      </c>
      <c r="D272" s="16" t="str">
        <f ca="1">PROPER(Music_Data[[#This Row],[Playlist_genre2]])</f>
        <v>Electronic</v>
      </c>
      <c r="E272" s="17">
        <v>0.224</v>
      </c>
      <c r="F272" t="s">
        <v>4566</v>
      </c>
      <c r="G272">
        <v>73</v>
      </c>
      <c r="H272" t="s">
        <v>4206</v>
      </c>
      <c r="I272" t="s">
        <v>4572</v>
      </c>
      <c r="J272" s="22">
        <v>42587</v>
      </c>
      <c r="K272">
        <v>1</v>
      </c>
      <c r="L272">
        <v>9</v>
      </c>
      <c r="M272" s="21">
        <f ca="1">LEFT(Music_Data[[#This Row],[Duration_minutes]],3)/60</f>
        <v>3.6666666666666665</v>
      </c>
      <c r="N272" s="17">
        <v>1.38E-2</v>
      </c>
      <c r="O272" s="17" t="str">
        <f ca="1">PROPER(Music_Data[[#This Row],[Playlist_subgenre2]])</f>
        <v>Modern</v>
      </c>
    </row>
    <row r="273" spans="1:15">
      <c r="A273" s="17">
        <v>0.56799999999999995</v>
      </c>
      <c r="B273" s="21">
        <v>117</v>
      </c>
      <c r="C273" s="16">
        <v>0.78</v>
      </c>
      <c r="D273" s="16" t="str">
        <f ca="1">PROPER(Music_Data[[#This Row],[Playlist_genre2]])</f>
        <v>Electronic</v>
      </c>
      <c r="E273" s="17">
        <v>0.45900000000000002</v>
      </c>
      <c r="F273" t="s">
        <v>4617</v>
      </c>
      <c r="G273">
        <v>73</v>
      </c>
      <c r="H273" t="s">
        <v>4206</v>
      </c>
      <c r="I273" t="s">
        <v>4623</v>
      </c>
      <c r="J273" s="22">
        <v>43147</v>
      </c>
      <c r="K273">
        <v>0</v>
      </c>
      <c r="L273">
        <v>2</v>
      </c>
      <c r="M273" s="21">
        <f ca="1">LEFT(Music_Data[[#This Row],[Duration_minutes]],3)/60</f>
        <v>3.1</v>
      </c>
      <c r="N273" s="17">
        <v>0.66800000000000004</v>
      </c>
      <c r="O273" s="17" t="str">
        <f ca="1">PROPER(Music_Data[[#This Row],[Playlist_subgenre2]])</f>
        <v>Modern</v>
      </c>
    </row>
    <row r="274" spans="1:15">
      <c r="A274" s="17">
        <v>0.86199999999999999</v>
      </c>
      <c r="B274" s="21">
        <v>128</v>
      </c>
      <c r="C274" s="16">
        <v>0.498</v>
      </c>
      <c r="D274" s="16" t="str">
        <f ca="1">PROPER(Music_Data[[#This Row],[Playlist_genre2]])</f>
        <v>Electronic</v>
      </c>
      <c r="E274" s="17">
        <v>0.46899999999999997</v>
      </c>
      <c r="F274" t="s">
        <v>4576</v>
      </c>
      <c r="G274">
        <v>73</v>
      </c>
      <c r="H274" t="s">
        <v>4206</v>
      </c>
      <c r="I274" t="s">
        <v>4583</v>
      </c>
      <c r="J274" s="22">
        <v>39575</v>
      </c>
      <c r="K274">
        <v>0</v>
      </c>
      <c r="L274">
        <v>7</v>
      </c>
      <c r="M274" s="21">
        <f ca="1">LEFT(Music_Data[[#This Row],[Duration_minutes]],3)/60</f>
        <v>3.2</v>
      </c>
      <c r="N274" s="17">
        <v>3.1300000000000002E-4</v>
      </c>
      <c r="O274" s="17" t="str">
        <f ca="1">PROPER(Music_Data[[#This Row],[Playlist_subgenre2]])</f>
        <v>Modern</v>
      </c>
    </row>
    <row r="275" spans="1:15">
      <c r="A275" s="17">
        <v>0.874</v>
      </c>
      <c r="B275" s="21">
        <v>910</v>
      </c>
      <c r="C275" s="16">
        <v>0.53200000000000003</v>
      </c>
      <c r="D275" s="16" t="str">
        <f ca="1">PROPER(Music_Data[[#This Row],[Playlist_genre2]])</f>
        <v>Electronic</v>
      </c>
      <c r="E275" s="17">
        <v>0.36099999999999999</v>
      </c>
      <c r="F275" t="s">
        <v>12648</v>
      </c>
      <c r="G275">
        <v>73</v>
      </c>
      <c r="H275" t="s">
        <v>12652</v>
      </c>
      <c r="I275" t="s">
        <v>12651</v>
      </c>
      <c r="J275" s="22">
        <v>2010</v>
      </c>
      <c r="K275">
        <v>0</v>
      </c>
      <c r="L275">
        <v>9</v>
      </c>
      <c r="M275" s="21">
        <f ca="1">LEFT(Music_Data[[#This Row],[Duration_minutes]],3)/60</f>
        <v>4.3</v>
      </c>
      <c r="N275" s="17">
        <v>8.4200000000000004E-3</v>
      </c>
      <c r="O275" s="17" t="str">
        <f ca="1">PROPER(Music_Data[[#This Row],[Playlist_subgenre2]])</f>
        <v>Vaporwave</v>
      </c>
    </row>
    <row r="276" spans="1:15">
      <c r="A276" s="17">
        <v>0.64700000000000002</v>
      </c>
      <c r="B276" s="21">
        <v>117</v>
      </c>
      <c r="C276" s="16">
        <v>0.58099999999999996</v>
      </c>
      <c r="D276" s="16" t="str">
        <f ca="1">PROPER(Music_Data[[#This Row],[Playlist_genre2]])</f>
        <v>Electronic</v>
      </c>
      <c r="E276" s="17">
        <v>0.25700000000000001</v>
      </c>
      <c r="F276" t="s">
        <v>10406</v>
      </c>
      <c r="G276">
        <v>73</v>
      </c>
      <c r="H276" t="s">
        <v>10298</v>
      </c>
      <c r="I276" t="s">
        <v>10412</v>
      </c>
      <c r="J276" s="22">
        <v>44400</v>
      </c>
      <c r="K276">
        <v>0</v>
      </c>
      <c r="L276">
        <v>11</v>
      </c>
      <c r="M276" s="21">
        <f ca="1">LEFT(Music_Data[[#This Row],[Duration_minutes]],3)/60</f>
        <v>2.3166666666666669</v>
      </c>
      <c r="N276" s="17">
        <v>7.7799999999999994E-2</v>
      </c>
      <c r="O276" s="17" t="str">
        <f ca="1">PROPER(Music_Data[[#This Row],[Playlist_subgenre2]])</f>
        <v>Techno</v>
      </c>
    </row>
    <row r="277" spans="1:15">
      <c r="A277" s="17">
        <v>0.78500000000000003</v>
      </c>
      <c r="B277" s="21">
        <v>123</v>
      </c>
      <c r="C277" s="16">
        <v>0.621</v>
      </c>
      <c r="D277" s="16" t="str">
        <f ca="1">PROPER(Music_Data[[#This Row],[Playlist_genre2]])</f>
        <v>Electronic</v>
      </c>
      <c r="E277" s="17">
        <v>0.77900000000000003</v>
      </c>
      <c r="F277" t="s">
        <v>10416</v>
      </c>
      <c r="G277">
        <v>73</v>
      </c>
      <c r="H277" t="s">
        <v>10298</v>
      </c>
      <c r="I277" t="s">
        <v>10419</v>
      </c>
      <c r="J277" s="22">
        <v>44680</v>
      </c>
      <c r="K277">
        <v>1</v>
      </c>
      <c r="L277">
        <v>6</v>
      </c>
      <c r="M277" s="21">
        <f ca="1">LEFT(Music_Data[[#This Row],[Duration_minutes]],3)/60</f>
        <v>2.5833333333333335</v>
      </c>
      <c r="N277" s="17">
        <v>1.6500000000000001E-2</v>
      </c>
      <c r="O277" s="17" t="str">
        <f ca="1">PROPER(Music_Data[[#This Row],[Playlist_subgenre2]])</f>
        <v>Techno</v>
      </c>
    </row>
    <row r="278" spans="1:15">
      <c r="A278" s="17">
        <v>0.85699999999999998</v>
      </c>
      <c r="B278" s="21">
        <v>119</v>
      </c>
      <c r="C278" s="16">
        <v>0.56000000000000005</v>
      </c>
      <c r="D278" s="16" t="str">
        <f ca="1">PROPER(Music_Data[[#This Row],[Playlist_genre2]])</f>
        <v>Electronic</v>
      </c>
      <c r="E278" s="17">
        <v>0.432</v>
      </c>
      <c r="F278" t="s">
        <v>4587</v>
      </c>
      <c r="G278">
        <v>73</v>
      </c>
      <c r="H278" t="s">
        <v>4206</v>
      </c>
      <c r="I278" t="s">
        <v>4593</v>
      </c>
      <c r="J278" s="22">
        <v>42195</v>
      </c>
      <c r="K278">
        <v>0</v>
      </c>
      <c r="L278">
        <v>4</v>
      </c>
      <c r="M278" s="21">
        <f ca="1">LEFT(Music_Data[[#This Row],[Duration_minutes]],3)/60</f>
        <v>3.5833333333333335</v>
      </c>
      <c r="N278" s="17">
        <v>5.9400000000000001E-2</v>
      </c>
      <c r="O278" s="17" t="str">
        <f ca="1">PROPER(Music_Data[[#This Row],[Playlist_subgenre2]])</f>
        <v>Modern</v>
      </c>
    </row>
    <row r="279" spans="1:15">
      <c r="A279" s="17">
        <v>0.91</v>
      </c>
      <c r="B279" s="21">
        <v>130</v>
      </c>
      <c r="C279" s="16">
        <v>0.52800000000000002</v>
      </c>
      <c r="D279" s="16" t="str">
        <f ca="1">PROPER(Music_Data[[#This Row],[Playlist_genre2]])</f>
        <v>Electronic</v>
      </c>
      <c r="E279" s="17">
        <v>0.13700000000000001</v>
      </c>
      <c r="F279" t="s">
        <v>12674</v>
      </c>
      <c r="G279">
        <v>73</v>
      </c>
      <c r="H279" t="s">
        <v>12652</v>
      </c>
      <c r="I279" t="s">
        <v>12718</v>
      </c>
      <c r="J279" s="22">
        <v>42073</v>
      </c>
      <c r="K279">
        <v>0</v>
      </c>
      <c r="L279">
        <v>9</v>
      </c>
      <c r="M279" s="21">
        <f ca="1">LEFT(Music_Data[[#This Row],[Duration_minutes]],3)/60</f>
        <v>3.7</v>
      </c>
      <c r="N279" s="17">
        <v>0.34599999999999997</v>
      </c>
      <c r="O279" s="17" t="str">
        <f ca="1">PROPER(Music_Data[[#This Row],[Playlist_subgenre2]])</f>
        <v>Vaporwave</v>
      </c>
    </row>
    <row r="280" spans="1:15">
      <c r="A280" s="17">
        <v>0.68100000000000005</v>
      </c>
      <c r="B280" s="21">
        <v>101</v>
      </c>
      <c r="C280" s="16">
        <v>0.79800000000000004</v>
      </c>
      <c r="D280" s="16" t="str">
        <f ca="1">PROPER(Music_Data[[#This Row],[Playlist_genre2]])</f>
        <v>Electronic</v>
      </c>
      <c r="E280" s="17">
        <v>0.434</v>
      </c>
      <c r="F280" t="s">
        <v>13005</v>
      </c>
      <c r="G280">
        <v>73</v>
      </c>
      <c r="H280" t="s">
        <v>12939</v>
      </c>
      <c r="I280" t="s">
        <v>13009</v>
      </c>
      <c r="J280" s="22">
        <v>45205</v>
      </c>
      <c r="K280">
        <v>0</v>
      </c>
      <c r="L280">
        <v>10</v>
      </c>
      <c r="M280" s="21">
        <f ca="1">LEFT(Music_Data[[#This Row],[Duration_minutes]],3)/60</f>
        <v>3.1333333333333333</v>
      </c>
      <c r="N280" s="17">
        <v>0.219</v>
      </c>
      <c r="O280" s="17" t="str">
        <f ca="1">PROPER(Music_Data[[#This Row],[Playlist_subgenre2]])</f>
        <v>French</v>
      </c>
    </row>
    <row r="281" spans="1:15">
      <c r="A281" s="17">
        <v>0.77400000000000002</v>
      </c>
      <c r="B281" s="21">
        <v>112</v>
      </c>
      <c r="C281" s="16">
        <v>0.67400000000000004</v>
      </c>
      <c r="D281" s="16" t="str">
        <f ca="1">PROPER(Music_Data[[#This Row],[Playlist_genre2]])</f>
        <v>Electronic</v>
      </c>
      <c r="E281" s="17">
        <v>0.33</v>
      </c>
      <c r="F281" t="s">
        <v>4638</v>
      </c>
      <c r="G281">
        <v>73</v>
      </c>
      <c r="H281" t="s">
        <v>4206</v>
      </c>
      <c r="I281" t="s">
        <v>4642</v>
      </c>
      <c r="J281" s="22">
        <v>43795</v>
      </c>
      <c r="K281">
        <v>0</v>
      </c>
      <c r="L281">
        <v>11</v>
      </c>
      <c r="M281" s="21">
        <f ca="1">LEFT(Music_Data[[#This Row],[Duration_minutes]],3)/60</f>
        <v>2.9333333333333331</v>
      </c>
      <c r="N281" s="17">
        <v>6.8599999999999994E-2</v>
      </c>
      <c r="O281" s="17" t="str">
        <f ca="1">PROPER(Music_Data[[#This Row],[Playlist_subgenre2]])</f>
        <v>Modern</v>
      </c>
    </row>
    <row r="282" spans="1:15">
      <c r="A282" s="17">
        <v>0.622</v>
      </c>
      <c r="B282" s="21">
        <v>102</v>
      </c>
      <c r="C282" s="16">
        <v>0.69</v>
      </c>
      <c r="D282" s="16" t="str">
        <f ca="1">PROPER(Music_Data[[#This Row],[Playlist_genre2]])</f>
        <v>Electronic</v>
      </c>
      <c r="E282" s="17">
        <v>0.54400000000000004</v>
      </c>
      <c r="F282" t="s">
        <v>4696</v>
      </c>
      <c r="G282">
        <v>73</v>
      </c>
      <c r="H282" t="s">
        <v>4206</v>
      </c>
      <c r="I282" t="s">
        <v>4700</v>
      </c>
      <c r="J282" s="22">
        <v>42789</v>
      </c>
      <c r="K282">
        <v>0</v>
      </c>
      <c r="L282">
        <v>5</v>
      </c>
      <c r="M282" s="21">
        <f ca="1">LEFT(Music_Data[[#This Row],[Duration_minutes]],3)/60</f>
        <v>3.5</v>
      </c>
      <c r="N282" s="17">
        <v>0.253</v>
      </c>
      <c r="O282" s="17" t="str">
        <f ca="1">PROPER(Music_Data[[#This Row],[Playlist_subgenre2]])</f>
        <v>Modern</v>
      </c>
    </row>
    <row r="283" spans="1:15">
      <c r="A283" s="17">
        <v>0.78100000000000003</v>
      </c>
      <c r="B283" s="21">
        <v>128</v>
      </c>
      <c r="C283" s="16">
        <v>0.50900000000000001</v>
      </c>
      <c r="D283" s="16" t="str">
        <f ca="1">PROPER(Music_Data[[#This Row],[Playlist_genre2]])</f>
        <v>Electronic</v>
      </c>
      <c r="E283" s="17">
        <v>0.17599999999999999</v>
      </c>
      <c r="F283" t="s">
        <v>4599</v>
      </c>
      <c r="G283">
        <v>73</v>
      </c>
      <c r="H283" t="s">
        <v>4206</v>
      </c>
      <c r="I283" t="s">
        <v>4602</v>
      </c>
      <c r="J283" s="22">
        <v>40909</v>
      </c>
      <c r="K283">
        <v>1</v>
      </c>
      <c r="L283">
        <v>8</v>
      </c>
      <c r="M283" s="21">
        <f ca="1">LEFT(Music_Data[[#This Row],[Duration_minutes]],3)/60</f>
        <v>4.5166666666666666</v>
      </c>
      <c r="N283" s="17">
        <v>3.9800000000000002E-2</v>
      </c>
      <c r="O283" s="17" t="str">
        <f ca="1">PROPER(Music_Data[[#This Row],[Playlist_subgenre2]])</f>
        <v>Modern</v>
      </c>
    </row>
    <row r="284" spans="1:15">
      <c r="A284" s="17">
        <v>0.58599999999999997</v>
      </c>
      <c r="B284" s="21">
        <v>120</v>
      </c>
      <c r="C284" s="16">
        <v>0.79900000000000004</v>
      </c>
      <c r="D284" s="16" t="str">
        <f ca="1">PROPER(Music_Data[[#This Row],[Playlist_genre2]])</f>
        <v>Electronic</v>
      </c>
      <c r="E284" s="17">
        <v>0.54900000000000004</v>
      </c>
      <c r="F284" t="s">
        <v>4669</v>
      </c>
      <c r="G284">
        <v>72</v>
      </c>
      <c r="H284" t="s">
        <v>4206</v>
      </c>
      <c r="I284" t="s">
        <v>4676</v>
      </c>
      <c r="J284" s="22">
        <v>41792</v>
      </c>
      <c r="K284">
        <v>1</v>
      </c>
      <c r="L284">
        <v>11</v>
      </c>
      <c r="M284" s="21">
        <f ca="1">LEFT(Music_Data[[#This Row],[Duration_minutes]],3)/60</f>
        <v>3.7833333333333332</v>
      </c>
      <c r="N284" s="17">
        <v>0.16200000000000001</v>
      </c>
      <c r="O284" s="17" t="str">
        <f ca="1">PROPER(Music_Data[[#This Row],[Playlist_subgenre2]])</f>
        <v>Modern</v>
      </c>
    </row>
    <row r="285" spans="1:15">
      <c r="A285" s="17">
        <v>0.82099999999999995</v>
      </c>
      <c r="B285" s="21">
        <v>125</v>
      </c>
      <c r="C285" s="16">
        <v>0.84799999999999998</v>
      </c>
      <c r="D285" s="16" t="str">
        <f ca="1">PROPER(Music_Data[[#This Row],[Playlist_genre2]])</f>
        <v>Electronic</v>
      </c>
      <c r="E285" s="17">
        <v>0.249</v>
      </c>
      <c r="F285" t="s">
        <v>13186</v>
      </c>
      <c r="G285">
        <v>72</v>
      </c>
      <c r="H285" t="s">
        <v>10298</v>
      </c>
      <c r="I285" t="s">
        <v>10436</v>
      </c>
      <c r="J285" s="22">
        <v>44498</v>
      </c>
      <c r="K285">
        <v>0</v>
      </c>
      <c r="L285">
        <v>2</v>
      </c>
      <c r="M285" s="21">
        <f ca="1">LEFT(Music_Data[[#This Row],[Duration_minutes]],3)/60</f>
        <v>2.6166666666666667</v>
      </c>
      <c r="N285" s="17">
        <v>1.6899999999999998E-2</v>
      </c>
      <c r="O285" s="17" t="str">
        <f ca="1">PROPER(Music_Data[[#This Row],[Playlist_subgenre2]])</f>
        <v>Techno</v>
      </c>
    </row>
    <row r="286" spans="1:15">
      <c r="A286" s="17">
        <v>0.81</v>
      </c>
      <c r="B286" s="21">
        <v>126</v>
      </c>
      <c r="C286" s="16">
        <v>0.57199999999999995</v>
      </c>
      <c r="D286" s="16" t="str">
        <f ca="1">PROPER(Music_Data[[#This Row],[Playlist_genre2]])</f>
        <v>Electronic</v>
      </c>
      <c r="E286" s="17">
        <v>0.11</v>
      </c>
      <c r="F286" t="s">
        <v>4648</v>
      </c>
      <c r="G286">
        <v>72</v>
      </c>
      <c r="H286" t="s">
        <v>4206</v>
      </c>
      <c r="I286" t="s">
        <v>4655</v>
      </c>
      <c r="J286" s="22">
        <v>41306</v>
      </c>
      <c r="K286">
        <v>0</v>
      </c>
      <c r="L286">
        <v>1</v>
      </c>
      <c r="M286" s="21">
        <f ca="1">LEFT(Music_Data[[#This Row],[Duration_minutes]],3)/60</f>
        <v>3.5666666666666669</v>
      </c>
      <c r="N286" s="17">
        <v>1.5699999999999999E-2</v>
      </c>
      <c r="O286" s="17" t="str">
        <f ca="1">PROPER(Music_Data[[#This Row],[Playlist_subgenre2]])</f>
        <v>Modern</v>
      </c>
    </row>
    <row r="287" spans="1:15">
      <c r="A287" s="17">
        <v>0.94199999999999995</v>
      </c>
      <c r="B287" s="21">
        <v>120</v>
      </c>
      <c r="C287" s="16">
        <v>0.76200000000000001</v>
      </c>
      <c r="D287" s="16" t="str">
        <f ca="1">PROPER(Music_Data[[#This Row],[Playlist_genre2]])</f>
        <v>Electronic</v>
      </c>
      <c r="E287" s="17">
        <v>3.7999999999999999E-2</v>
      </c>
      <c r="F287" t="s">
        <v>10284</v>
      </c>
      <c r="G287">
        <v>72</v>
      </c>
      <c r="H287" t="s">
        <v>10265</v>
      </c>
      <c r="I287" t="s">
        <v>10287</v>
      </c>
      <c r="J287" s="22">
        <v>45016</v>
      </c>
      <c r="K287">
        <v>0</v>
      </c>
      <c r="L287">
        <v>9</v>
      </c>
      <c r="M287" s="21">
        <f ca="1">LEFT(Music_Data[[#This Row],[Duration_minutes]],3)/60</f>
        <v>2.3333333333333335</v>
      </c>
      <c r="N287" s="17">
        <v>0.58599999999999997</v>
      </c>
      <c r="O287" s="17" t="str">
        <f ca="1">PROPER(Music_Data[[#This Row],[Playlist_subgenre2]])</f>
        <v>Tropical</v>
      </c>
    </row>
    <row r="288" spans="1:15">
      <c r="A288" s="17">
        <v>0.94199999999999995</v>
      </c>
      <c r="B288" s="21">
        <v>120</v>
      </c>
      <c r="C288" s="16">
        <v>0.76200000000000001</v>
      </c>
      <c r="D288" s="16" t="str">
        <f ca="1">PROPER(Music_Data[[#This Row],[Playlist_genre2]])</f>
        <v>Electronic</v>
      </c>
      <c r="E288" s="17">
        <v>3.7999999999999999E-2</v>
      </c>
      <c r="F288" t="s">
        <v>10284</v>
      </c>
      <c r="G288">
        <v>72</v>
      </c>
      <c r="H288" t="s">
        <v>10587</v>
      </c>
      <c r="I288" t="s">
        <v>10287</v>
      </c>
      <c r="J288" s="22">
        <v>45016</v>
      </c>
      <c r="K288">
        <v>0</v>
      </c>
      <c r="L288">
        <v>9</v>
      </c>
      <c r="M288" s="21">
        <f ca="1">LEFT(Music_Data[[#This Row],[Duration_minutes]],3)/60</f>
        <v>2.3333333333333335</v>
      </c>
      <c r="N288" s="17">
        <v>0.58599999999999997</v>
      </c>
      <c r="O288" s="17" t="str">
        <f ca="1">PROPER(Music_Data[[#This Row],[Playlist_subgenre2]])</f>
        <v>Deep House</v>
      </c>
    </row>
    <row r="289" spans="1:15">
      <c r="A289" s="17">
        <v>0.84099999999999997</v>
      </c>
      <c r="B289" s="21">
        <v>129</v>
      </c>
      <c r="C289" s="16">
        <v>0.71399999999999997</v>
      </c>
      <c r="D289" s="16" t="str">
        <f ca="1">PROPER(Music_Data[[#This Row],[Playlist_genre2]])</f>
        <v>Electronic</v>
      </c>
      <c r="E289" s="17">
        <v>0.86499999999999999</v>
      </c>
      <c r="F289" t="s">
        <v>10424</v>
      </c>
      <c r="G289">
        <v>72</v>
      </c>
      <c r="H289" t="s">
        <v>10298</v>
      </c>
      <c r="I289" t="s">
        <v>10428</v>
      </c>
      <c r="J289" s="22">
        <v>45513</v>
      </c>
      <c r="K289">
        <v>0</v>
      </c>
      <c r="L289">
        <v>5</v>
      </c>
      <c r="M289" s="21">
        <f ca="1">LEFT(Music_Data[[#This Row],[Duration_minutes]],3)/60</f>
        <v>2.2833333333333332</v>
      </c>
      <c r="N289" s="17">
        <v>6.2199999999999998E-2</v>
      </c>
      <c r="O289" s="17" t="str">
        <f ca="1">PROPER(Music_Data[[#This Row],[Playlist_subgenre2]])</f>
        <v>Techno</v>
      </c>
    </row>
    <row r="290" spans="1:15">
      <c r="A290" s="17">
        <v>0.73599999999999999</v>
      </c>
      <c r="B290" s="21">
        <v>130</v>
      </c>
      <c r="C290" s="16">
        <v>0.75</v>
      </c>
      <c r="D290" s="16" t="str">
        <f ca="1">PROPER(Music_Data[[#This Row],[Playlist_genre2]])</f>
        <v>Electronic</v>
      </c>
      <c r="E290" s="17">
        <v>0.35499999999999998</v>
      </c>
      <c r="F290" t="s">
        <v>4704</v>
      </c>
      <c r="G290">
        <v>72</v>
      </c>
      <c r="H290" t="s">
        <v>4206</v>
      </c>
      <c r="I290" t="s">
        <v>4710</v>
      </c>
      <c r="J290" s="22">
        <v>40544</v>
      </c>
      <c r="K290">
        <v>0</v>
      </c>
      <c r="L290">
        <v>5</v>
      </c>
      <c r="M290" s="21">
        <f ca="1">LEFT(Music_Data[[#This Row],[Duration_minutes]],3)/60</f>
        <v>4.3666666666666663</v>
      </c>
      <c r="N290" s="17">
        <v>2.0199999999999999E-2</v>
      </c>
      <c r="O290" s="17" t="str">
        <f ca="1">PROPER(Music_Data[[#This Row],[Playlist_subgenre2]])</f>
        <v>Modern</v>
      </c>
    </row>
    <row r="291" spans="1:15">
      <c r="A291" s="17">
        <v>0.71499999999999997</v>
      </c>
      <c r="B291" s="21">
        <v>113</v>
      </c>
      <c r="C291" s="16">
        <v>0.55200000000000005</v>
      </c>
      <c r="D291" s="16" t="str">
        <f ca="1">PROPER(Music_Data[[#This Row],[Playlist_genre2]])</f>
        <v>Electronic</v>
      </c>
      <c r="E291" s="17">
        <v>0.85799999999999998</v>
      </c>
      <c r="F291" t="s">
        <v>12699</v>
      </c>
      <c r="G291">
        <v>72</v>
      </c>
      <c r="H291" t="s">
        <v>12652</v>
      </c>
      <c r="I291" t="s">
        <v>12705</v>
      </c>
      <c r="J291" s="22">
        <v>44672</v>
      </c>
      <c r="K291">
        <v>1</v>
      </c>
      <c r="L291">
        <v>2</v>
      </c>
      <c r="M291" s="21">
        <f ca="1">LEFT(Music_Data[[#This Row],[Duration_minutes]],3)/60</f>
        <v>11.583333333333334</v>
      </c>
      <c r="N291" s="17">
        <v>2.86E-2</v>
      </c>
      <c r="O291" s="17" t="str">
        <f ca="1">PROPER(Music_Data[[#This Row],[Playlist_subgenre2]])</f>
        <v>Vaporwave</v>
      </c>
    </row>
    <row r="292" spans="1:15">
      <c r="A292" s="17">
        <v>0.85499999999999998</v>
      </c>
      <c r="B292" s="21">
        <v>750</v>
      </c>
      <c r="C292" s="16">
        <v>0.60499999999999998</v>
      </c>
      <c r="D292" s="16" t="str">
        <f ca="1">PROPER(Music_Data[[#This Row],[Playlist_genre2]])</f>
        <v>Electronic</v>
      </c>
      <c r="E292" s="17">
        <v>0.30199999999999999</v>
      </c>
      <c r="F292" t="s">
        <v>13212</v>
      </c>
      <c r="G292">
        <v>72</v>
      </c>
      <c r="H292" t="s">
        <v>10298</v>
      </c>
      <c r="I292" t="s">
        <v>10446</v>
      </c>
      <c r="J292" s="22">
        <v>45506</v>
      </c>
      <c r="K292">
        <v>0</v>
      </c>
      <c r="L292">
        <v>10</v>
      </c>
      <c r="M292" s="21">
        <f ca="1">LEFT(Music_Data[[#This Row],[Duration_minutes]],3)/60</f>
        <v>2.3333333333333335</v>
      </c>
      <c r="N292" s="17">
        <v>0.47299999999999998</v>
      </c>
      <c r="O292" s="17" t="str">
        <f ca="1">PROPER(Music_Data[[#This Row],[Playlist_subgenre2]])</f>
        <v>Techno</v>
      </c>
    </row>
    <row r="293" spans="1:15">
      <c r="A293" s="17">
        <v>0.78100000000000003</v>
      </c>
      <c r="B293" s="21">
        <v>119</v>
      </c>
      <c r="C293" s="16">
        <v>0.751</v>
      </c>
      <c r="D293" s="16" t="str">
        <f ca="1">PROPER(Music_Data[[#This Row],[Playlist_genre2]])</f>
        <v>Electronic</v>
      </c>
      <c r="E293" s="17">
        <v>0.81399999999999995</v>
      </c>
      <c r="F293" t="s">
        <v>4659</v>
      </c>
      <c r="G293">
        <v>72</v>
      </c>
      <c r="H293" t="s">
        <v>4206</v>
      </c>
      <c r="I293" t="s">
        <v>4666</v>
      </c>
      <c r="J293" s="22">
        <v>40179</v>
      </c>
      <c r="K293">
        <v>1</v>
      </c>
      <c r="L293">
        <v>4</v>
      </c>
      <c r="M293" s="21">
        <f ca="1">LEFT(Music_Data[[#This Row],[Duration_minutes]],3)/60</f>
        <v>3.3666666666666667</v>
      </c>
      <c r="N293" s="17">
        <v>3.8999999999999998E-3</v>
      </c>
      <c r="O293" s="17" t="str">
        <f ca="1">PROPER(Music_Data[[#This Row],[Playlist_subgenre2]])</f>
        <v>Modern</v>
      </c>
    </row>
    <row r="294" spans="1:15">
      <c r="A294" s="17">
        <v>0.62</v>
      </c>
      <c r="B294" s="21">
        <v>120</v>
      </c>
      <c r="C294" s="16">
        <v>0.79800000000000004</v>
      </c>
      <c r="D294" s="16" t="str">
        <f ca="1">PROPER(Music_Data[[#This Row],[Playlist_genre2]])</f>
        <v>Electronic</v>
      </c>
      <c r="E294" s="17">
        <v>0.23499999999999999</v>
      </c>
      <c r="F294" t="s">
        <v>13174</v>
      </c>
      <c r="G294">
        <v>72</v>
      </c>
      <c r="H294" t="s">
        <v>4206</v>
      </c>
      <c r="I294" t="s">
        <v>4690</v>
      </c>
      <c r="J294" s="22">
        <v>44090</v>
      </c>
      <c r="K294">
        <v>0</v>
      </c>
      <c r="L294">
        <v>8</v>
      </c>
      <c r="M294" s="21">
        <f ca="1">LEFT(Music_Data[[#This Row],[Duration_minutes]],3)/60</f>
        <v>2.7333333333333334</v>
      </c>
      <c r="N294" s="17">
        <v>0.41399999999999998</v>
      </c>
      <c r="O294" s="17" t="str">
        <f ca="1">PROPER(Music_Data[[#This Row],[Playlist_subgenre2]])</f>
        <v>Modern</v>
      </c>
    </row>
    <row r="295" spans="1:15">
      <c r="A295" s="17">
        <v>0.72</v>
      </c>
      <c r="B295" s="21">
        <v>122</v>
      </c>
      <c r="C295" s="16">
        <v>0.78900000000000003</v>
      </c>
      <c r="D295" s="16" t="str">
        <f ca="1">PROPER(Music_Data[[#This Row],[Playlist_genre2]])</f>
        <v>Electronic</v>
      </c>
      <c r="E295" s="17">
        <v>0.66400000000000003</v>
      </c>
      <c r="F295" t="s">
        <v>4679</v>
      </c>
      <c r="G295">
        <v>72</v>
      </c>
      <c r="H295" t="s">
        <v>4206</v>
      </c>
      <c r="I295" t="s">
        <v>4683</v>
      </c>
      <c r="J295" s="22">
        <v>43818</v>
      </c>
      <c r="K295">
        <v>0</v>
      </c>
      <c r="L295">
        <v>8</v>
      </c>
      <c r="M295" s="21">
        <f ca="1">LEFT(Music_Data[[#This Row],[Duration_minutes]],3)/60</f>
        <v>2.7666666666666666</v>
      </c>
      <c r="N295" s="17">
        <v>0.223</v>
      </c>
      <c r="O295" s="17" t="str">
        <f ca="1">PROPER(Music_Data[[#This Row],[Playlist_subgenre2]])</f>
        <v>Modern</v>
      </c>
    </row>
    <row r="296" spans="1:15">
      <c r="A296" s="17">
        <v>0.59399999999999997</v>
      </c>
      <c r="B296" s="21">
        <v>129</v>
      </c>
      <c r="C296" s="16">
        <v>0.85299999999999998</v>
      </c>
      <c r="D296" s="16" t="str">
        <f ca="1">PROPER(Music_Data[[#This Row],[Playlist_genre2]])</f>
        <v>Electronic</v>
      </c>
      <c r="E296" s="17">
        <v>0.83</v>
      </c>
      <c r="F296" t="s">
        <v>10469</v>
      </c>
      <c r="G296">
        <v>71</v>
      </c>
      <c r="H296" t="s">
        <v>10298</v>
      </c>
      <c r="I296" t="s">
        <v>10472</v>
      </c>
      <c r="J296" s="22">
        <v>45506</v>
      </c>
      <c r="K296">
        <v>0</v>
      </c>
      <c r="L296">
        <v>6</v>
      </c>
      <c r="M296" s="21">
        <f ca="1">LEFT(Music_Data[[#This Row],[Duration_minutes]],3)/60</f>
        <v>3.1333333333333333</v>
      </c>
      <c r="N296" s="17">
        <v>5.1999999999999998E-2</v>
      </c>
      <c r="O296" s="17" t="str">
        <f ca="1">PROPER(Music_Data[[#This Row],[Playlist_subgenre2]])</f>
        <v>Techno</v>
      </c>
    </row>
    <row r="297" spans="1:15">
      <c r="A297" s="17">
        <v>0.79500000000000004</v>
      </c>
      <c r="B297" s="21">
        <v>121</v>
      </c>
      <c r="C297" s="16">
        <v>0.95599999999999996</v>
      </c>
      <c r="D297" s="16" t="str">
        <f ca="1">PROPER(Music_Data[[#This Row],[Playlist_genre2]])</f>
        <v>Electronic</v>
      </c>
      <c r="E297" s="17">
        <v>0.84099999999999997</v>
      </c>
      <c r="F297" t="s">
        <v>4513</v>
      </c>
      <c r="G297">
        <v>71</v>
      </c>
      <c r="H297" t="s">
        <v>4206</v>
      </c>
      <c r="I297" t="s">
        <v>4750</v>
      </c>
      <c r="J297" s="22">
        <v>35447</v>
      </c>
      <c r="K297">
        <v>1</v>
      </c>
      <c r="L297">
        <v>7</v>
      </c>
      <c r="M297" s="21">
        <f ca="1">LEFT(Music_Data[[#This Row],[Duration_minutes]],3)/60</f>
        <v>7.15</v>
      </c>
      <c r="N297" s="17">
        <v>3.5599999999999998E-3</v>
      </c>
      <c r="O297" s="17" t="str">
        <f ca="1">PROPER(Music_Data[[#This Row],[Playlist_subgenre2]])</f>
        <v>Modern</v>
      </c>
    </row>
    <row r="298" spans="1:15">
      <c r="A298" s="17">
        <v>0.92100000000000004</v>
      </c>
      <c r="B298" s="21">
        <v>130</v>
      </c>
      <c r="C298" s="16">
        <v>0.69099999999999995</v>
      </c>
      <c r="D298" s="16" t="str">
        <f ca="1">PROPER(Music_Data[[#This Row],[Playlist_genre2]])</f>
        <v>Electronic</v>
      </c>
      <c r="E298" s="17">
        <v>0.8</v>
      </c>
      <c r="F298" t="s">
        <v>4736</v>
      </c>
      <c r="G298">
        <v>71</v>
      </c>
      <c r="H298" t="s">
        <v>4206</v>
      </c>
      <c r="I298" t="s">
        <v>4742</v>
      </c>
      <c r="J298" s="22">
        <v>41250</v>
      </c>
      <c r="K298">
        <v>0</v>
      </c>
      <c r="L298">
        <v>8</v>
      </c>
      <c r="M298" s="21">
        <f ca="1">LEFT(Music_Data[[#This Row],[Duration_minutes]],3)/60</f>
        <v>3.35</v>
      </c>
      <c r="N298" s="17">
        <v>0.17299999999999999</v>
      </c>
      <c r="O298" s="17" t="str">
        <f ca="1">PROPER(Music_Data[[#This Row],[Playlist_subgenre2]])</f>
        <v>Modern</v>
      </c>
    </row>
    <row r="299" spans="1:15">
      <c r="A299" s="17">
        <v>0.82099999999999995</v>
      </c>
      <c r="B299" s="21">
        <v>140</v>
      </c>
      <c r="C299" s="16">
        <v>0.77700000000000002</v>
      </c>
      <c r="D299" s="16" t="str">
        <f ca="1">PROPER(Music_Data[[#This Row],[Playlist_genre2]])</f>
        <v>Electronic</v>
      </c>
      <c r="E299" s="17">
        <v>0.439</v>
      </c>
      <c r="F299" t="s">
        <v>10460</v>
      </c>
      <c r="G299">
        <v>71</v>
      </c>
      <c r="H299" t="s">
        <v>10298</v>
      </c>
      <c r="I299" t="s">
        <v>10464</v>
      </c>
      <c r="J299" s="22">
        <v>45058</v>
      </c>
      <c r="K299">
        <v>1</v>
      </c>
      <c r="L299">
        <v>1</v>
      </c>
      <c r="M299" s="21">
        <f ca="1">LEFT(Music_Data[[#This Row],[Duration_minutes]],3)/60</f>
        <v>2.8166666666666669</v>
      </c>
      <c r="N299" s="17">
        <v>0.14000000000000001</v>
      </c>
      <c r="O299" s="17" t="str">
        <f ca="1">PROPER(Music_Data[[#This Row],[Playlist_subgenre2]])</f>
        <v>Techno</v>
      </c>
    </row>
    <row r="300" spans="1:15">
      <c r="A300" s="17">
        <v>0.94599999999999995</v>
      </c>
      <c r="B300" s="21">
        <v>120</v>
      </c>
      <c r="C300" s="16">
        <v>0.54200000000000004</v>
      </c>
      <c r="D300" s="16" t="str">
        <f ca="1">PROPER(Music_Data[[#This Row],[Playlist_genre2]])</f>
        <v>Electronic</v>
      </c>
      <c r="E300" s="17">
        <v>0.22900000000000001</v>
      </c>
      <c r="F300" t="s">
        <v>12557</v>
      </c>
      <c r="G300">
        <v>71</v>
      </c>
      <c r="H300" t="s">
        <v>12536</v>
      </c>
      <c r="I300" t="s">
        <v>12560</v>
      </c>
      <c r="J300" s="22">
        <v>45555</v>
      </c>
      <c r="K300">
        <v>0</v>
      </c>
      <c r="L300">
        <v>9</v>
      </c>
      <c r="M300" s="21">
        <f ca="1">LEFT(Music_Data[[#This Row],[Duration_minutes]],3)/60</f>
        <v>2.3333333333333335</v>
      </c>
      <c r="N300" s="17">
        <v>3.1199999999999999E-2</v>
      </c>
      <c r="O300" s="17" t="str">
        <f ca="1">PROPER(Music_Data[[#This Row],[Playlist_subgenre2]])</f>
        <v>Afro House</v>
      </c>
    </row>
    <row r="301" spans="1:15">
      <c r="A301" s="17">
        <v>0.90600000000000003</v>
      </c>
      <c r="B301" s="21">
        <v>125</v>
      </c>
      <c r="C301" s="16">
        <v>0.71099999999999997</v>
      </c>
      <c r="D301" s="16" t="str">
        <f ca="1">PROPER(Music_Data[[#This Row],[Playlist_genre2]])</f>
        <v>Electronic</v>
      </c>
      <c r="E301" s="17">
        <v>0.82399999999999995</v>
      </c>
      <c r="F301" t="s">
        <v>4724</v>
      </c>
      <c r="G301">
        <v>71</v>
      </c>
      <c r="H301" t="s">
        <v>4206</v>
      </c>
      <c r="I301" t="s">
        <v>4730</v>
      </c>
      <c r="J301" s="22">
        <v>41513</v>
      </c>
      <c r="K301">
        <v>1</v>
      </c>
      <c r="L301">
        <v>8</v>
      </c>
      <c r="M301" s="21">
        <f ca="1">LEFT(Music_Data[[#This Row],[Duration_minutes]],3)/60</f>
        <v>2.6166666666666667</v>
      </c>
      <c r="N301" s="17">
        <v>9.5200000000000007E-3</v>
      </c>
      <c r="O301" s="17" t="str">
        <f ca="1">PROPER(Music_Data[[#This Row],[Playlist_subgenre2]])</f>
        <v>Modern</v>
      </c>
    </row>
    <row r="302" spans="1:15">
      <c r="A302" s="17">
        <v>0.78200000000000003</v>
      </c>
      <c r="B302" s="21">
        <v>127</v>
      </c>
      <c r="C302" s="16">
        <v>0.76300000000000001</v>
      </c>
      <c r="D302" s="16" t="str">
        <f ca="1">PROPER(Music_Data[[#This Row],[Playlist_genre2]])</f>
        <v>Electronic</v>
      </c>
      <c r="E302" s="17">
        <v>0.502</v>
      </c>
      <c r="F302" t="s">
        <v>10451</v>
      </c>
      <c r="G302">
        <v>71</v>
      </c>
      <c r="H302" t="s">
        <v>10298</v>
      </c>
      <c r="I302" t="s">
        <v>10457</v>
      </c>
      <c r="J302" s="22">
        <v>44596</v>
      </c>
      <c r="K302">
        <v>0</v>
      </c>
      <c r="L302">
        <v>7</v>
      </c>
      <c r="M302" s="21">
        <f ca="1">LEFT(Music_Data[[#This Row],[Duration_minutes]],3)/60</f>
        <v>2.95</v>
      </c>
      <c r="N302" s="17">
        <v>0.182</v>
      </c>
      <c r="O302" s="17" t="str">
        <f ca="1">PROPER(Music_Data[[#This Row],[Playlist_subgenre2]])</f>
        <v>Techno</v>
      </c>
    </row>
    <row r="303" spans="1:15">
      <c r="A303" s="17">
        <v>0.58299999999999996</v>
      </c>
      <c r="B303" s="21">
        <v>126</v>
      </c>
      <c r="C303" s="16">
        <v>0.79300000000000004</v>
      </c>
      <c r="D303" s="16" t="str">
        <f ca="1">PROPER(Music_Data[[#This Row],[Playlist_genre2]])</f>
        <v>Electronic</v>
      </c>
      <c r="E303" s="17">
        <v>0.97</v>
      </c>
      <c r="F303" t="s">
        <v>12997</v>
      </c>
      <c r="G303">
        <v>71</v>
      </c>
      <c r="H303" t="s">
        <v>12939</v>
      </c>
      <c r="I303" t="s">
        <v>13000</v>
      </c>
      <c r="J303" s="22">
        <v>45142</v>
      </c>
      <c r="K303">
        <v>0</v>
      </c>
      <c r="L303">
        <v>1</v>
      </c>
      <c r="M303" s="21">
        <f ca="1">LEFT(Music_Data[[#This Row],[Duration_minutes]],3)/60</f>
        <v>3.6166666666666667</v>
      </c>
      <c r="N303" s="17">
        <v>0.106</v>
      </c>
      <c r="O303" s="17" t="str">
        <f ca="1">PROPER(Music_Data[[#This Row],[Playlist_subgenre2]])</f>
        <v>French</v>
      </c>
    </row>
    <row r="304" spans="1:15">
      <c r="A304" s="17">
        <v>0.83099999999999996</v>
      </c>
      <c r="B304" s="21">
        <v>132</v>
      </c>
      <c r="C304" s="16">
        <v>0.79800000000000004</v>
      </c>
      <c r="D304" s="16" t="str">
        <f ca="1">PROPER(Music_Data[[#This Row],[Playlist_genre2]])</f>
        <v>Electronic</v>
      </c>
      <c r="E304" s="17">
        <v>0.72099999999999997</v>
      </c>
      <c r="F304" t="s">
        <v>12961</v>
      </c>
      <c r="G304">
        <v>71</v>
      </c>
      <c r="H304" t="s">
        <v>12939</v>
      </c>
      <c r="I304" t="s">
        <v>12964</v>
      </c>
      <c r="J304" s="22">
        <v>45113</v>
      </c>
      <c r="K304">
        <v>0</v>
      </c>
      <c r="L304">
        <v>7</v>
      </c>
      <c r="M304" s="21">
        <f ca="1">LEFT(Music_Data[[#This Row],[Duration_minutes]],3)/60</f>
        <v>3.15</v>
      </c>
      <c r="N304" s="17">
        <v>0.69699999999999995</v>
      </c>
      <c r="O304" s="17" t="str">
        <f ca="1">PROPER(Music_Data[[#This Row],[Playlist_subgenre2]])</f>
        <v>French</v>
      </c>
    </row>
    <row r="305" spans="1:15">
      <c r="A305" s="17">
        <v>0.80200000000000005</v>
      </c>
      <c r="B305" s="21">
        <v>100</v>
      </c>
      <c r="C305" s="16">
        <v>0.71299999999999997</v>
      </c>
      <c r="D305" s="16" t="str">
        <f ca="1">PROPER(Music_Data[[#This Row],[Playlist_genre2]])</f>
        <v>Electronic</v>
      </c>
      <c r="E305" s="17">
        <v>0.34300000000000003</v>
      </c>
      <c r="F305" t="s">
        <v>4713</v>
      </c>
      <c r="G305">
        <v>71</v>
      </c>
      <c r="H305" t="s">
        <v>4206</v>
      </c>
      <c r="I305" t="s">
        <v>4717</v>
      </c>
      <c r="J305" s="22">
        <v>42171</v>
      </c>
      <c r="K305">
        <v>1</v>
      </c>
      <c r="L305">
        <v>4</v>
      </c>
      <c r="M305" s="21">
        <f ca="1">LEFT(Music_Data[[#This Row],[Duration_minutes]],3)/60</f>
        <v>3.7666666666666666</v>
      </c>
      <c r="N305" s="17">
        <v>4.3499999999999997E-2</v>
      </c>
      <c r="O305" s="17" t="str">
        <f ca="1">PROPER(Music_Data[[#This Row],[Playlist_subgenre2]])</f>
        <v>Modern</v>
      </c>
    </row>
    <row r="306" spans="1:15">
      <c r="A306" s="17">
        <v>0.80200000000000005</v>
      </c>
      <c r="B306" s="21">
        <v>100</v>
      </c>
      <c r="C306" s="16">
        <v>0.71299999999999997</v>
      </c>
      <c r="D306" s="16" t="str">
        <f ca="1">PROPER(Music_Data[[#This Row],[Playlist_genre2]])</f>
        <v>Electronic</v>
      </c>
      <c r="E306" s="17">
        <v>0.34300000000000003</v>
      </c>
      <c r="F306" t="s">
        <v>4713</v>
      </c>
      <c r="G306">
        <v>71</v>
      </c>
      <c r="H306" t="s">
        <v>10575</v>
      </c>
      <c r="I306" t="s">
        <v>4717</v>
      </c>
      <c r="J306" s="22">
        <v>42171</v>
      </c>
      <c r="K306">
        <v>1</v>
      </c>
      <c r="L306">
        <v>4</v>
      </c>
      <c r="M306" s="21">
        <f ca="1">LEFT(Music_Data[[#This Row],[Duration_minutes]],3)/60</f>
        <v>3.7666666666666666</v>
      </c>
      <c r="N306" s="17">
        <v>4.3499999999999997E-2</v>
      </c>
      <c r="O306" s="17" t="str">
        <f ca="1">PROPER(Music_Data[[#This Row],[Playlist_subgenre2]])</f>
        <v>Future Bass</v>
      </c>
    </row>
    <row r="307" spans="1:15">
      <c r="A307" s="17">
        <v>0.56899999999999995</v>
      </c>
      <c r="B307" s="21">
        <v>115</v>
      </c>
      <c r="C307" s="16">
        <v>0.77200000000000002</v>
      </c>
      <c r="D307" s="16" t="str">
        <f ca="1">PROPER(Music_Data[[#This Row],[Playlist_genre2]])</f>
        <v>Electronic</v>
      </c>
      <c r="E307" s="17">
        <v>0.52500000000000002</v>
      </c>
      <c r="F307" t="s">
        <v>13053</v>
      </c>
      <c r="G307">
        <v>71</v>
      </c>
      <c r="H307" t="s">
        <v>12939</v>
      </c>
      <c r="I307" t="s">
        <v>13058</v>
      </c>
      <c r="J307" s="22">
        <v>45555</v>
      </c>
      <c r="K307">
        <v>0</v>
      </c>
      <c r="L307">
        <v>6</v>
      </c>
      <c r="M307" s="21">
        <f ca="1">LEFT(Music_Data[[#This Row],[Duration_minutes]],3)/60</f>
        <v>4.0999999999999996</v>
      </c>
      <c r="N307" s="17">
        <v>0.23499999999999999</v>
      </c>
      <c r="O307" s="17" t="str">
        <f ca="1">PROPER(Music_Data[[#This Row],[Playlist_subgenre2]])</f>
        <v>French</v>
      </c>
    </row>
    <row r="308" spans="1:15">
      <c r="A308" s="17">
        <v>0.70899999999999996</v>
      </c>
      <c r="B308" s="21">
        <v>130</v>
      </c>
      <c r="C308" s="16">
        <v>0.872</v>
      </c>
      <c r="D308" s="16" t="str">
        <f ca="1">PROPER(Music_Data[[#This Row],[Playlist_genre2]])</f>
        <v>Electronic</v>
      </c>
      <c r="E308" s="17">
        <v>0.309</v>
      </c>
      <c r="F308" t="s">
        <v>13044</v>
      </c>
      <c r="G308">
        <v>71</v>
      </c>
      <c r="H308" t="s">
        <v>12939</v>
      </c>
      <c r="I308" t="s">
        <v>13050</v>
      </c>
      <c r="J308" s="22">
        <v>45533</v>
      </c>
      <c r="K308">
        <v>1</v>
      </c>
      <c r="L308">
        <v>10</v>
      </c>
      <c r="M308" s="21">
        <f ca="1">LEFT(Music_Data[[#This Row],[Duration_minutes]],3)/60</f>
        <v>2.8166666666666669</v>
      </c>
      <c r="N308" s="17">
        <v>0.33600000000000002</v>
      </c>
      <c r="O308" s="17" t="str">
        <f ca="1">PROPER(Music_Data[[#This Row],[Playlist_subgenre2]])</f>
        <v>French</v>
      </c>
    </row>
    <row r="309" spans="1:15">
      <c r="A309" s="17">
        <v>0.83599999999999997</v>
      </c>
      <c r="B309" s="21">
        <v>113</v>
      </c>
      <c r="C309" s="16">
        <v>0.72899999999999998</v>
      </c>
      <c r="D309" s="16" t="str">
        <f ca="1">PROPER(Music_Data[[#This Row],[Playlist_genre2]])</f>
        <v>Electronic</v>
      </c>
      <c r="E309" s="17">
        <v>0.28799999999999998</v>
      </c>
      <c r="F309" t="s">
        <v>10291</v>
      </c>
      <c r="G309">
        <v>71</v>
      </c>
      <c r="H309" t="s">
        <v>10265</v>
      </c>
      <c r="I309" t="s">
        <v>6593</v>
      </c>
      <c r="J309" s="22">
        <v>44672</v>
      </c>
      <c r="K309">
        <v>1</v>
      </c>
      <c r="L309">
        <v>8</v>
      </c>
      <c r="M309" s="21">
        <f ca="1">LEFT(Music_Data[[#This Row],[Duration_minutes]],3)/60</f>
        <v>2.5666666666666669</v>
      </c>
      <c r="N309" s="17">
        <v>0.156</v>
      </c>
      <c r="O309" s="17" t="str">
        <f ca="1">PROPER(Music_Data[[#This Row],[Playlist_subgenre2]])</f>
        <v>Tropical</v>
      </c>
    </row>
    <row r="310" spans="1:15">
      <c r="A310" s="17">
        <v>0.14899999999999999</v>
      </c>
      <c r="B310" s="21">
        <v>820</v>
      </c>
      <c r="C310" s="16">
        <v>0.48499999999999999</v>
      </c>
      <c r="D310" s="16" t="str">
        <f ca="1">PROPER(Music_Data[[#This Row],[Playlist_genre2]])</f>
        <v>Electronic</v>
      </c>
      <c r="E310" s="17">
        <v>0.112</v>
      </c>
      <c r="F310" t="s">
        <v>13214</v>
      </c>
      <c r="G310">
        <v>70</v>
      </c>
      <c r="H310" t="s">
        <v>12652</v>
      </c>
      <c r="I310" t="s">
        <v>12662</v>
      </c>
      <c r="J310" s="22">
        <v>45100</v>
      </c>
      <c r="K310">
        <v>0</v>
      </c>
      <c r="L310">
        <v>8</v>
      </c>
      <c r="M310" s="21">
        <f ca="1">LEFT(Music_Data[[#This Row],[Duration_minutes]],3)/60</f>
        <v>16.600000000000001</v>
      </c>
      <c r="N310" s="17">
        <v>0.88600000000000001</v>
      </c>
      <c r="O310" s="17" t="str">
        <f ca="1">PROPER(Music_Data[[#This Row],[Playlist_subgenre2]])</f>
        <v>Vaporwave</v>
      </c>
    </row>
    <row r="311" spans="1:15">
      <c r="A311" s="17">
        <v>0.748</v>
      </c>
      <c r="B311" s="21">
        <v>125</v>
      </c>
      <c r="C311" s="16">
        <v>0.503</v>
      </c>
      <c r="D311" s="16" t="str">
        <f ca="1">PROPER(Music_Data[[#This Row],[Playlist_genre2]])</f>
        <v>Electronic</v>
      </c>
      <c r="E311" s="17">
        <v>0.35599999999999998</v>
      </c>
      <c r="F311" t="s">
        <v>4771</v>
      </c>
      <c r="G311">
        <v>70</v>
      </c>
      <c r="H311" t="s">
        <v>4206</v>
      </c>
      <c r="I311" t="s">
        <v>4778</v>
      </c>
      <c r="J311" s="22">
        <v>42146</v>
      </c>
      <c r="K311">
        <v>1</v>
      </c>
      <c r="L311">
        <v>5</v>
      </c>
      <c r="M311" s="21">
        <f ca="1">LEFT(Music_Data[[#This Row],[Duration_minutes]],3)/60</f>
        <v>3.5</v>
      </c>
      <c r="N311" s="17">
        <v>3.0499999999999999E-2</v>
      </c>
      <c r="O311" s="17" t="str">
        <f ca="1">PROPER(Music_Data[[#This Row],[Playlist_subgenre2]])</f>
        <v>Modern</v>
      </c>
    </row>
    <row r="312" spans="1:15">
      <c r="A312" s="17">
        <v>0.83299999999999996</v>
      </c>
      <c r="B312" s="21">
        <v>129</v>
      </c>
      <c r="C312" s="16">
        <v>0.55100000000000005</v>
      </c>
      <c r="D312" s="16" t="str">
        <f ca="1">PROPER(Music_Data[[#This Row],[Playlist_genre2]])</f>
        <v>Electronic</v>
      </c>
      <c r="E312" s="17">
        <v>0.14499999999999999</v>
      </c>
      <c r="F312" t="s">
        <v>4754</v>
      </c>
      <c r="G312">
        <v>70</v>
      </c>
      <c r="H312" t="s">
        <v>4206</v>
      </c>
      <c r="I312" t="s">
        <v>4760</v>
      </c>
      <c r="J312" s="22">
        <v>41397</v>
      </c>
      <c r="K312">
        <v>1</v>
      </c>
      <c r="L312">
        <v>8</v>
      </c>
      <c r="M312" s="21">
        <f ca="1">LEFT(Music_Data[[#This Row],[Duration_minutes]],3)/60</f>
        <v>3.4</v>
      </c>
      <c r="N312" s="17">
        <v>3.9100000000000003E-2</v>
      </c>
      <c r="O312" s="17" t="str">
        <f ca="1">PROPER(Music_Data[[#This Row],[Playlist_subgenre2]])</f>
        <v>Modern</v>
      </c>
    </row>
    <row r="313" spans="1:15">
      <c r="A313" s="17">
        <v>0.81699999999999995</v>
      </c>
      <c r="B313" s="21">
        <v>128</v>
      </c>
      <c r="C313" s="16">
        <v>0.88300000000000001</v>
      </c>
      <c r="D313" s="16" t="str">
        <f ca="1">PROPER(Music_Data[[#This Row],[Playlist_genre2]])</f>
        <v>Electronic</v>
      </c>
      <c r="E313" s="17">
        <v>0.59499999999999997</v>
      </c>
      <c r="F313" t="s">
        <v>4764</v>
      </c>
      <c r="G313">
        <v>70</v>
      </c>
      <c r="H313" t="s">
        <v>4206</v>
      </c>
      <c r="I313" t="s">
        <v>4767</v>
      </c>
      <c r="J313" s="22">
        <v>41859</v>
      </c>
      <c r="K313">
        <v>1</v>
      </c>
      <c r="L313">
        <v>0</v>
      </c>
      <c r="M313" s="21">
        <f ca="1">LEFT(Music_Data[[#This Row],[Duration_minutes]],3)/60</f>
        <v>2.7666666666666666</v>
      </c>
      <c r="N313" s="17">
        <v>0.60099999999999998</v>
      </c>
      <c r="O313" s="17" t="str">
        <f ca="1">PROPER(Music_Data[[#This Row],[Playlist_subgenre2]])</f>
        <v>Modern</v>
      </c>
    </row>
    <row r="314" spans="1:15">
      <c r="A314" s="17">
        <v>0.68700000000000006</v>
      </c>
      <c r="B314" s="21">
        <v>106</v>
      </c>
      <c r="C314" s="16">
        <v>0.60499999999999998</v>
      </c>
      <c r="D314" s="16" t="str">
        <f ca="1">PROPER(Music_Data[[#This Row],[Playlist_genre2]])</f>
        <v>Electronic</v>
      </c>
      <c r="E314" s="17">
        <v>0.12</v>
      </c>
      <c r="F314" t="s">
        <v>4513</v>
      </c>
      <c r="G314">
        <v>70</v>
      </c>
      <c r="H314" t="s">
        <v>12652</v>
      </c>
      <c r="I314" t="s">
        <v>12711</v>
      </c>
      <c r="J314" s="22">
        <v>36962</v>
      </c>
      <c r="K314">
        <v>0</v>
      </c>
      <c r="L314">
        <v>9</v>
      </c>
      <c r="M314" s="21">
        <f ca="1">LEFT(Music_Data[[#This Row],[Duration_minutes]],3)/60</f>
        <v>5.75</v>
      </c>
      <c r="N314" s="17">
        <v>0.47899999999999998</v>
      </c>
      <c r="O314" s="17" t="str">
        <f ca="1">PROPER(Music_Data[[#This Row],[Playlist_subgenre2]])</f>
        <v>Vaporwave</v>
      </c>
    </row>
    <row r="315" spans="1:15">
      <c r="A315" s="17">
        <v>0.91300000000000003</v>
      </c>
      <c r="B315" s="21">
        <v>123</v>
      </c>
      <c r="C315" s="16">
        <v>0.60599999999999998</v>
      </c>
      <c r="D315" s="16" t="str">
        <f ca="1">PROPER(Music_Data[[#This Row],[Playlist_genre2]])</f>
        <v>Electronic</v>
      </c>
      <c r="E315" s="17">
        <v>0.83799999999999997</v>
      </c>
      <c r="F315" t="s">
        <v>12970</v>
      </c>
      <c r="G315">
        <v>70</v>
      </c>
      <c r="H315" t="s">
        <v>12939</v>
      </c>
      <c r="I315" t="s">
        <v>12976</v>
      </c>
      <c r="J315" s="22">
        <v>36893</v>
      </c>
      <c r="K315">
        <v>0</v>
      </c>
      <c r="L315">
        <v>8</v>
      </c>
      <c r="M315" s="21">
        <f ca="1">LEFT(Music_Data[[#This Row],[Duration_minutes]],3)/60</f>
        <v>4.4333333333333336</v>
      </c>
      <c r="N315" s="17">
        <v>0.246</v>
      </c>
      <c r="O315" s="17" t="str">
        <f ca="1">PROPER(Music_Data[[#This Row],[Playlist_subgenre2]])</f>
        <v>French</v>
      </c>
    </row>
    <row r="316" spans="1:15">
      <c r="A316" s="17">
        <v>0.39200000000000002</v>
      </c>
      <c r="B316" s="21">
        <v>750</v>
      </c>
      <c r="C316" s="16">
        <v>0.59899999999999998</v>
      </c>
      <c r="D316" s="16" t="str">
        <f ca="1">PROPER(Music_Data[[#This Row],[Playlist_genre2]])</f>
        <v>Electronic</v>
      </c>
      <c r="E316" s="17">
        <v>0.26</v>
      </c>
      <c r="F316" t="s">
        <v>4782</v>
      </c>
      <c r="G316">
        <v>70</v>
      </c>
      <c r="H316" t="s">
        <v>4206</v>
      </c>
      <c r="I316" t="s">
        <v>4789</v>
      </c>
      <c r="J316" s="22">
        <v>41428</v>
      </c>
      <c r="K316">
        <v>0</v>
      </c>
      <c r="L316">
        <v>10</v>
      </c>
      <c r="M316" s="21">
        <f ca="1">LEFT(Music_Data[[#This Row],[Duration_minutes]],3)/60</f>
        <v>4.7</v>
      </c>
      <c r="N316" s="17">
        <v>0.378</v>
      </c>
      <c r="O316" s="17" t="str">
        <f ca="1">PROPER(Music_Data[[#This Row],[Playlist_subgenre2]])</f>
        <v>Modern</v>
      </c>
    </row>
    <row r="317" spans="1:15">
      <c r="A317" s="17">
        <v>0.39200000000000002</v>
      </c>
      <c r="B317" s="21">
        <v>750</v>
      </c>
      <c r="C317" s="16">
        <v>0.59899999999999998</v>
      </c>
      <c r="D317" s="16" t="str">
        <f ca="1">PROPER(Music_Data[[#This Row],[Playlist_genre2]])</f>
        <v>Electronic</v>
      </c>
      <c r="E317" s="17">
        <v>0.26</v>
      </c>
      <c r="F317" t="s">
        <v>4782</v>
      </c>
      <c r="G317">
        <v>70</v>
      </c>
      <c r="H317" t="s">
        <v>10575</v>
      </c>
      <c r="I317" t="s">
        <v>4789</v>
      </c>
      <c r="J317" s="22">
        <v>41428</v>
      </c>
      <c r="K317">
        <v>0</v>
      </c>
      <c r="L317">
        <v>10</v>
      </c>
      <c r="M317" s="21">
        <f ca="1">LEFT(Music_Data[[#This Row],[Duration_minutes]],3)/60</f>
        <v>4.7</v>
      </c>
      <c r="N317" s="17">
        <v>0.378</v>
      </c>
      <c r="O317" s="17" t="str">
        <f ca="1">PROPER(Music_Data[[#This Row],[Playlist_subgenre2]])</f>
        <v>Future Bass</v>
      </c>
    </row>
    <row r="318" spans="1:15">
      <c r="A318" s="17">
        <v>0.86699999999999999</v>
      </c>
      <c r="B318" s="21">
        <v>124</v>
      </c>
      <c r="C318" s="16">
        <v>0.747</v>
      </c>
      <c r="D318" s="16" t="str">
        <f ca="1">PROPER(Music_Data[[#This Row],[Playlist_genre2]])</f>
        <v>Electronic</v>
      </c>
      <c r="E318" s="17">
        <v>0.68400000000000005</v>
      </c>
      <c r="F318" t="s">
        <v>10476</v>
      </c>
      <c r="G318">
        <v>70</v>
      </c>
      <c r="H318" t="s">
        <v>10298</v>
      </c>
      <c r="I318" t="s">
        <v>10479</v>
      </c>
      <c r="J318" s="22">
        <v>45149</v>
      </c>
      <c r="K318">
        <v>1</v>
      </c>
      <c r="L318">
        <v>0</v>
      </c>
      <c r="M318" s="21">
        <f ca="1">LEFT(Music_Data[[#This Row],[Duration_minutes]],3)/60</f>
        <v>3.6666666666666665</v>
      </c>
      <c r="N318" s="17">
        <v>0.58199999999999996</v>
      </c>
      <c r="O318" s="17" t="str">
        <f ca="1">PROPER(Music_Data[[#This Row],[Playlist_subgenre2]])</f>
        <v>Techno</v>
      </c>
    </row>
    <row r="319" spans="1:15">
      <c r="A319" s="17">
        <v>0.56999999999999995</v>
      </c>
      <c r="B319" s="21">
        <v>121</v>
      </c>
      <c r="C319" s="16">
        <v>0.65500000000000003</v>
      </c>
      <c r="D319" s="16" t="str">
        <f ca="1">PROPER(Music_Data[[#This Row],[Playlist_genre2]])</f>
        <v>Electronic</v>
      </c>
      <c r="E319" s="17">
        <v>0.48699999999999999</v>
      </c>
      <c r="F319" t="s">
        <v>12578</v>
      </c>
      <c r="G319">
        <v>70</v>
      </c>
      <c r="H319" t="s">
        <v>12536</v>
      </c>
      <c r="I319" t="s">
        <v>12585</v>
      </c>
      <c r="J319" s="22">
        <v>45499</v>
      </c>
      <c r="K319">
        <v>0</v>
      </c>
      <c r="L319">
        <v>5</v>
      </c>
      <c r="M319" s="21">
        <f ca="1">LEFT(Music_Data[[#This Row],[Duration_minutes]],3)/60</f>
        <v>4.2166666666666668</v>
      </c>
      <c r="N319" s="17">
        <v>0.52700000000000002</v>
      </c>
      <c r="O319" s="17" t="str">
        <f ca="1">PROPER(Music_Data[[#This Row],[Playlist_subgenre2]])</f>
        <v>Afro House</v>
      </c>
    </row>
    <row r="320" spans="1:15">
      <c r="A320" s="17">
        <v>0.79100000000000004</v>
      </c>
      <c r="B320" s="21">
        <v>122</v>
      </c>
      <c r="C320" s="16">
        <v>0.57099999999999995</v>
      </c>
      <c r="D320" s="16" t="str">
        <f ca="1">PROPER(Music_Data[[#This Row],[Playlist_genre2]])</f>
        <v>Electronic</v>
      </c>
      <c r="E320" s="17">
        <v>0.58499999999999996</v>
      </c>
      <c r="F320" t="s">
        <v>10276</v>
      </c>
      <c r="G320">
        <v>70</v>
      </c>
      <c r="H320" t="s">
        <v>10265</v>
      </c>
      <c r="I320" t="s">
        <v>10280</v>
      </c>
      <c r="J320" s="22">
        <v>45401</v>
      </c>
      <c r="K320">
        <v>1</v>
      </c>
      <c r="L320">
        <v>1</v>
      </c>
      <c r="M320" s="21">
        <f ca="1">LEFT(Music_Data[[#This Row],[Duration_minutes]],3)/60</f>
        <v>2.9166666666666665</v>
      </c>
      <c r="N320" s="17">
        <v>4.9399999999999999E-2</v>
      </c>
      <c r="O320" s="17" t="str">
        <f ca="1">PROPER(Music_Data[[#This Row],[Playlist_subgenre2]])</f>
        <v>Tropical</v>
      </c>
    </row>
    <row r="321" spans="1:15">
      <c r="A321" s="17">
        <v>8.2299999999999998E-2</v>
      </c>
      <c r="B321" s="21">
        <v>672</v>
      </c>
      <c r="C321" s="16">
        <v>0.252</v>
      </c>
      <c r="D321" s="16" t="str">
        <f ca="1">PROPER(Music_Data[[#This Row],[Playlist_genre2]])</f>
        <v>Electronic</v>
      </c>
      <c r="E321" s="17">
        <v>3.8100000000000002E-2</v>
      </c>
      <c r="F321" t="s">
        <v>12666</v>
      </c>
      <c r="G321">
        <v>70</v>
      </c>
      <c r="H321" t="s">
        <v>12652</v>
      </c>
      <c r="I321" t="s">
        <v>12669</v>
      </c>
      <c r="J321" s="22">
        <v>44827</v>
      </c>
      <c r="K321">
        <v>1</v>
      </c>
      <c r="L321">
        <v>5</v>
      </c>
      <c r="M321" s="21">
        <f ca="1">LEFT(Music_Data[[#This Row],[Duration_minutes]],3)/60</f>
        <v>14.383333333333333</v>
      </c>
      <c r="N321" s="17">
        <v>0.95099999999999996</v>
      </c>
      <c r="O321" s="17" t="str">
        <f ca="1">PROPER(Music_Data[[#This Row],[Playlist_subgenre2]])</f>
        <v>Vaporwave</v>
      </c>
    </row>
    <row r="322" spans="1:15">
      <c r="A322" s="17">
        <v>0.80900000000000005</v>
      </c>
      <c r="B322" s="21">
        <v>116</v>
      </c>
      <c r="C322" s="16">
        <v>0.73199999999999998</v>
      </c>
      <c r="D322" s="16" t="str">
        <f ca="1">PROPER(Music_Data[[#This Row],[Playlist_genre2]])</f>
        <v>Electronic</v>
      </c>
      <c r="E322" s="17">
        <v>0.253</v>
      </c>
      <c r="F322" t="s">
        <v>4453</v>
      </c>
      <c r="G322">
        <v>70</v>
      </c>
      <c r="H322" t="s">
        <v>12939</v>
      </c>
      <c r="I322" t="s">
        <v>12942</v>
      </c>
      <c r="J322" s="22">
        <v>41275</v>
      </c>
      <c r="K322">
        <v>0</v>
      </c>
      <c r="L322">
        <v>10</v>
      </c>
      <c r="M322" s="21">
        <f ca="1">LEFT(Music_Data[[#This Row],[Duration_minutes]],3)/60</f>
        <v>3.8666666666666667</v>
      </c>
      <c r="N322" s="17">
        <v>2.6599999999999999E-2</v>
      </c>
      <c r="O322" s="17" t="str">
        <f ca="1">PROPER(Music_Data[[#This Row],[Playlist_subgenre2]])</f>
        <v>French</v>
      </c>
    </row>
    <row r="323" spans="1:15">
      <c r="A323" s="17">
        <v>0.629</v>
      </c>
      <c r="B323" s="21">
        <v>705</v>
      </c>
      <c r="C323" s="16">
        <v>0.51300000000000001</v>
      </c>
      <c r="D323" s="16" t="str">
        <f ca="1">PROPER(Music_Data[[#This Row],[Playlist_genre2]])</f>
        <v>Electronic</v>
      </c>
      <c r="E323" s="17">
        <v>0.498</v>
      </c>
      <c r="F323" t="s">
        <v>4453</v>
      </c>
      <c r="G323">
        <v>70</v>
      </c>
      <c r="H323" t="s">
        <v>12939</v>
      </c>
      <c r="I323" t="s">
        <v>12996</v>
      </c>
      <c r="J323" s="22">
        <v>41275</v>
      </c>
      <c r="K323">
        <v>0</v>
      </c>
      <c r="L323">
        <v>4</v>
      </c>
      <c r="M323" s="21">
        <f ca="1">LEFT(Music_Data[[#This Row],[Duration_minutes]],3)/60</f>
        <v>3.55</v>
      </c>
      <c r="N323" s="17">
        <v>9.8599999999999993E-2</v>
      </c>
      <c r="O323" s="17" t="str">
        <f ca="1">PROPER(Music_Data[[#This Row],[Playlist_subgenre2]])</f>
        <v>French</v>
      </c>
    </row>
    <row r="324" spans="1:15">
      <c r="A324" s="17">
        <v>0.72299999999999998</v>
      </c>
      <c r="B324" s="21">
        <v>123</v>
      </c>
      <c r="C324" s="16">
        <v>0.78700000000000003</v>
      </c>
      <c r="D324" s="16" t="str">
        <f ca="1">PROPER(Music_Data[[#This Row],[Playlist_genre2]])</f>
        <v>Electronic</v>
      </c>
      <c r="E324" s="17">
        <v>0.57899999999999996</v>
      </c>
      <c r="F324" t="s">
        <v>12564</v>
      </c>
      <c r="G324">
        <v>70</v>
      </c>
      <c r="H324" t="s">
        <v>12536</v>
      </c>
      <c r="I324" t="s">
        <v>12567</v>
      </c>
      <c r="J324" s="22">
        <v>45273</v>
      </c>
      <c r="K324">
        <v>0</v>
      </c>
      <c r="L324">
        <v>10</v>
      </c>
      <c r="M324" s="21">
        <f ca="1">LEFT(Music_Data[[#This Row],[Duration_minutes]],3)/60</f>
        <v>3.2833333333333332</v>
      </c>
      <c r="N324" s="17">
        <v>5.0900000000000001E-2</v>
      </c>
      <c r="O324" s="17" t="str">
        <f ca="1">PROPER(Music_Data[[#This Row],[Playlist_subgenre2]])</f>
        <v>Afro House</v>
      </c>
    </row>
    <row r="325" spans="1:15">
      <c r="A325" s="17">
        <v>0.872</v>
      </c>
      <c r="B325" s="21">
        <v>122</v>
      </c>
      <c r="C325" s="16">
        <v>0.43</v>
      </c>
      <c r="D325" s="16" t="str">
        <f ca="1">PROPER(Music_Data[[#This Row],[Playlist_genre2]])</f>
        <v>Electronic</v>
      </c>
      <c r="E325" s="17">
        <v>0.13600000000000001</v>
      </c>
      <c r="F325" t="s">
        <v>12550</v>
      </c>
      <c r="G325">
        <v>69</v>
      </c>
      <c r="H325" t="s">
        <v>12536</v>
      </c>
      <c r="I325" t="s">
        <v>12553</v>
      </c>
      <c r="J325" s="22">
        <v>45534</v>
      </c>
      <c r="K325">
        <v>1</v>
      </c>
      <c r="L325">
        <v>1</v>
      </c>
      <c r="M325" s="21">
        <f ca="1">LEFT(Music_Data[[#This Row],[Duration_minutes]],3)/60</f>
        <v>3.0666666666666669</v>
      </c>
      <c r="N325" s="17">
        <v>0.11799999999999999</v>
      </c>
      <c r="O325" s="17" t="str">
        <f ca="1">PROPER(Music_Data[[#This Row],[Playlist_subgenre2]])</f>
        <v>Afro House</v>
      </c>
    </row>
    <row r="326" spans="1:15">
      <c r="A326" s="17">
        <v>0.86299999999999999</v>
      </c>
      <c r="B326" s="21">
        <v>130</v>
      </c>
      <c r="C326" s="16">
        <v>0.65200000000000002</v>
      </c>
      <c r="D326" s="16" t="str">
        <f ca="1">PROPER(Music_Data[[#This Row],[Playlist_genre2]])</f>
        <v>Electronic</v>
      </c>
      <c r="E326" s="17">
        <v>0.80500000000000005</v>
      </c>
      <c r="F326" t="s">
        <v>10525</v>
      </c>
      <c r="G326">
        <v>69</v>
      </c>
      <c r="H326" t="s">
        <v>10298</v>
      </c>
      <c r="I326" t="s">
        <v>10528</v>
      </c>
      <c r="J326" s="22">
        <v>45569</v>
      </c>
      <c r="K326">
        <v>0</v>
      </c>
      <c r="L326">
        <v>7</v>
      </c>
      <c r="M326" s="21">
        <f ca="1">LEFT(Music_Data[[#This Row],[Duration_minutes]],3)/60</f>
        <v>2.5833333333333335</v>
      </c>
      <c r="N326" s="17">
        <v>9.2100000000000001E-2</v>
      </c>
      <c r="O326" s="17" t="str">
        <f ca="1">PROPER(Music_Data[[#This Row],[Playlist_subgenre2]])</f>
        <v>Techno</v>
      </c>
    </row>
    <row r="327" spans="1:15">
      <c r="A327" s="17">
        <v>0.93700000000000006</v>
      </c>
      <c r="B327" s="21">
        <v>123</v>
      </c>
      <c r="C327" s="16">
        <v>0.65100000000000002</v>
      </c>
      <c r="D327" s="16" t="str">
        <f ca="1">PROPER(Music_Data[[#This Row],[Playlist_genre2]])</f>
        <v>Electronic</v>
      </c>
      <c r="E327" s="17">
        <v>0.66600000000000004</v>
      </c>
      <c r="F327" t="s">
        <v>10492</v>
      </c>
      <c r="G327">
        <v>69</v>
      </c>
      <c r="H327" t="s">
        <v>10298</v>
      </c>
      <c r="I327" t="s">
        <v>10498</v>
      </c>
      <c r="J327" s="22">
        <v>44939</v>
      </c>
      <c r="K327">
        <v>1</v>
      </c>
      <c r="L327">
        <v>7</v>
      </c>
      <c r="M327" s="21">
        <f ca="1">LEFT(Music_Data[[#This Row],[Duration_minutes]],3)/60</f>
        <v>2.0833333333333335</v>
      </c>
      <c r="N327" s="17">
        <v>0.23599999999999999</v>
      </c>
      <c r="O327" s="17" t="str">
        <f ca="1">PROPER(Music_Data[[#This Row],[Playlist_subgenre2]])</f>
        <v>Techno</v>
      </c>
    </row>
    <row r="328" spans="1:15">
      <c r="A328" s="17">
        <v>0.89700000000000002</v>
      </c>
      <c r="B328" s="21">
        <v>124</v>
      </c>
      <c r="C328" s="16">
        <v>0.68899999999999995</v>
      </c>
      <c r="D328" s="16" t="str">
        <f ca="1">PROPER(Music_Data[[#This Row],[Playlist_genre2]])</f>
        <v>Electronic</v>
      </c>
      <c r="E328" s="17">
        <v>0.58199999999999996</v>
      </c>
      <c r="F328" t="s">
        <v>10516</v>
      </c>
      <c r="G328">
        <v>69</v>
      </c>
      <c r="H328" t="s">
        <v>10298</v>
      </c>
      <c r="I328" t="s">
        <v>10519</v>
      </c>
      <c r="J328" s="22">
        <v>44967</v>
      </c>
      <c r="K328">
        <v>0</v>
      </c>
      <c r="L328">
        <v>10</v>
      </c>
      <c r="M328" s="21">
        <f ca="1">LEFT(Music_Data[[#This Row],[Duration_minutes]],3)/60</f>
        <v>3.0166666666666666</v>
      </c>
      <c r="N328" s="17">
        <v>0.14499999999999999</v>
      </c>
      <c r="O328" s="17" t="str">
        <f ca="1">PROPER(Music_Data[[#This Row],[Playlist_subgenre2]])</f>
        <v>Techno</v>
      </c>
    </row>
    <row r="329" spans="1:15">
      <c r="A329" s="17">
        <v>0.85499999999999998</v>
      </c>
      <c r="B329" s="21">
        <v>117</v>
      </c>
      <c r="C329" s="16">
        <v>0.53400000000000003</v>
      </c>
      <c r="D329" s="16" t="str">
        <f ca="1">PROPER(Music_Data[[#This Row],[Playlist_genre2]])</f>
        <v>Electronic</v>
      </c>
      <c r="E329" s="17">
        <v>0.60099999999999998</v>
      </c>
      <c r="F329" t="s">
        <v>12674</v>
      </c>
      <c r="G329">
        <v>69</v>
      </c>
      <c r="H329" t="s">
        <v>12652</v>
      </c>
      <c r="I329" t="s">
        <v>6564</v>
      </c>
      <c r="J329" s="22">
        <v>2015</v>
      </c>
      <c r="K329">
        <v>0</v>
      </c>
      <c r="L329">
        <v>8</v>
      </c>
      <c r="M329" s="21">
        <f ca="1">LEFT(Music_Data[[#This Row],[Duration_minutes]],3)/60</f>
        <v>3.6333333333333333</v>
      </c>
      <c r="N329" s="17">
        <v>4.2999999999999999E-4</v>
      </c>
      <c r="O329" s="17" t="str">
        <f ca="1">PROPER(Music_Data[[#This Row],[Playlist_subgenre2]])</f>
        <v>Vaporwave</v>
      </c>
    </row>
    <row r="330" spans="1:15">
      <c r="A330" s="17">
        <v>0.83</v>
      </c>
      <c r="B330" s="21">
        <v>120</v>
      </c>
      <c r="C330" s="16">
        <v>0.80800000000000005</v>
      </c>
      <c r="D330" s="16" t="str">
        <f ca="1">PROPER(Music_Data[[#This Row],[Playlist_genre2]])</f>
        <v>Electronic</v>
      </c>
      <c r="E330" s="17">
        <v>0.46500000000000002</v>
      </c>
      <c r="F330" t="s">
        <v>12587</v>
      </c>
      <c r="G330">
        <v>69</v>
      </c>
      <c r="H330" t="s">
        <v>12536</v>
      </c>
      <c r="I330" t="s">
        <v>12593</v>
      </c>
      <c r="J330" s="22">
        <v>45345</v>
      </c>
      <c r="K330">
        <v>1</v>
      </c>
      <c r="L330">
        <v>1</v>
      </c>
      <c r="M330" s="21">
        <f ca="1">LEFT(Music_Data[[#This Row],[Duration_minutes]],3)/60</f>
        <v>3.55</v>
      </c>
      <c r="N330" s="17">
        <v>5.7499999999999999E-3</v>
      </c>
      <c r="O330" s="17" t="str">
        <f ca="1">PROPER(Music_Data[[#This Row],[Playlist_subgenre2]])</f>
        <v>Afro House</v>
      </c>
    </row>
    <row r="331" spans="1:15">
      <c r="A331" s="17">
        <v>0.71399999999999997</v>
      </c>
      <c r="B331" s="21">
        <v>127</v>
      </c>
      <c r="C331" s="16">
        <v>0.63400000000000001</v>
      </c>
      <c r="D331" s="16" t="str">
        <f ca="1">PROPER(Music_Data[[#This Row],[Playlist_genre2]])</f>
        <v>Electronic</v>
      </c>
      <c r="E331" s="17">
        <v>0.40899999999999997</v>
      </c>
      <c r="F331" t="s">
        <v>10508</v>
      </c>
      <c r="G331">
        <v>69</v>
      </c>
      <c r="H331" t="s">
        <v>10298</v>
      </c>
      <c r="I331" t="s">
        <v>10511</v>
      </c>
      <c r="J331" s="22">
        <v>45576</v>
      </c>
      <c r="K331">
        <v>1</v>
      </c>
      <c r="L331">
        <v>7</v>
      </c>
      <c r="M331" s="21">
        <f ca="1">LEFT(Music_Data[[#This Row],[Duration_minutes]],3)/60</f>
        <v>2.4333333333333331</v>
      </c>
      <c r="N331" s="17">
        <v>8.8199999999999997E-3</v>
      </c>
      <c r="O331" s="17" t="str">
        <f ca="1">PROPER(Music_Data[[#This Row],[Playlist_subgenre2]])</f>
        <v>Techno</v>
      </c>
    </row>
    <row r="332" spans="1:15">
      <c r="A332" s="17">
        <v>0.70799999999999996</v>
      </c>
      <c r="B332" s="21">
        <v>130</v>
      </c>
      <c r="C332" s="16">
        <v>0.872</v>
      </c>
      <c r="D332" s="16" t="str">
        <f ca="1">PROPER(Music_Data[[#This Row],[Playlist_genre2]])</f>
        <v>Electronic</v>
      </c>
      <c r="E332" s="17">
        <v>0.308</v>
      </c>
      <c r="F332" t="s">
        <v>13044</v>
      </c>
      <c r="G332">
        <v>69</v>
      </c>
      <c r="H332" t="s">
        <v>12939</v>
      </c>
      <c r="I332" t="s">
        <v>13050</v>
      </c>
      <c r="J332" s="22">
        <v>45555</v>
      </c>
      <c r="K332">
        <v>1</v>
      </c>
      <c r="L332">
        <v>10</v>
      </c>
      <c r="M332" s="21">
        <f ca="1">LEFT(Music_Data[[#This Row],[Duration_minutes]],3)/60</f>
        <v>2.8166666666666669</v>
      </c>
      <c r="N332" s="17">
        <v>0.33600000000000002</v>
      </c>
      <c r="O332" s="17" t="str">
        <f ca="1">PROPER(Music_Data[[#This Row],[Playlist_subgenre2]])</f>
        <v>French</v>
      </c>
    </row>
    <row r="333" spans="1:15">
      <c r="A333" s="17">
        <v>0.88800000000000001</v>
      </c>
      <c r="B333" s="21">
        <v>123</v>
      </c>
      <c r="C333" s="16">
        <v>0.67100000000000004</v>
      </c>
      <c r="D333" s="16" t="str">
        <f ca="1">PROPER(Music_Data[[#This Row],[Playlist_genre2]])</f>
        <v>Electronic</v>
      </c>
      <c r="E333" s="17">
        <v>0.41199999999999998</v>
      </c>
      <c r="F333" t="s">
        <v>13187</v>
      </c>
      <c r="G333">
        <v>69</v>
      </c>
      <c r="H333" t="s">
        <v>10298</v>
      </c>
      <c r="I333" t="s">
        <v>10503</v>
      </c>
      <c r="J333" s="22">
        <v>45604</v>
      </c>
      <c r="K333">
        <v>0</v>
      </c>
      <c r="L333">
        <v>10</v>
      </c>
      <c r="M333" s="21">
        <f ca="1">LEFT(Music_Data[[#This Row],[Duration_minutes]],3)/60</f>
        <v>2.4333333333333331</v>
      </c>
      <c r="N333" s="17">
        <v>2.2000000000000001E-3</v>
      </c>
      <c r="O333" s="17" t="str">
        <f ca="1">PROPER(Music_Data[[#This Row],[Playlist_subgenre2]])</f>
        <v>Techno</v>
      </c>
    </row>
    <row r="334" spans="1:15">
      <c r="A334" s="17">
        <v>0.78200000000000003</v>
      </c>
      <c r="B334" s="21">
        <v>119</v>
      </c>
      <c r="C334" s="16">
        <v>0.72699999999999998</v>
      </c>
      <c r="D334" s="16" t="str">
        <f ca="1">PROPER(Music_Data[[#This Row],[Playlist_genre2]])</f>
        <v>Electronic</v>
      </c>
      <c r="E334" s="17">
        <v>0.65500000000000003</v>
      </c>
      <c r="F334" t="s">
        <v>294</v>
      </c>
      <c r="G334">
        <v>68</v>
      </c>
      <c r="H334" t="s">
        <v>12536</v>
      </c>
      <c r="I334" t="s">
        <v>298</v>
      </c>
      <c r="J334" s="22">
        <v>45450</v>
      </c>
      <c r="K334">
        <v>0</v>
      </c>
      <c r="L334">
        <v>8</v>
      </c>
      <c r="M334" s="21">
        <f ca="1">LEFT(Music_Data[[#This Row],[Duration_minutes]],3)/60</f>
        <v>2.95</v>
      </c>
      <c r="N334" s="17">
        <v>5.6300000000000003E-2</v>
      </c>
      <c r="O334" s="17" t="str">
        <f ca="1">PROPER(Music_Data[[#This Row],[Playlist_subgenre2]])</f>
        <v>Afro House</v>
      </c>
    </row>
    <row r="335" spans="1:15">
      <c r="A335" s="17">
        <v>0.88</v>
      </c>
      <c r="B335" s="21">
        <v>130</v>
      </c>
      <c r="C335" s="16">
        <v>0.58799999999999997</v>
      </c>
      <c r="D335" s="16" t="str">
        <f ca="1">PROPER(Music_Data[[#This Row],[Playlist_genre2]])</f>
        <v>Electronic</v>
      </c>
      <c r="E335" s="17">
        <v>0.52300000000000002</v>
      </c>
      <c r="F335" t="s">
        <v>10551</v>
      </c>
      <c r="G335">
        <v>68</v>
      </c>
      <c r="H335" t="s">
        <v>10298</v>
      </c>
      <c r="I335" t="s">
        <v>10554</v>
      </c>
      <c r="J335" s="22">
        <v>45303</v>
      </c>
      <c r="K335">
        <v>1</v>
      </c>
      <c r="L335">
        <v>7</v>
      </c>
      <c r="M335" s="21">
        <f ca="1">LEFT(Music_Data[[#This Row],[Duration_minutes]],3)/60</f>
        <v>2.4</v>
      </c>
      <c r="N335" s="17">
        <v>2.4299999999999999E-2</v>
      </c>
      <c r="O335" s="17" t="str">
        <f ca="1">PROPER(Music_Data[[#This Row],[Playlist_subgenre2]])</f>
        <v>Techno</v>
      </c>
    </row>
    <row r="336" spans="1:15">
      <c r="A336" s="17">
        <v>0.79700000000000004</v>
      </c>
      <c r="B336" s="21">
        <v>979</v>
      </c>
      <c r="C336" s="16">
        <v>0.81100000000000005</v>
      </c>
      <c r="D336" s="16" t="str">
        <f ca="1">PROPER(Music_Data[[#This Row],[Playlist_genre2]])</f>
        <v>Electronic</v>
      </c>
      <c r="E336" s="17">
        <v>0.54100000000000004</v>
      </c>
      <c r="F336" t="s">
        <v>12945</v>
      </c>
      <c r="G336">
        <v>68</v>
      </c>
      <c r="H336" t="s">
        <v>12939</v>
      </c>
      <c r="I336" t="s">
        <v>12951</v>
      </c>
      <c r="J336" s="22">
        <v>43406</v>
      </c>
      <c r="K336">
        <v>1</v>
      </c>
      <c r="L336">
        <v>5</v>
      </c>
      <c r="M336" s="21">
        <f ca="1">LEFT(Music_Data[[#This Row],[Duration_minutes]],3)/60</f>
        <v>2.85</v>
      </c>
      <c r="N336" s="17">
        <v>6.1699999999999998E-2</v>
      </c>
      <c r="O336" s="17" t="str">
        <f ca="1">PROPER(Music_Data[[#This Row],[Playlist_subgenre2]])</f>
        <v>French</v>
      </c>
    </row>
    <row r="337" spans="1:15">
      <c r="A337" s="17">
        <v>0.95099999999999996</v>
      </c>
      <c r="B337" s="21">
        <v>749</v>
      </c>
      <c r="C337" s="16">
        <v>0.77200000000000002</v>
      </c>
      <c r="D337" s="16" t="str">
        <f ca="1">PROPER(Music_Data[[#This Row],[Playlist_genre2]])</f>
        <v>Electronic</v>
      </c>
      <c r="E337" s="17">
        <v>0.4</v>
      </c>
      <c r="F337" t="s">
        <v>10541</v>
      </c>
      <c r="G337">
        <v>68</v>
      </c>
      <c r="H337" t="s">
        <v>10298</v>
      </c>
      <c r="I337" t="s">
        <v>10544</v>
      </c>
      <c r="J337" s="22">
        <v>45569</v>
      </c>
      <c r="K337">
        <v>0</v>
      </c>
      <c r="L337">
        <v>9</v>
      </c>
      <c r="M337" s="21">
        <f ca="1">LEFT(Music_Data[[#This Row],[Duration_minutes]],3)/60</f>
        <v>2.5333333333333332</v>
      </c>
      <c r="N337" s="17">
        <v>6.3399999999999998E-2</v>
      </c>
      <c r="O337" s="17" t="str">
        <f ca="1">PROPER(Music_Data[[#This Row],[Playlist_subgenre2]])</f>
        <v>Techno</v>
      </c>
    </row>
    <row r="338" spans="1:15">
      <c r="A338" s="17">
        <v>0.754</v>
      </c>
      <c r="B338" s="21">
        <v>170</v>
      </c>
      <c r="C338" s="16">
        <v>0.56399999999999995</v>
      </c>
      <c r="D338" s="16" t="str">
        <f ca="1">PROPER(Music_Data[[#This Row],[Playlist_genre2]])</f>
        <v>Electronic</v>
      </c>
      <c r="E338" s="17">
        <v>0.45700000000000002</v>
      </c>
      <c r="F338" t="s">
        <v>12691</v>
      </c>
      <c r="G338">
        <v>68</v>
      </c>
      <c r="H338" t="s">
        <v>12652</v>
      </c>
      <c r="I338" t="s">
        <v>12697</v>
      </c>
      <c r="J338" s="22">
        <v>41821</v>
      </c>
      <c r="K338">
        <v>1</v>
      </c>
      <c r="L338">
        <v>8</v>
      </c>
      <c r="M338" s="21">
        <f ca="1">LEFT(Music_Data[[#This Row],[Duration_minutes]],3)/60</f>
        <v>3.5333333333333332</v>
      </c>
      <c r="N338" s="17">
        <v>4.24E-2</v>
      </c>
      <c r="O338" s="17" t="str">
        <f ca="1">PROPER(Music_Data[[#This Row],[Playlist_subgenre2]])</f>
        <v>Vaporwave</v>
      </c>
    </row>
    <row r="339" spans="1:15">
      <c r="A339" s="17">
        <v>0.879</v>
      </c>
      <c r="B339" s="21">
        <v>123</v>
      </c>
      <c r="C339" s="16">
        <v>0.74099999999999999</v>
      </c>
      <c r="D339" s="16" t="str">
        <f ca="1">PROPER(Music_Data[[#This Row],[Playlist_genre2]])</f>
        <v>Electronic</v>
      </c>
      <c r="E339" s="17">
        <v>0.36199999999999999</v>
      </c>
      <c r="F339" t="s">
        <v>12572</v>
      </c>
      <c r="G339">
        <v>68</v>
      </c>
      <c r="H339" t="s">
        <v>12536</v>
      </c>
      <c r="I339" t="s">
        <v>3938</v>
      </c>
      <c r="J339" s="22">
        <v>45100</v>
      </c>
      <c r="K339">
        <v>0</v>
      </c>
      <c r="L339">
        <v>1</v>
      </c>
      <c r="M339" s="21">
        <f ca="1">LEFT(Music_Data[[#This Row],[Duration_minutes]],3)/60</f>
        <v>3.35</v>
      </c>
      <c r="N339" s="17">
        <v>8.4099999999999994E-2</v>
      </c>
      <c r="O339" s="17" t="str">
        <f ca="1">PROPER(Music_Data[[#This Row],[Playlist_subgenre2]])</f>
        <v>Afro House</v>
      </c>
    </row>
    <row r="340" spans="1:15">
      <c r="A340" s="17">
        <v>0.60599999999999998</v>
      </c>
      <c r="B340" s="21">
        <v>123</v>
      </c>
      <c r="C340" s="16">
        <v>0.56699999999999995</v>
      </c>
      <c r="D340" s="16" t="str">
        <f ca="1">PROPER(Music_Data[[#This Row],[Playlist_genre2]])</f>
        <v>Electronic</v>
      </c>
      <c r="E340" s="17">
        <v>0.314</v>
      </c>
      <c r="F340" t="s">
        <v>10484</v>
      </c>
      <c r="G340">
        <v>68</v>
      </c>
      <c r="H340" t="s">
        <v>10298</v>
      </c>
      <c r="I340" t="s">
        <v>10487</v>
      </c>
      <c r="J340" s="22">
        <v>45611</v>
      </c>
      <c r="K340">
        <v>0</v>
      </c>
      <c r="L340">
        <v>10</v>
      </c>
      <c r="M340" s="21">
        <f ca="1">LEFT(Music_Data[[#This Row],[Duration_minutes]],3)/60</f>
        <v>2.85</v>
      </c>
      <c r="N340" s="17">
        <v>8.0100000000000005E-2</v>
      </c>
      <c r="O340" s="17" t="str">
        <f ca="1">PROPER(Music_Data[[#This Row],[Playlist_subgenre2]])</f>
        <v>Techno</v>
      </c>
    </row>
    <row r="341" spans="1:15">
      <c r="A341" s="17">
        <v>0.68799999999999994</v>
      </c>
      <c r="B341" s="21">
        <v>127</v>
      </c>
      <c r="C341" s="16">
        <v>0.60799999999999998</v>
      </c>
      <c r="D341" s="16" t="str">
        <f ca="1">PROPER(Music_Data[[#This Row],[Playlist_genre2]])</f>
        <v>Electronic</v>
      </c>
      <c r="E341" s="17">
        <v>0.214</v>
      </c>
      <c r="F341" t="s">
        <v>10533</v>
      </c>
      <c r="G341">
        <v>68</v>
      </c>
      <c r="H341" t="s">
        <v>10298</v>
      </c>
      <c r="I341" t="s">
        <v>10536</v>
      </c>
      <c r="J341" s="22">
        <v>45604</v>
      </c>
      <c r="K341">
        <v>0</v>
      </c>
      <c r="L341">
        <v>5</v>
      </c>
      <c r="M341" s="21">
        <f ca="1">LEFT(Music_Data[[#This Row],[Duration_minutes]],3)/60</f>
        <v>2.85</v>
      </c>
      <c r="N341" s="17">
        <v>5.5399999999999998E-2</v>
      </c>
      <c r="O341" s="17" t="str">
        <f ca="1">PROPER(Music_Data[[#This Row],[Playlist_subgenre2]])</f>
        <v>Techno</v>
      </c>
    </row>
    <row r="342" spans="1:15">
      <c r="A342" s="17">
        <v>0.95299999999999996</v>
      </c>
      <c r="B342" s="21">
        <v>141</v>
      </c>
      <c r="C342" s="16">
        <v>0.63100000000000001</v>
      </c>
      <c r="D342" s="16" t="str">
        <f ca="1">PROPER(Music_Data[[#This Row],[Playlist_genre2]])</f>
        <v>Electronic</v>
      </c>
      <c r="E342" s="17">
        <v>0.42199999999999999</v>
      </c>
      <c r="F342" t="s">
        <v>10579</v>
      </c>
      <c r="G342">
        <v>68</v>
      </c>
      <c r="H342" t="s">
        <v>10575</v>
      </c>
      <c r="I342" t="s">
        <v>10582</v>
      </c>
      <c r="J342" s="22">
        <v>42503</v>
      </c>
      <c r="K342">
        <v>1</v>
      </c>
      <c r="L342">
        <v>2</v>
      </c>
      <c r="M342" s="21">
        <f ca="1">LEFT(Music_Data[[#This Row],[Duration_minutes]],3)/60</f>
        <v>4.55</v>
      </c>
      <c r="N342" s="17">
        <v>2.41E-2</v>
      </c>
      <c r="O342" s="17" t="str">
        <f ca="1">PROPER(Music_Data[[#This Row],[Playlist_subgenre2]])</f>
        <v>Future Bass</v>
      </c>
    </row>
    <row r="343" spans="1:15">
      <c r="A343" s="17">
        <v>0.8</v>
      </c>
      <c r="B343" s="21">
        <v>119</v>
      </c>
      <c r="C343" s="16">
        <v>0.72399999999999998</v>
      </c>
      <c r="D343" s="16" t="str">
        <f ca="1">PROPER(Music_Data[[#This Row],[Playlist_genre2]])</f>
        <v>Electronic</v>
      </c>
      <c r="E343" s="17">
        <v>0.92500000000000004</v>
      </c>
      <c r="F343" t="s">
        <v>10567</v>
      </c>
      <c r="G343">
        <v>68</v>
      </c>
      <c r="H343" t="s">
        <v>10298</v>
      </c>
      <c r="I343" t="s">
        <v>10570</v>
      </c>
      <c r="J343" s="22">
        <v>45415</v>
      </c>
      <c r="K343">
        <v>0</v>
      </c>
      <c r="L343">
        <v>5</v>
      </c>
      <c r="M343" s="21">
        <f ca="1">LEFT(Music_Data[[#This Row],[Duration_minutes]],3)/60</f>
        <v>3.7833333333333332</v>
      </c>
      <c r="N343" s="17">
        <v>1.03E-2</v>
      </c>
      <c r="O343" s="17" t="str">
        <f ca="1">PROPER(Music_Data[[#This Row],[Playlist_subgenre2]])</f>
        <v>Techno</v>
      </c>
    </row>
    <row r="344" spans="1:15">
      <c r="A344" s="17">
        <v>0.63800000000000001</v>
      </c>
      <c r="B344" s="21">
        <v>109</v>
      </c>
      <c r="C344" s="16">
        <v>0.70099999999999996</v>
      </c>
      <c r="D344" s="16" t="str">
        <f ca="1">PROPER(Music_Data[[#This Row],[Playlist_genre2]])</f>
        <v>Electronic</v>
      </c>
      <c r="E344" s="17">
        <v>0.64600000000000002</v>
      </c>
      <c r="F344" t="s">
        <v>4453</v>
      </c>
      <c r="G344">
        <v>68</v>
      </c>
      <c r="H344" t="s">
        <v>12939</v>
      </c>
      <c r="I344" t="s">
        <v>13246</v>
      </c>
      <c r="J344" s="22">
        <v>41275</v>
      </c>
      <c r="K344">
        <v>0</v>
      </c>
      <c r="L344">
        <v>5</v>
      </c>
      <c r="M344" s="21">
        <f ca="1">LEFT(Music_Data[[#This Row],[Duration_minutes]],3)/60</f>
        <v>3.5</v>
      </c>
      <c r="N344" s="17">
        <v>0.223</v>
      </c>
      <c r="O344" s="17" t="str">
        <f ca="1">PROPER(Music_Data[[#This Row],[Playlist_subgenre2]])</f>
        <v>French</v>
      </c>
    </row>
    <row r="345" spans="1:15">
      <c r="A345" s="17">
        <v>0.83099999999999996</v>
      </c>
      <c r="B345" s="21">
        <v>126</v>
      </c>
      <c r="C345" s="16">
        <v>0.78500000000000003</v>
      </c>
      <c r="D345" s="16" t="str">
        <f ca="1">PROPER(Music_Data[[#This Row],[Playlist_genre2]])</f>
        <v>Electronic</v>
      </c>
      <c r="E345" s="17">
        <v>0.67300000000000004</v>
      </c>
      <c r="F345" t="s">
        <v>10559</v>
      </c>
      <c r="G345">
        <v>68</v>
      </c>
      <c r="H345" t="s">
        <v>10298</v>
      </c>
      <c r="I345" t="s">
        <v>10563</v>
      </c>
      <c r="J345" s="22">
        <v>45324</v>
      </c>
      <c r="K345">
        <v>1</v>
      </c>
      <c r="L345">
        <v>0</v>
      </c>
      <c r="M345" s="21">
        <f ca="1">LEFT(Music_Data[[#This Row],[Duration_minutes]],3)/60</f>
        <v>2.8333333333333335</v>
      </c>
      <c r="N345" s="17">
        <v>3.8E-3</v>
      </c>
      <c r="O345" s="17" t="str">
        <f ca="1">PROPER(Music_Data[[#This Row],[Playlist_subgenre2]])</f>
        <v>Techno</v>
      </c>
    </row>
    <row r="346" spans="1:15">
      <c r="A346" s="17">
        <v>0.71699999999999997</v>
      </c>
      <c r="B346" s="21">
        <v>117</v>
      </c>
      <c r="C346" s="16">
        <v>0.753</v>
      </c>
      <c r="D346" s="16" t="str">
        <f ca="1">PROPER(Music_Data[[#This Row],[Playlist_genre2]])</f>
        <v>Electronic</v>
      </c>
      <c r="E346" s="17">
        <v>0.60099999999999998</v>
      </c>
      <c r="F346" t="s">
        <v>13029</v>
      </c>
      <c r="G346">
        <v>68</v>
      </c>
      <c r="H346" t="s">
        <v>12939</v>
      </c>
      <c r="I346" t="s">
        <v>13035</v>
      </c>
      <c r="J346" s="22">
        <v>44862</v>
      </c>
      <c r="K346">
        <v>0</v>
      </c>
      <c r="L346">
        <v>1</v>
      </c>
      <c r="M346" s="21">
        <f ca="1">LEFT(Music_Data[[#This Row],[Duration_minutes]],3)/60</f>
        <v>2.4333333333333331</v>
      </c>
      <c r="N346" s="17">
        <v>0.151</v>
      </c>
      <c r="O346" s="17" t="str">
        <f ca="1">PROPER(Music_Data[[#This Row],[Playlist_subgenre2]])</f>
        <v>French</v>
      </c>
    </row>
    <row r="347" spans="1:15">
      <c r="A347" s="17">
        <v>0.80700000000000005</v>
      </c>
      <c r="B347" s="21">
        <v>155</v>
      </c>
      <c r="C347" s="16">
        <v>0.52500000000000002</v>
      </c>
      <c r="D347" s="16" t="str">
        <f ca="1">PROPER(Music_Data[[#This Row],[Playlist_genre2]])</f>
        <v>Electronic</v>
      </c>
      <c r="E347" s="17">
        <v>0.74099999999999999</v>
      </c>
      <c r="F347" t="s">
        <v>12953</v>
      </c>
      <c r="G347">
        <v>68</v>
      </c>
      <c r="H347" t="s">
        <v>12939</v>
      </c>
      <c r="I347" t="s">
        <v>12959</v>
      </c>
      <c r="J347" s="22">
        <v>40308</v>
      </c>
      <c r="K347">
        <v>0</v>
      </c>
      <c r="L347">
        <v>2</v>
      </c>
      <c r="M347" s="21">
        <f ca="1">LEFT(Music_Data[[#This Row],[Duration_minutes]],3)/60</f>
        <v>3.5833333333333335</v>
      </c>
      <c r="N347" s="17">
        <v>0.251</v>
      </c>
      <c r="O347" s="17" t="str">
        <f ca="1">PROPER(Music_Data[[#This Row],[Playlist_subgenre2]])</f>
        <v>French</v>
      </c>
    </row>
    <row r="348" spans="1:15">
      <c r="A348" s="17">
        <v>0.41299999999999998</v>
      </c>
      <c r="B348" s="21">
        <v>949</v>
      </c>
      <c r="C348" s="16">
        <v>0.49399999999999999</v>
      </c>
      <c r="D348" s="16" t="str">
        <f ca="1">PROPER(Music_Data[[#This Row],[Playlist_genre2]])</f>
        <v>Folk</v>
      </c>
      <c r="E348" s="17">
        <v>0.27300000000000002</v>
      </c>
      <c r="F348" t="s">
        <v>148</v>
      </c>
      <c r="G348">
        <v>93</v>
      </c>
      <c r="H348" t="s">
        <v>9998</v>
      </c>
      <c r="I348" t="s">
        <v>152</v>
      </c>
      <c r="J348" s="22">
        <v>45499</v>
      </c>
      <c r="K348">
        <v>1</v>
      </c>
      <c r="L348">
        <v>11</v>
      </c>
      <c r="M348" s="21">
        <f ca="1">LEFT(Music_Data[[#This Row],[Duration_minutes]],3)/60</f>
        <v>3.5166666666666666</v>
      </c>
      <c r="N348" s="17">
        <v>0.68200000000000005</v>
      </c>
      <c r="O348" s="17" t="str">
        <f ca="1">PROPER(Music_Data[[#This Row],[Playlist_subgenre2]])</f>
        <v>Indie</v>
      </c>
    </row>
    <row r="349" spans="1:15">
      <c r="A349" s="17">
        <v>0.5</v>
      </c>
      <c r="B349" s="21">
        <v>117</v>
      </c>
      <c r="C349" s="16">
        <v>0.66400000000000003</v>
      </c>
      <c r="D349" s="16" t="str">
        <f ca="1">PROPER(Music_Data[[#This Row],[Playlist_genre2]])</f>
        <v>Folk</v>
      </c>
      <c r="E349" s="17">
        <v>0.80100000000000005</v>
      </c>
      <c r="F349" t="s">
        <v>7108</v>
      </c>
      <c r="G349">
        <v>87</v>
      </c>
      <c r="H349" t="s">
        <v>9998</v>
      </c>
      <c r="I349" t="s">
        <v>7112</v>
      </c>
      <c r="J349" s="22">
        <v>44848</v>
      </c>
      <c r="K349">
        <v>1</v>
      </c>
      <c r="L349">
        <v>9</v>
      </c>
      <c r="M349" s="21">
        <f ca="1">LEFT(Music_Data[[#This Row],[Duration_minutes]],3)/60</f>
        <v>3.0333333333333332</v>
      </c>
      <c r="N349" s="17">
        <v>0.79900000000000004</v>
      </c>
      <c r="O349" s="17" t="str">
        <f ca="1">PROPER(Music_Data[[#This Row],[Playlist_subgenre2]])</f>
        <v>Indie</v>
      </c>
    </row>
    <row r="350" spans="1:15">
      <c r="A350" s="17">
        <v>0.73099999999999998</v>
      </c>
      <c r="B350" s="21">
        <v>101</v>
      </c>
      <c r="C350" s="16">
        <v>0.48299999999999998</v>
      </c>
      <c r="D350" s="16" t="str">
        <f ca="1">PROPER(Music_Data[[#This Row],[Playlist_genre2]])</f>
        <v>Folk</v>
      </c>
      <c r="E350" s="17">
        <v>0.48399999999999999</v>
      </c>
      <c r="F350" t="s">
        <v>6586</v>
      </c>
      <c r="G350">
        <v>85</v>
      </c>
      <c r="H350" t="s">
        <v>9998</v>
      </c>
      <c r="I350" t="s">
        <v>6593</v>
      </c>
      <c r="J350" s="22">
        <v>41856</v>
      </c>
      <c r="K350">
        <v>1</v>
      </c>
      <c r="L350">
        <v>1</v>
      </c>
      <c r="M350" s="21">
        <f ca="1">LEFT(Music_Data[[#This Row],[Duration_minutes]],3)/60</f>
        <v>3.4</v>
      </c>
      <c r="N350" s="17">
        <v>0.436</v>
      </c>
      <c r="O350" s="17" t="str">
        <f ca="1">PROPER(Music_Data[[#This Row],[Playlist_subgenre2]])</f>
        <v>Indie</v>
      </c>
    </row>
    <row r="351" spans="1:15">
      <c r="A351" s="17">
        <v>0.55100000000000005</v>
      </c>
      <c r="B351" s="21">
        <v>148</v>
      </c>
      <c r="C351" s="16">
        <v>0.52700000000000002</v>
      </c>
      <c r="D351" s="16" t="str">
        <f ca="1">PROPER(Music_Data[[#This Row],[Playlist_genre2]])</f>
        <v>Folk</v>
      </c>
      <c r="E351" s="17">
        <v>0.443</v>
      </c>
      <c r="F351" t="s">
        <v>10101</v>
      </c>
      <c r="G351">
        <v>84</v>
      </c>
      <c r="H351" t="s">
        <v>9998</v>
      </c>
      <c r="I351" t="s">
        <v>10104</v>
      </c>
      <c r="J351" s="22">
        <v>45303</v>
      </c>
      <c r="K351">
        <v>1</v>
      </c>
      <c r="L351">
        <v>7</v>
      </c>
      <c r="M351" s="21">
        <f ca="1">LEFT(Music_Data[[#This Row],[Duration_minutes]],3)/60</f>
        <v>2.65</v>
      </c>
      <c r="N351" s="17">
        <v>0.38400000000000001</v>
      </c>
      <c r="O351" s="17" t="str">
        <f ca="1">PROPER(Music_Data[[#This Row],[Playlist_subgenre2]])</f>
        <v>Indie</v>
      </c>
    </row>
    <row r="352" spans="1:15">
      <c r="A352" s="17">
        <v>0.216</v>
      </c>
      <c r="B352" s="21">
        <v>791</v>
      </c>
      <c r="C352" s="16">
        <v>0.55500000000000005</v>
      </c>
      <c r="D352" s="16" t="str">
        <f ca="1">PROPER(Music_Data[[#This Row],[Playlist_genre2]])</f>
        <v>Folk</v>
      </c>
      <c r="E352" s="17">
        <v>0.504</v>
      </c>
      <c r="F352" t="s">
        <v>10068</v>
      </c>
      <c r="G352">
        <v>84</v>
      </c>
      <c r="H352" t="s">
        <v>9998</v>
      </c>
      <c r="I352" t="s">
        <v>10075</v>
      </c>
      <c r="J352" s="22">
        <v>42872</v>
      </c>
      <c r="K352">
        <v>1</v>
      </c>
      <c r="L352">
        <v>3</v>
      </c>
      <c r="M352" s="21">
        <f ca="1">LEFT(Music_Data[[#This Row],[Duration_minutes]],3)/60</f>
        <v>14.5</v>
      </c>
      <c r="N352" s="17">
        <v>0.55700000000000005</v>
      </c>
      <c r="O352" s="17" t="str">
        <f ca="1">PROPER(Music_Data[[#This Row],[Playlist_subgenre2]])</f>
        <v>Indie</v>
      </c>
    </row>
    <row r="353" spans="1:15">
      <c r="A353" s="17">
        <v>0.187</v>
      </c>
      <c r="B353" s="21">
        <v>132</v>
      </c>
      <c r="C353" s="16">
        <v>0.30299999999999999</v>
      </c>
      <c r="D353" s="16" t="str">
        <f ca="1">PROPER(Music_Data[[#This Row],[Playlist_genre2]])</f>
        <v>Folk</v>
      </c>
      <c r="E353" s="17">
        <v>0.21199999999999999</v>
      </c>
      <c r="F353" t="s">
        <v>10094</v>
      </c>
      <c r="G353">
        <v>83</v>
      </c>
      <c r="H353" t="s">
        <v>9998</v>
      </c>
      <c r="I353" t="s">
        <v>10097</v>
      </c>
      <c r="J353" s="22">
        <v>40431</v>
      </c>
      <c r="K353">
        <v>1</v>
      </c>
      <c r="L353">
        <v>2</v>
      </c>
      <c r="M353" s="21">
        <f ca="1">LEFT(Music_Data[[#This Row],[Duration_minutes]],3)/60</f>
        <v>2.6666666666666665</v>
      </c>
      <c r="N353" s="17">
        <v>0.98899999999999999</v>
      </c>
      <c r="O353" s="17" t="str">
        <f ca="1">PROPER(Music_Data[[#This Row],[Playlist_subgenre2]])</f>
        <v>Indie</v>
      </c>
    </row>
    <row r="354" spans="1:15">
      <c r="A354" s="17">
        <v>0.22</v>
      </c>
      <c r="B354" s="21">
        <v>129</v>
      </c>
      <c r="C354" s="16">
        <v>0.70199999999999996</v>
      </c>
      <c r="D354" s="16" t="str">
        <f ca="1">PROPER(Music_Data[[#This Row],[Playlist_genre2]])</f>
        <v>Folk</v>
      </c>
      <c r="E354" s="17">
        <v>0.19700000000000001</v>
      </c>
      <c r="F354" t="s">
        <v>13184</v>
      </c>
      <c r="G354">
        <v>79</v>
      </c>
      <c r="H354" t="s">
        <v>9998</v>
      </c>
      <c r="I354" t="s">
        <v>10052</v>
      </c>
      <c r="J354" s="22">
        <v>45548</v>
      </c>
      <c r="K354">
        <v>1</v>
      </c>
      <c r="L354">
        <v>0</v>
      </c>
      <c r="M354" s="21">
        <f ca="1">LEFT(Music_Data[[#This Row],[Duration_minutes]],3)/60</f>
        <v>2.4166666666666665</v>
      </c>
      <c r="N354" s="17">
        <v>0.69799999999999995</v>
      </c>
      <c r="O354" s="17" t="str">
        <f ca="1">PROPER(Music_Data[[#This Row],[Playlist_subgenre2]])</f>
        <v>Indie</v>
      </c>
    </row>
    <row r="355" spans="1:15">
      <c r="A355" s="17">
        <v>0.29099999999999998</v>
      </c>
      <c r="B355" s="21">
        <v>839</v>
      </c>
      <c r="C355" s="16">
        <v>0.38800000000000001</v>
      </c>
      <c r="D355" s="16" t="str">
        <f ca="1">PROPER(Music_Data[[#This Row],[Playlist_genre2]])</f>
        <v>Folk</v>
      </c>
      <c r="E355" s="17">
        <v>0.51</v>
      </c>
      <c r="F355" t="s">
        <v>10078</v>
      </c>
      <c r="G355">
        <v>77</v>
      </c>
      <c r="H355" t="s">
        <v>9998</v>
      </c>
      <c r="I355" t="s">
        <v>10084</v>
      </c>
      <c r="J355" s="22">
        <v>44127</v>
      </c>
      <c r="K355">
        <v>1</v>
      </c>
      <c r="L355">
        <v>3</v>
      </c>
      <c r="M355" s="21">
        <f ca="1">LEFT(Music_Data[[#This Row],[Duration_minutes]],3)/60</f>
        <v>3.3666666666666667</v>
      </c>
      <c r="N355" s="17">
        <v>0.77400000000000002</v>
      </c>
      <c r="O355" s="17" t="str">
        <f ca="1">PROPER(Music_Data[[#This Row],[Playlist_subgenre2]])</f>
        <v>Indie</v>
      </c>
    </row>
    <row r="356" spans="1:15">
      <c r="A356" s="17">
        <v>0.36299999999999999</v>
      </c>
      <c r="B356" s="21">
        <v>121</v>
      </c>
      <c r="C356" s="16">
        <v>0.53100000000000003</v>
      </c>
      <c r="D356" s="16" t="str">
        <f ca="1">PROPER(Music_Data[[#This Row],[Playlist_genre2]])</f>
        <v>Folk</v>
      </c>
      <c r="E356" s="17">
        <v>0.25900000000000001</v>
      </c>
      <c r="F356" t="s">
        <v>395</v>
      </c>
      <c r="G356">
        <v>77</v>
      </c>
      <c r="H356" t="s">
        <v>9998</v>
      </c>
      <c r="I356" t="s">
        <v>10092</v>
      </c>
      <c r="J356" s="22">
        <v>41901</v>
      </c>
      <c r="K356">
        <v>1</v>
      </c>
      <c r="L356">
        <v>10</v>
      </c>
      <c r="M356" s="21">
        <f ca="1">LEFT(Music_Data[[#This Row],[Duration_minutes]],3)/60</f>
        <v>3.8166666666666669</v>
      </c>
      <c r="N356" s="17">
        <v>0.749</v>
      </c>
      <c r="O356" s="17" t="str">
        <f ca="1">PROPER(Music_Data[[#This Row],[Playlist_subgenre2]])</f>
        <v>Indie</v>
      </c>
    </row>
    <row r="357" spans="1:15">
      <c r="A357" s="17">
        <v>0.50700000000000001</v>
      </c>
      <c r="B357" s="21">
        <v>123</v>
      </c>
      <c r="C357" s="16">
        <v>0.65300000000000002</v>
      </c>
      <c r="D357" s="16" t="str">
        <f ca="1">PROPER(Music_Data[[#This Row],[Playlist_genre2]])</f>
        <v>Folk</v>
      </c>
      <c r="E357" s="17">
        <v>0.83099999999999996</v>
      </c>
      <c r="F357" t="s">
        <v>10202</v>
      </c>
      <c r="G357">
        <v>76</v>
      </c>
      <c r="H357" t="s">
        <v>10171</v>
      </c>
      <c r="I357" t="s">
        <v>10208</v>
      </c>
      <c r="J357" s="22">
        <v>1972</v>
      </c>
      <c r="K357">
        <v>0</v>
      </c>
      <c r="L357">
        <v>11</v>
      </c>
      <c r="M357" s="21">
        <f ca="1">LEFT(Music_Data[[#This Row],[Duration_minutes]],3)/60</f>
        <v>4.2</v>
      </c>
      <c r="N357" s="17">
        <v>0.68700000000000006</v>
      </c>
      <c r="O357" s="17" t="str">
        <f ca="1">PROPER(Music_Data[[#This Row],[Playlist_subgenre2]])</f>
        <v>American</v>
      </c>
    </row>
    <row r="358" spans="1:15">
      <c r="A358" s="17">
        <v>0.186</v>
      </c>
      <c r="B358" s="21">
        <v>110</v>
      </c>
      <c r="C358" s="16">
        <v>0.6</v>
      </c>
      <c r="D358" s="16" t="str">
        <f ca="1">PROPER(Music_Data[[#This Row],[Playlist_genre2]])</f>
        <v>Folk</v>
      </c>
      <c r="E358" s="17">
        <v>0.46800000000000003</v>
      </c>
      <c r="F358" t="s">
        <v>10109</v>
      </c>
      <c r="G358">
        <v>76</v>
      </c>
      <c r="H358" t="s">
        <v>9998</v>
      </c>
      <c r="I358" t="s">
        <v>10115</v>
      </c>
      <c r="J358" s="22">
        <v>39814</v>
      </c>
      <c r="K358">
        <v>1</v>
      </c>
      <c r="L358">
        <v>3</v>
      </c>
      <c r="M358" s="21">
        <f ca="1">LEFT(Music_Data[[#This Row],[Duration_minutes]],3)/60</f>
        <v>3.6166666666666667</v>
      </c>
      <c r="N358" s="17">
        <v>0.90900000000000003</v>
      </c>
      <c r="O358" s="17" t="str">
        <f ca="1">PROPER(Music_Data[[#This Row],[Playlist_subgenre2]])</f>
        <v>Indie</v>
      </c>
    </row>
    <row r="359" spans="1:15">
      <c r="A359" s="17">
        <v>0.53300000000000003</v>
      </c>
      <c r="B359" s="21">
        <v>130</v>
      </c>
      <c r="C359" s="16">
        <v>0.64500000000000002</v>
      </c>
      <c r="D359" s="16" t="str">
        <f ca="1">PROPER(Music_Data[[#This Row],[Playlist_genre2]])</f>
        <v>Folk</v>
      </c>
      <c r="E359" s="17">
        <v>0.34899999999999998</v>
      </c>
      <c r="F359" t="s">
        <v>12396</v>
      </c>
      <c r="G359">
        <v>76</v>
      </c>
      <c r="H359" t="s">
        <v>12400</v>
      </c>
      <c r="I359" t="s">
        <v>12399</v>
      </c>
      <c r="J359" s="22">
        <v>45295</v>
      </c>
      <c r="K359">
        <v>1</v>
      </c>
      <c r="L359">
        <v>2</v>
      </c>
      <c r="M359" s="21">
        <f ca="1">LEFT(Music_Data[[#This Row],[Duration_minutes]],3)/60</f>
        <v>3</v>
      </c>
      <c r="N359" s="17">
        <v>0.64400000000000002</v>
      </c>
      <c r="O359" s="17" t="str">
        <f ca="1">PROPER(Music_Data[[#This Row],[Playlist_subgenre2]])</f>
        <v>Nordic</v>
      </c>
    </row>
    <row r="360" spans="1:15">
      <c r="A360" s="17">
        <v>0.309</v>
      </c>
      <c r="B360" s="21">
        <v>827</v>
      </c>
      <c r="C360" s="16">
        <v>0.58299999999999996</v>
      </c>
      <c r="D360" s="16" t="str">
        <f ca="1">PROPER(Music_Data[[#This Row],[Playlist_genre2]])</f>
        <v>Folk</v>
      </c>
      <c r="E360" s="17">
        <v>0.47299999999999998</v>
      </c>
      <c r="F360" t="s">
        <v>10179</v>
      </c>
      <c r="G360">
        <v>74</v>
      </c>
      <c r="H360" t="s">
        <v>10171</v>
      </c>
      <c r="I360" t="s">
        <v>10215</v>
      </c>
      <c r="J360" s="22">
        <v>42157</v>
      </c>
      <c r="K360">
        <v>0</v>
      </c>
      <c r="L360">
        <v>2</v>
      </c>
      <c r="M360" s="21">
        <f ca="1">LEFT(Music_Data[[#This Row],[Duration_minutes]],3)/60</f>
        <v>3.2</v>
      </c>
      <c r="N360" s="17">
        <v>0.82399999999999995</v>
      </c>
      <c r="O360" s="17" t="str">
        <f ca="1">PROPER(Music_Data[[#This Row],[Playlist_subgenre2]])</f>
        <v>American</v>
      </c>
    </row>
    <row r="361" spans="1:15">
      <c r="A361" s="17">
        <v>0.63800000000000001</v>
      </c>
      <c r="B361" s="21">
        <v>144</v>
      </c>
      <c r="C361" s="16">
        <v>0.48599999999999999</v>
      </c>
      <c r="D361" s="16" t="str">
        <f ca="1">PROPER(Music_Data[[#This Row],[Playlist_genre2]])</f>
        <v>Folk</v>
      </c>
      <c r="E361" s="17">
        <v>0.17799999999999999</v>
      </c>
      <c r="F361" t="s">
        <v>10003</v>
      </c>
      <c r="G361">
        <v>74</v>
      </c>
      <c r="H361" t="s">
        <v>9998</v>
      </c>
      <c r="I361" t="s">
        <v>10008</v>
      </c>
      <c r="J361" s="22">
        <v>43161</v>
      </c>
      <c r="K361">
        <v>1</v>
      </c>
      <c r="L361">
        <v>0</v>
      </c>
      <c r="M361" s="21">
        <f ca="1">LEFT(Music_Data[[#This Row],[Duration_minutes]],3)/60</f>
        <v>3.3166666666666669</v>
      </c>
      <c r="N361" s="17">
        <v>9.2100000000000005E-4</v>
      </c>
      <c r="O361" s="17" t="str">
        <f ca="1">PROPER(Music_Data[[#This Row],[Playlist_subgenre2]])</f>
        <v>Indie</v>
      </c>
    </row>
    <row r="362" spans="1:15">
      <c r="A362" s="17">
        <v>0.56100000000000005</v>
      </c>
      <c r="B362" s="21">
        <v>115</v>
      </c>
      <c r="C362" s="16">
        <v>0.59799999999999998</v>
      </c>
      <c r="D362" s="16" t="str">
        <f ca="1">PROPER(Music_Data[[#This Row],[Playlist_genre2]])</f>
        <v>Folk</v>
      </c>
      <c r="E362" s="17">
        <v>0.23100000000000001</v>
      </c>
      <c r="F362" t="s">
        <v>10029</v>
      </c>
      <c r="G362">
        <v>74</v>
      </c>
      <c r="H362" t="s">
        <v>9998</v>
      </c>
      <c r="I362" t="s">
        <v>10034</v>
      </c>
      <c r="J362" s="22">
        <v>41002</v>
      </c>
      <c r="K362">
        <v>1</v>
      </c>
      <c r="L362">
        <v>0</v>
      </c>
      <c r="M362" s="21">
        <f ca="1">LEFT(Music_Data[[#This Row],[Duration_minutes]],3)/60</f>
        <v>4.6500000000000004</v>
      </c>
      <c r="N362" s="17">
        <v>0.61099999999999999</v>
      </c>
      <c r="O362" s="17" t="str">
        <f ca="1">PROPER(Music_Data[[#This Row],[Playlist_subgenre2]])</f>
        <v>Indie</v>
      </c>
    </row>
    <row r="363" spans="1:15">
      <c r="A363" s="17">
        <v>0.48499999999999999</v>
      </c>
      <c r="B363" s="21">
        <v>959</v>
      </c>
      <c r="C363" s="16">
        <v>0.753</v>
      </c>
      <c r="D363" s="16" t="str">
        <f ca="1">PROPER(Music_Data[[#This Row],[Playlist_genre2]])</f>
        <v>Folk</v>
      </c>
      <c r="E363" s="17">
        <v>0.54700000000000004</v>
      </c>
      <c r="F363" t="s">
        <v>439</v>
      </c>
      <c r="G363">
        <v>73</v>
      </c>
      <c r="H363" t="s">
        <v>9998</v>
      </c>
      <c r="I363" t="s">
        <v>10024</v>
      </c>
      <c r="J363" s="22">
        <v>45212</v>
      </c>
      <c r="K363">
        <v>1</v>
      </c>
      <c r="L363">
        <v>11</v>
      </c>
      <c r="M363" s="21">
        <f ca="1">LEFT(Music_Data[[#This Row],[Duration_minutes]],3)/60</f>
        <v>3.4333333333333331</v>
      </c>
      <c r="N363" s="17">
        <v>0.34499999999999997</v>
      </c>
      <c r="O363" s="17" t="str">
        <f ca="1">PROPER(Music_Data[[#This Row],[Playlist_subgenre2]])</f>
        <v>Indie</v>
      </c>
    </row>
    <row r="364" spans="1:15">
      <c r="A364" s="17">
        <v>0.439</v>
      </c>
      <c r="B364" s="21">
        <v>122</v>
      </c>
      <c r="C364" s="16">
        <v>0.58599999999999997</v>
      </c>
      <c r="D364" s="16" t="str">
        <f ca="1">PROPER(Music_Data[[#This Row],[Playlist_genre2]])</f>
        <v>Folk</v>
      </c>
      <c r="E364" s="17">
        <v>0.36499999999999999</v>
      </c>
      <c r="F364" t="s">
        <v>439</v>
      </c>
      <c r="G364">
        <v>73</v>
      </c>
      <c r="H364" t="s">
        <v>9998</v>
      </c>
      <c r="I364" t="s">
        <v>2872</v>
      </c>
      <c r="J364" s="22">
        <v>45245</v>
      </c>
      <c r="K364">
        <v>1</v>
      </c>
      <c r="L364">
        <v>0</v>
      </c>
      <c r="M364" s="21">
        <f ca="1">LEFT(Music_Data[[#This Row],[Duration_minutes]],3)/60</f>
        <v>3.3166666666666669</v>
      </c>
      <c r="N364" s="17">
        <v>0.71499999999999997</v>
      </c>
      <c r="O364" s="17" t="str">
        <f ca="1">PROPER(Music_Data[[#This Row],[Playlist_subgenre2]])</f>
        <v>Indie</v>
      </c>
    </row>
    <row r="365" spans="1:15">
      <c r="A365" s="17">
        <v>0.378</v>
      </c>
      <c r="B365" s="21">
        <v>120</v>
      </c>
      <c r="C365" s="16">
        <v>0.66200000000000003</v>
      </c>
      <c r="D365" s="16" t="str">
        <f ca="1">PROPER(Music_Data[[#This Row],[Playlist_genre2]])</f>
        <v>Folk</v>
      </c>
      <c r="E365" s="17">
        <v>0.20699999999999999</v>
      </c>
      <c r="F365" t="s">
        <v>7108</v>
      </c>
      <c r="G365">
        <v>73</v>
      </c>
      <c r="H365" t="s">
        <v>9998</v>
      </c>
      <c r="I365" t="s">
        <v>10066</v>
      </c>
      <c r="J365" s="22">
        <v>44848</v>
      </c>
      <c r="K365">
        <v>1</v>
      </c>
      <c r="L365">
        <v>9</v>
      </c>
      <c r="M365" s="21">
        <f ca="1">LEFT(Music_Data[[#This Row],[Duration_minutes]],3)/60</f>
        <v>4.95</v>
      </c>
      <c r="N365" s="17">
        <v>0.47499999999999998</v>
      </c>
      <c r="O365" s="17" t="str">
        <f ca="1">PROPER(Music_Data[[#This Row],[Playlist_subgenre2]])</f>
        <v>Indie</v>
      </c>
    </row>
    <row r="366" spans="1:15">
      <c r="A366" s="17">
        <v>0.33100000000000002</v>
      </c>
      <c r="B366" s="21">
        <v>950</v>
      </c>
      <c r="C366" s="16">
        <v>0.61099999999999999</v>
      </c>
      <c r="D366" s="16" t="str">
        <f ca="1">PROPER(Music_Data[[#This Row],[Playlist_genre2]])</f>
        <v>Folk</v>
      </c>
      <c r="E366" s="17">
        <v>0.55900000000000005</v>
      </c>
      <c r="F366" t="s">
        <v>10158</v>
      </c>
      <c r="G366">
        <v>73</v>
      </c>
      <c r="H366" t="s">
        <v>9998</v>
      </c>
      <c r="I366" t="s">
        <v>10164</v>
      </c>
      <c r="J366" s="22">
        <v>43392</v>
      </c>
      <c r="K366">
        <v>1</v>
      </c>
      <c r="L366">
        <v>4</v>
      </c>
      <c r="M366" s="21">
        <f ca="1">LEFT(Music_Data[[#This Row],[Duration_minutes]],3)/60</f>
        <v>2.9666666666666668</v>
      </c>
      <c r="N366" s="17">
        <v>0.93</v>
      </c>
      <c r="O366" s="17" t="str">
        <f ca="1">PROPER(Music_Data[[#This Row],[Playlist_subgenre2]])</f>
        <v>Indie</v>
      </c>
    </row>
    <row r="367" spans="1:15">
      <c r="A367" s="17">
        <v>0.33100000000000002</v>
      </c>
      <c r="B367" s="21">
        <v>950</v>
      </c>
      <c r="C367" s="16">
        <v>0.61099999999999999</v>
      </c>
      <c r="D367" s="16" t="str">
        <f ca="1">PROPER(Music_Data[[#This Row],[Playlist_genre2]])</f>
        <v>Folk</v>
      </c>
      <c r="E367" s="17">
        <v>0.55900000000000005</v>
      </c>
      <c r="F367" t="s">
        <v>10158</v>
      </c>
      <c r="G367">
        <v>73</v>
      </c>
      <c r="H367" t="s">
        <v>10171</v>
      </c>
      <c r="I367" t="s">
        <v>10164</v>
      </c>
      <c r="J367" s="22">
        <v>43392</v>
      </c>
      <c r="K367">
        <v>1</v>
      </c>
      <c r="L367">
        <v>4</v>
      </c>
      <c r="M367" s="21">
        <f ca="1">LEFT(Music_Data[[#This Row],[Duration_minutes]],3)/60</f>
        <v>2.9666666666666668</v>
      </c>
      <c r="N367" s="17">
        <v>0.93</v>
      </c>
      <c r="O367" s="17" t="str">
        <f ca="1">PROPER(Music_Data[[#This Row],[Playlist_subgenre2]])</f>
        <v>American</v>
      </c>
    </row>
    <row r="368" spans="1:15">
      <c r="A368" s="17">
        <v>0.247</v>
      </c>
      <c r="B368" s="21">
        <v>140</v>
      </c>
      <c r="C368" s="16">
        <v>0.46700000000000003</v>
      </c>
      <c r="D368" s="16" t="str">
        <f ca="1">PROPER(Music_Data[[#This Row],[Playlist_genre2]])</f>
        <v>Folk</v>
      </c>
      <c r="E368" s="17">
        <v>0.25800000000000001</v>
      </c>
      <c r="F368" t="s">
        <v>9994</v>
      </c>
      <c r="G368">
        <v>72</v>
      </c>
      <c r="H368" t="s">
        <v>9998</v>
      </c>
      <c r="I368" t="s">
        <v>9997</v>
      </c>
      <c r="J368" s="22">
        <v>45555</v>
      </c>
      <c r="K368">
        <v>1</v>
      </c>
      <c r="L368">
        <v>7</v>
      </c>
      <c r="M368" s="21">
        <f ca="1">LEFT(Music_Data[[#This Row],[Duration_minutes]],3)/60</f>
        <v>3.4833333333333334</v>
      </c>
      <c r="N368" s="17">
        <v>0.90600000000000003</v>
      </c>
      <c r="O368" s="17" t="str">
        <f ca="1">PROPER(Music_Data[[#This Row],[Playlist_subgenre2]])</f>
        <v>Indie</v>
      </c>
    </row>
    <row r="369" spans="1:15">
      <c r="A369" s="17">
        <v>0.122</v>
      </c>
      <c r="B369" s="21">
        <v>148</v>
      </c>
      <c r="C369" s="16">
        <v>0.26400000000000001</v>
      </c>
      <c r="D369" s="16" t="str">
        <f ca="1">PROPER(Music_Data[[#This Row],[Playlist_genre2]])</f>
        <v>Folk</v>
      </c>
      <c r="E369" s="17">
        <v>7.3499999999999996E-2</v>
      </c>
      <c r="F369" t="s">
        <v>10012</v>
      </c>
      <c r="G369">
        <v>72</v>
      </c>
      <c r="H369" t="s">
        <v>9998</v>
      </c>
      <c r="I369" t="s">
        <v>10018</v>
      </c>
      <c r="J369" s="22">
        <v>39209</v>
      </c>
      <c r="K369">
        <v>1</v>
      </c>
      <c r="L369">
        <v>9</v>
      </c>
      <c r="M369" s="21">
        <f ca="1">LEFT(Music_Data[[#This Row],[Duration_minutes]],3)/60</f>
        <v>6.1833333333333336</v>
      </c>
      <c r="N369" s="17">
        <v>0.88500000000000001</v>
      </c>
      <c r="O369" s="17" t="str">
        <f ca="1">PROPER(Music_Data[[#This Row],[Playlist_subgenre2]])</f>
        <v>Indie</v>
      </c>
    </row>
    <row r="370" spans="1:15">
      <c r="A370" s="17">
        <v>0.53300000000000003</v>
      </c>
      <c r="B370" s="21">
        <v>130</v>
      </c>
      <c r="C370" s="16">
        <v>0.68700000000000006</v>
      </c>
      <c r="D370" s="16" t="str">
        <f ca="1">PROPER(Music_Data[[#This Row],[Playlist_genre2]])</f>
        <v>Folk</v>
      </c>
      <c r="E370" s="17">
        <v>0.81399999999999995</v>
      </c>
      <c r="F370" t="s">
        <v>10167</v>
      </c>
      <c r="G370">
        <v>71</v>
      </c>
      <c r="H370" t="s">
        <v>10171</v>
      </c>
      <c r="I370" t="s">
        <v>10200</v>
      </c>
      <c r="J370" s="22">
        <v>26390</v>
      </c>
      <c r="K370">
        <v>1</v>
      </c>
      <c r="L370">
        <v>7</v>
      </c>
      <c r="M370" s="21">
        <f ca="1">LEFT(Music_Data[[#This Row],[Duration_minutes]],3)/60</f>
        <v>3.8166666666666669</v>
      </c>
      <c r="N370" s="17">
        <v>0.57299999999999995</v>
      </c>
      <c r="O370" s="17" t="str">
        <f ca="1">PROPER(Music_Data[[#This Row],[Playlist_subgenre2]])</f>
        <v>American</v>
      </c>
    </row>
    <row r="371" spans="1:15">
      <c r="A371" s="17">
        <v>0.73099999999999998</v>
      </c>
      <c r="B371" s="21">
        <v>940</v>
      </c>
      <c r="C371" s="16">
        <v>0.65600000000000003</v>
      </c>
      <c r="D371" s="16" t="str">
        <f ca="1">PROPER(Music_Data[[#This Row],[Playlist_genre2]])</f>
        <v>Folk</v>
      </c>
      <c r="E371" s="17">
        <v>0.376</v>
      </c>
      <c r="F371" t="s">
        <v>530</v>
      </c>
      <c r="G371">
        <v>71</v>
      </c>
      <c r="H371" t="s">
        <v>9998</v>
      </c>
      <c r="I371" t="s">
        <v>10137</v>
      </c>
      <c r="J371" s="22">
        <v>45520</v>
      </c>
      <c r="K371">
        <v>1</v>
      </c>
      <c r="L371">
        <v>4</v>
      </c>
      <c r="M371" s="21">
        <f ca="1">LEFT(Music_Data[[#This Row],[Duration_minutes]],3)/60</f>
        <v>2.4500000000000002</v>
      </c>
      <c r="N371" s="17">
        <v>0.57499999999999996</v>
      </c>
      <c r="O371" s="17" t="str">
        <f ca="1">PROPER(Music_Data[[#This Row],[Playlist_subgenre2]])</f>
        <v>Indie</v>
      </c>
    </row>
    <row r="372" spans="1:15">
      <c r="A372" s="17">
        <v>0.39900000000000002</v>
      </c>
      <c r="B372" s="21">
        <v>171</v>
      </c>
      <c r="C372" s="16">
        <v>0.53700000000000003</v>
      </c>
      <c r="D372" s="16" t="str">
        <f ca="1">PROPER(Music_Data[[#This Row],[Playlist_genre2]])</f>
        <v>Folk</v>
      </c>
      <c r="E372" s="17">
        <v>0.83199999999999996</v>
      </c>
      <c r="F372" t="s">
        <v>10187</v>
      </c>
      <c r="G372">
        <v>71</v>
      </c>
      <c r="H372" t="s">
        <v>10171</v>
      </c>
      <c r="I372" t="s">
        <v>10194</v>
      </c>
      <c r="J372" s="22">
        <v>26330</v>
      </c>
      <c r="K372">
        <v>0</v>
      </c>
      <c r="L372">
        <v>4</v>
      </c>
      <c r="M372" s="21">
        <f ca="1">LEFT(Music_Data[[#This Row],[Duration_minutes]],3)/60</f>
        <v>3.1166666666666667</v>
      </c>
      <c r="N372" s="17">
        <v>0.20200000000000001</v>
      </c>
      <c r="O372" s="17" t="str">
        <f ca="1">PROPER(Music_Data[[#This Row],[Playlist_subgenre2]])</f>
        <v>American</v>
      </c>
    </row>
    <row r="373" spans="1:15">
      <c r="A373" s="17">
        <v>0.32400000000000001</v>
      </c>
      <c r="B373" s="21">
        <v>141</v>
      </c>
      <c r="C373" s="16">
        <v>0.73299999999999998</v>
      </c>
      <c r="D373" s="16" t="str">
        <f ca="1">PROPER(Music_Data[[#This Row],[Playlist_genre2]])</f>
        <v>Folk</v>
      </c>
      <c r="E373" s="17">
        <v>0.38800000000000001</v>
      </c>
      <c r="F373" t="s">
        <v>10037</v>
      </c>
      <c r="G373">
        <v>71</v>
      </c>
      <c r="H373" t="s">
        <v>9998</v>
      </c>
      <c r="I373" t="s">
        <v>10043</v>
      </c>
      <c r="J373" s="22">
        <v>43952</v>
      </c>
      <c r="K373">
        <v>1</v>
      </c>
      <c r="L373">
        <v>5</v>
      </c>
      <c r="M373" s="21">
        <f ca="1">LEFT(Music_Data[[#This Row],[Duration_minutes]],3)/60</f>
        <v>3.3166666666666669</v>
      </c>
      <c r="N373" s="17">
        <v>0.47899999999999998</v>
      </c>
      <c r="O373" s="17" t="str">
        <f ca="1">PROPER(Music_Data[[#This Row],[Playlist_subgenre2]])</f>
        <v>Indie</v>
      </c>
    </row>
    <row r="374" spans="1:15">
      <c r="A374" s="17">
        <v>0.316</v>
      </c>
      <c r="B374" s="21">
        <v>127</v>
      </c>
      <c r="C374" s="16">
        <v>0.625</v>
      </c>
      <c r="D374" s="16" t="str">
        <f ca="1">PROPER(Music_Data[[#This Row],[Playlist_genre2]])</f>
        <v>Folk</v>
      </c>
      <c r="E374" s="17">
        <v>0.45200000000000001</v>
      </c>
      <c r="F374" t="s">
        <v>10179</v>
      </c>
      <c r="G374">
        <v>70</v>
      </c>
      <c r="H374" t="s">
        <v>10171</v>
      </c>
      <c r="I374" t="s">
        <v>10185</v>
      </c>
      <c r="J374" s="22">
        <v>42157</v>
      </c>
      <c r="K374">
        <v>0</v>
      </c>
      <c r="L374">
        <v>6</v>
      </c>
      <c r="M374" s="21">
        <f ca="1">LEFT(Music_Data[[#This Row],[Duration_minutes]],3)/60</f>
        <v>3.9333333333333331</v>
      </c>
      <c r="N374" s="17">
        <v>0.77700000000000002</v>
      </c>
      <c r="O374" s="17" t="str">
        <f ca="1">PROPER(Music_Data[[#This Row],[Playlist_subgenre2]])</f>
        <v>American</v>
      </c>
    </row>
    <row r="375" spans="1:15">
      <c r="A375" s="17">
        <v>0.624</v>
      </c>
      <c r="B375" s="21">
        <v>170</v>
      </c>
      <c r="C375" s="16">
        <v>0.505</v>
      </c>
      <c r="D375" s="16" t="str">
        <f ca="1">PROPER(Music_Data[[#This Row],[Playlist_genre2]])</f>
        <v>Folk</v>
      </c>
      <c r="E375" s="17">
        <v>0.41299999999999998</v>
      </c>
      <c r="F375" t="s">
        <v>7108</v>
      </c>
      <c r="G375">
        <v>70</v>
      </c>
      <c r="H375" t="s">
        <v>9998</v>
      </c>
      <c r="I375" t="s">
        <v>10143</v>
      </c>
      <c r="J375" s="22">
        <v>44848</v>
      </c>
      <c r="K375">
        <v>1</v>
      </c>
      <c r="L375">
        <v>6</v>
      </c>
      <c r="M375" s="21">
        <f ca="1">LEFT(Music_Data[[#This Row],[Duration_minutes]],3)/60</f>
        <v>3.2333333333333334</v>
      </c>
      <c r="N375" s="17">
        <v>2.53E-2</v>
      </c>
      <c r="O375" s="17" t="str">
        <f ca="1">PROPER(Music_Data[[#This Row],[Playlist_subgenre2]])</f>
        <v>Indie</v>
      </c>
    </row>
    <row r="376" spans="1:15">
      <c r="A376" s="17">
        <v>0.46700000000000003</v>
      </c>
      <c r="B376" s="21">
        <v>157</v>
      </c>
      <c r="C376" s="16">
        <v>0.41299999999999998</v>
      </c>
      <c r="D376" s="16" t="str">
        <f ca="1">PROPER(Music_Data[[#This Row],[Playlist_genre2]])</f>
        <v>Folk</v>
      </c>
      <c r="E376" s="17">
        <v>0.377</v>
      </c>
      <c r="F376" t="s">
        <v>9994</v>
      </c>
      <c r="G376">
        <v>69</v>
      </c>
      <c r="H376" t="s">
        <v>9998</v>
      </c>
      <c r="I376" t="s">
        <v>10060</v>
      </c>
      <c r="J376" s="22">
        <v>45583</v>
      </c>
      <c r="K376">
        <v>1</v>
      </c>
      <c r="L376">
        <v>9</v>
      </c>
      <c r="M376" s="21">
        <f ca="1">LEFT(Music_Data[[#This Row],[Duration_minutes]],3)/60</f>
        <v>3.3333333333333335</v>
      </c>
      <c r="N376" s="17">
        <v>0.73199999999999998</v>
      </c>
      <c r="O376" s="17" t="str">
        <f ca="1">PROPER(Music_Data[[#This Row],[Playlist_subgenre2]])</f>
        <v>Indie</v>
      </c>
    </row>
    <row r="377" spans="1:15">
      <c r="A377" s="17">
        <v>0.45200000000000001</v>
      </c>
      <c r="B377" s="21">
        <v>108</v>
      </c>
      <c r="C377" s="16">
        <v>0.41299999999999998</v>
      </c>
      <c r="D377" s="16" t="str">
        <f ca="1">PROPER(Music_Data[[#This Row],[Playlist_genre2]])</f>
        <v>Folk</v>
      </c>
      <c r="E377" s="17">
        <v>0.10199999999999999</v>
      </c>
      <c r="F377" t="s">
        <v>13184</v>
      </c>
      <c r="G377">
        <v>69</v>
      </c>
      <c r="H377" t="s">
        <v>9998</v>
      </c>
      <c r="I377" t="s">
        <v>10149</v>
      </c>
      <c r="J377" s="22">
        <v>45548</v>
      </c>
      <c r="K377">
        <v>1</v>
      </c>
      <c r="L377">
        <v>0</v>
      </c>
      <c r="M377" s="21">
        <f ca="1">LEFT(Music_Data[[#This Row],[Duration_minutes]],3)/60</f>
        <v>3.2666666666666666</v>
      </c>
      <c r="N377" s="17">
        <v>0.58799999999999997</v>
      </c>
      <c r="O377" s="17" t="str">
        <f ca="1">PROPER(Music_Data[[#This Row],[Playlist_subgenre2]])</f>
        <v>Indie</v>
      </c>
    </row>
    <row r="378" spans="1:15">
      <c r="A378" s="17">
        <v>0.312</v>
      </c>
      <c r="B378" s="21">
        <v>128</v>
      </c>
      <c r="C378" s="16">
        <v>0.68100000000000005</v>
      </c>
      <c r="D378" s="16" t="str">
        <f ca="1">PROPER(Music_Data[[#This Row],[Playlist_genre2]])</f>
        <v>Folk</v>
      </c>
      <c r="E378" s="17">
        <v>0.78900000000000003</v>
      </c>
      <c r="F378" t="s">
        <v>10167</v>
      </c>
      <c r="G378">
        <v>69</v>
      </c>
      <c r="H378" t="s">
        <v>10171</v>
      </c>
      <c r="I378" t="s">
        <v>10174</v>
      </c>
      <c r="J378" s="22">
        <v>26390</v>
      </c>
      <c r="K378">
        <v>0</v>
      </c>
      <c r="L378">
        <v>6</v>
      </c>
      <c r="M378" s="21">
        <f ca="1">LEFT(Music_Data[[#This Row],[Duration_minutes]],3)/60</f>
        <v>2.85</v>
      </c>
      <c r="N378" s="17">
        <v>0.81599999999999995</v>
      </c>
      <c r="O378" s="17" t="str">
        <f ca="1">PROPER(Music_Data[[#This Row],[Playlist_subgenre2]])</f>
        <v>American</v>
      </c>
    </row>
    <row r="379" spans="1:15">
      <c r="A379" s="17">
        <v>0.86399999999999999</v>
      </c>
      <c r="B379" s="21">
        <v>999</v>
      </c>
      <c r="C379" s="16">
        <v>0.63700000000000001</v>
      </c>
      <c r="D379" s="16" t="str">
        <f ca="1">PROPER(Music_Data[[#This Row],[Playlist_genre2]])</f>
        <v>Folk</v>
      </c>
      <c r="E379" s="17">
        <v>0.70599999999999996</v>
      </c>
      <c r="F379" t="s">
        <v>6586</v>
      </c>
      <c r="G379">
        <v>69</v>
      </c>
      <c r="H379" t="s">
        <v>9998</v>
      </c>
      <c r="I379" t="s">
        <v>10156</v>
      </c>
      <c r="J379" s="22">
        <v>43154</v>
      </c>
      <c r="K379">
        <v>1</v>
      </c>
      <c r="L379">
        <v>8</v>
      </c>
      <c r="M379" s="21">
        <f ca="1">LEFT(Music_Data[[#This Row],[Duration_minutes]],3)/60</f>
        <v>3.5666666666666669</v>
      </c>
      <c r="N379" s="17">
        <v>0.48399999999999999</v>
      </c>
      <c r="O379" s="17" t="str">
        <f ca="1">PROPER(Music_Data[[#This Row],[Playlist_subgenre2]])</f>
        <v>Indie</v>
      </c>
    </row>
    <row r="380" spans="1:15">
      <c r="A380" s="17">
        <v>0.41699999999999998</v>
      </c>
      <c r="B380" s="21">
        <v>870</v>
      </c>
      <c r="C380" s="16">
        <v>0.65400000000000003</v>
      </c>
      <c r="D380" s="16" t="str">
        <f ca="1">PROPER(Music_Data[[#This Row],[Playlist_genre2]])</f>
        <v>Folk</v>
      </c>
      <c r="E380" s="17">
        <v>0.64900000000000002</v>
      </c>
      <c r="F380" t="s">
        <v>10124</v>
      </c>
      <c r="G380">
        <v>68</v>
      </c>
      <c r="H380" t="s">
        <v>9998</v>
      </c>
      <c r="I380" t="s">
        <v>10127</v>
      </c>
      <c r="J380" s="22">
        <v>45226</v>
      </c>
      <c r="K380">
        <v>1</v>
      </c>
      <c r="L380">
        <v>11</v>
      </c>
      <c r="M380" s="21">
        <f ca="1">LEFT(Music_Data[[#This Row],[Duration_minutes]],3)/60</f>
        <v>2.4500000000000002</v>
      </c>
      <c r="N380" s="17">
        <v>0.44600000000000001</v>
      </c>
      <c r="O380" s="17" t="str">
        <f ca="1">PROPER(Music_Data[[#This Row],[Playlist_subgenre2]])</f>
        <v>Indie</v>
      </c>
    </row>
    <row r="381" spans="1:15">
      <c r="A381" s="17">
        <v>0.59199999999999997</v>
      </c>
      <c r="B381" s="21">
        <v>157</v>
      </c>
      <c r="C381" s="16">
        <v>0.52100000000000002</v>
      </c>
      <c r="D381" s="16" t="str">
        <f ca="1">PROPER(Music_Data[[#This Row],[Playlist_genre2]])</f>
        <v>Gaming</v>
      </c>
      <c r="E381" s="17">
        <v>0.53500000000000003</v>
      </c>
      <c r="F381" t="s">
        <v>34</v>
      </c>
      <c r="G381">
        <v>100</v>
      </c>
      <c r="H381" t="s">
        <v>4811</v>
      </c>
      <c r="I381" t="s">
        <v>38</v>
      </c>
      <c r="J381" s="22">
        <v>45520</v>
      </c>
      <c r="K381">
        <v>0</v>
      </c>
      <c r="L381">
        <v>6</v>
      </c>
      <c r="M381" s="21">
        <f ca="1">LEFT(Music_Data[[#This Row],[Duration_minutes]],3)/60</f>
        <v>4.1833333333333336</v>
      </c>
      <c r="N381" s="17">
        <v>0.308</v>
      </c>
      <c r="O381" s="17" t="str">
        <f ca="1">PROPER(Music_Data[[#This Row],[Playlist_subgenre2]])</f>
        <v>Modern</v>
      </c>
    </row>
    <row r="382" spans="1:15">
      <c r="A382" s="17">
        <v>0.50700000000000001</v>
      </c>
      <c r="B382" s="21">
        <v>104</v>
      </c>
      <c r="C382" s="16">
        <v>0.747</v>
      </c>
      <c r="D382" s="16" t="str">
        <f ca="1">PROPER(Music_Data[[#This Row],[Playlist_genre2]])</f>
        <v>Gaming</v>
      </c>
      <c r="E382" s="17">
        <v>0.438</v>
      </c>
      <c r="F382" t="s">
        <v>51</v>
      </c>
      <c r="G382">
        <v>97</v>
      </c>
      <c r="H382" t="s">
        <v>4811</v>
      </c>
      <c r="I382" t="s">
        <v>58</v>
      </c>
      <c r="J382" s="22">
        <v>45429</v>
      </c>
      <c r="K382">
        <v>1</v>
      </c>
      <c r="L382">
        <v>2</v>
      </c>
      <c r="M382" s="21">
        <f ca="1">LEFT(Music_Data[[#This Row],[Duration_minutes]],3)/60</f>
        <v>3.5</v>
      </c>
      <c r="N382" s="17">
        <v>0.2</v>
      </c>
      <c r="O382" s="17" t="str">
        <f ca="1">PROPER(Music_Data[[#This Row],[Playlist_subgenre2]])</f>
        <v>Modern</v>
      </c>
    </row>
    <row r="383" spans="1:15">
      <c r="A383" s="17">
        <v>0.58199999999999996</v>
      </c>
      <c r="B383" s="21">
        <v>116</v>
      </c>
      <c r="C383" s="16">
        <v>0.7</v>
      </c>
      <c r="D383" s="16" t="str">
        <f ca="1">PROPER(Music_Data[[#This Row],[Playlist_genre2]])</f>
        <v>Gaming</v>
      </c>
      <c r="E383" s="17">
        <v>0.78500000000000003</v>
      </c>
      <c r="F383" t="s">
        <v>109</v>
      </c>
      <c r="G383">
        <v>94</v>
      </c>
      <c r="H383" t="s">
        <v>4811</v>
      </c>
      <c r="I383" t="s">
        <v>113</v>
      </c>
      <c r="J383" s="22">
        <v>45387</v>
      </c>
      <c r="K383">
        <v>0</v>
      </c>
      <c r="L383">
        <v>11</v>
      </c>
      <c r="M383" s="21">
        <f ca="1">LEFT(Music_Data[[#This Row],[Duration_minutes]],3)/60</f>
        <v>3.6333333333333333</v>
      </c>
      <c r="N383" s="17">
        <v>5.0200000000000002E-2</v>
      </c>
      <c r="O383" s="17" t="str">
        <f ca="1">PROPER(Music_Data[[#This Row],[Playlist_subgenre2]])</f>
        <v>Modern</v>
      </c>
    </row>
    <row r="384" spans="1:15">
      <c r="A384" s="17">
        <v>0.76</v>
      </c>
      <c r="B384" s="21">
        <v>103</v>
      </c>
      <c r="C384" s="16">
        <v>0.70099999999999996</v>
      </c>
      <c r="D384" s="16" t="str">
        <f ca="1">PROPER(Music_Data[[#This Row],[Playlist_genre2]])</f>
        <v>Gaming</v>
      </c>
      <c r="E384" s="17">
        <v>0.69</v>
      </c>
      <c r="F384" t="s">
        <v>81</v>
      </c>
      <c r="G384">
        <v>90</v>
      </c>
      <c r="H384" t="s">
        <v>4811</v>
      </c>
      <c r="I384" t="s">
        <v>326</v>
      </c>
      <c r="J384" s="22">
        <v>45394</v>
      </c>
      <c r="K384">
        <v>1</v>
      </c>
      <c r="L384">
        <v>0</v>
      </c>
      <c r="M384" s="21">
        <f ca="1">LEFT(Music_Data[[#This Row],[Duration_minutes]],3)/60</f>
        <v>2.9166666666666665</v>
      </c>
      <c r="N384" s="17">
        <v>0.107</v>
      </c>
      <c r="O384" s="17" t="str">
        <f ca="1">PROPER(Music_Data[[#This Row],[Playlist_subgenre2]])</f>
        <v>Modern</v>
      </c>
    </row>
    <row r="385" spans="1:15">
      <c r="A385" s="17">
        <v>0.60399999999999998</v>
      </c>
      <c r="B385" s="21">
        <v>159</v>
      </c>
      <c r="C385" s="16">
        <v>0.56100000000000005</v>
      </c>
      <c r="D385" s="16" t="str">
        <f ca="1">PROPER(Music_Data[[#This Row],[Playlist_genre2]])</f>
        <v>Gaming</v>
      </c>
      <c r="E385" s="17">
        <v>0.24199999999999999</v>
      </c>
      <c r="F385" t="s">
        <v>516</v>
      </c>
      <c r="G385">
        <v>89</v>
      </c>
      <c r="H385" t="s">
        <v>4811</v>
      </c>
      <c r="I385" t="s">
        <v>523</v>
      </c>
      <c r="J385" s="22">
        <v>45184</v>
      </c>
      <c r="K385">
        <v>1</v>
      </c>
      <c r="L385">
        <v>9</v>
      </c>
      <c r="M385" s="21">
        <f ca="1">LEFT(Music_Data[[#This Row],[Duration_minutes]],3)/60</f>
        <v>3.5</v>
      </c>
      <c r="N385" s="17">
        <v>0.19900000000000001</v>
      </c>
      <c r="O385" s="17" t="str">
        <f ca="1">PROPER(Music_Data[[#This Row],[Playlist_subgenre2]])</f>
        <v>Modern</v>
      </c>
    </row>
    <row r="386" spans="1:15">
      <c r="A386" s="17">
        <v>0.75700000000000001</v>
      </c>
      <c r="B386" s="21">
        <v>139</v>
      </c>
      <c r="C386" s="16">
        <v>0.74199999999999999</v>
      </c>
      <c r="D386" s="16" t="str">
        <f ca="1">PROPER(Music_Data[[#This Row],[Playlist_genre2]])</f>
        <v>Gaming</v>
      </c>
      <c r="E386" s="17">
        <v>0.95699999999999996</v>
      </c>
      <c r="F386" t="s">
        <v>109</v>
      </c>
      <c r="G386">
        <v>88</v>
      </c>
      <c r="H386" t="s">
        <v>4811</v>
      </c>
      <c r="I386" t="s">
        <v>235</v>
      </c>
      <c r="J386" s="22">
        <v>45191</v>
      </c>
      <c r="K386">
        <v>1</v>
      </c>
      <c r="L386">
        <v>6</v>
      </c>
      <c r="M386" s="21">
        <f ca="1">LEFT(Music_Data[[#This Row],[Duration_minutes]],3)/60</f>
        <v>3.0666666666666669</v>
      </c>
      <c r="N386" s="17">
        <v>1.8700000000000001E-2</v>
      </c>
      <c r="O386" s="17" t="str">
        <f ca="1">PROPER(Music_Data[[#This Row],[Playlist_subgenre2]])</f>
        <v>Modern</v>
      </c>
    </row>
    <row r="387" spans="1:15">
      <c r="A387" s="17">
        <v>0.47199999999999998</v>
      </c>
      <c r="B387" s="21">
        <v>101</v>
      </c>
      <c r="C387" s="16">
        <v>0.89800000000000002</v>
      </c>
      <c r="D387" s="16" t="str">
        <f ca="1">PROPER(Music_Data[[#This Row],[Playlist_genre2]])</f>
        <v>Gaming</v>
      </c>
      <c r="E387" s="17">
        <v>0.214</v>
      </c>
      <c r="F387" t="s">
        <v>596</v>
      </c>
      <c r="G387">
        <v>88</v>
      </c>
      <c r="H387" t="s">
        <v>4811</v>
      </c>
      <c r="I387" t="s">
        <v>600</v>
      </c>
      <c r="J387" s="22">
        <v>45416</v>
      </c>
      <c r="K387">
        <v>1</v>
      </c>
      <c r="L387">
        <v>1</v>
      </c>
      <c r="M387" s="21">
        <f ca="1">LEFT(Music_Data[[#This Row],[Duration_minutes]],3)/60</f>
        <v>4.5666666666666664</v>
      </c>
      <c r="N387" s="17">
        <v>1.0699999999999999E-2</v>
      </c>
      <c r="O387" s="17" t="str">
        <f ca="1">PROPER(Music_Data[[#This Row],[Playlist_subgenre2]])</f>
        <v>Modern</v>
      </c>
    </row>
    <row r="388" spans="1:15">
      <c r="A388" s="17">
        <v>0.60099999999999998</v>
      </c>
      <c r="B388" s="21">
        <v>123</v>
      </c>
      <c r="C388" s="16">
        <v>0.63500000000000001</v>
      </c>
      <c r="D388" s="16" t="str">
        <f ca="1">PROPER(Music_Data[[#This Row],[Playlist_genre2]])</f>
        <v>Gaming</v>
      </c>
      <c r="E388" s="17">
        <v>0.33200000000000002</v>
      </c>
      <c r="F388" t="s">
        <v>439</v>
      </c>
      <c r="G388">
        <v>88</v>
      </c>
      <c r="H388" t="s">
        <v>4811</v>
      </c>
      <c r="I388" t="s">
        <v>442</v>
      </c>
      <c r="J388" s="22">
        <v>45422</v>
      </c>
      <c r="K388">
        <v>0</v>
      </c>
      <c r="L388">
        <v>1</v>
      </c>
      <c r="M388" s="21">
        <f ca="1">LEFT(Music_Data[[#This Row],[Duration_minutes]],3)/60</f>
        <v>2.8666666666666667</v>
      </c>
      <c r="N388" s="17">
        <v>0.246</v>
      </c>
      <c r="O388" s="17" t="str">
        <f ca="1">PROPER(Music_Data[[#This Row],[Playlist_subgenre2]])</f>
        <v>Modern</v>
      </c>
    </row>
    <row r="389" spans="1:15">
      <c r="A389" s="17">
        <v>0.58599999999999997</v>
      </c>
      <c r="B389" s="21">
        <v>107</v>
      </c>
      <c r="C389" s="16">
        <v>0.66900000000000004</v>
      </c>
      <c r="D389" s="16" t="str">
        <f ca="1">PROPER(Music_Data[[#This Row],[Playlist_genre2]])</f>
        <v>Gaming</v>
      </c>
      <c r="E389" s="17">
        <v>0.57899999999999996</v>
      </c>
      <c r="F389" t="s">
        <v>81</v>
      </c>
      <c r="G389">
        <v>88</v>
      </c>
      <c r="H389" t="s">
        <v>4811</v>
      </c>
      <c r="I389" t="s">
        <v>194</v>
      </c>
      <c r="J389" s="22">
        <v>45449</v>
      </c>
      <c r="K389">
        <v>1</v>
      </c>
      <c r="L389">
        <v>9</v>
      </c>
      <c r="M389" s="21">
        <f ca="1">LEFT(Music_Data[[#This Row],[Duration_minutes]],3)/60</f>
        <v>3.1</v>
      </c>
      <c r="N389" s="17">
        <v>0.27400000000000002</v>
      </c>
      <c r="O389" s="17" t="str">
        <f ca="1">PROPER(Music_Data[[#This Row],[Playlist_subgenre2]])</f>
        <v>Modern</v>
      </c>
    </row>
    <row r="390" spans="1:15">
      <c r="A390" s="17">
        <v>0.88200000000000001</v>
      </c>
      <c r="B390" s="21">
        <v>148</v>
      </c>
      <c r="C390" s="16">
        <v>0.56899999999999995</v>
      </c>
      <c r="D390" s="16" t="str">
        <f ca="1">PROPER(Music_Data[[#This Row],[Playlist_genre2]])</f>
        <v>Gaming</v>
      </c>
      <c r="E390" s="17">
        <v>0.20100000000000001</v>
      </c>
      <c r="F390" t="s">
        <v>4815</v>
      </c>
      <c r="G390">
        <v>88</v>
      </c>
      <c r="H390" t="s">
        <v>4811</v>
      </c>
      <c r="I390" t="s">
        <v>4822</v>
      </c>
      <c r="J390" s="22">
        <v>45135</v>
      </c>
      <c r="K390">
        <v>0</v>
      </c>
      <c r="L390">
        <v>3</v>
      </c>
      <c r="M390" s="21">
        <f ca="1">LEFT(Music_Data[[#This Row],[Duration_minutes]],3)/60</f>
        <v>3.1833333333333331</v>
      </c>
      <c r="N390" s="17">
        <v>3.1600000000000003E-2</v>
      </c>
      <c r="O390" s="17" t="str">
        <f ca="1">PROPER(Music_Data[[#This Row],[Playlist_subgenre2]])</f>
        <v>Modern</v>
      </c>
    </row>
    <row r="391" spans="1:15">
      <c r="A391" s="17">
        <v>0.58299999999999996</v>
      </c>
      <c r="B391" s="21">
        <v>181</v>
      </c>
      <c r="C391" s="16">
        <v>0.432</v>
      </c>
      <c r="D391" s="16" t="str">
        <f ca="1">PROPER(Music_Data[[#This Row],[Playlist_genre2]])</f>
        <v>Gaming</v>
      </c>
      <c r="E391" s="17">
        <v>0.54400000000000004</v>
      </c>
      <c r="F391" t="s">
        <v>478</v>
      </c>
      <c r="G391">
        <v>87</v>
      </c>
      <c r="H391" t="s">
        <v>4811</v>
      </c>
      <c r="I391" t="s">
        <v>4830</v>
      </c>
      <c r="J391" s="22">
        <v>45387</v>
      </c>
      <c r="K391">
        <v>1</v>
      </c>
      <c r="L391">
        <v>8</v>
      </c>
      <c r="M391" s="21">
        <f ca="1">LEFT(Music_Data[[#This Row],[Duration_minutes]],3)/60</f>
        <v>2.6833333333333331</v>
      </c>
      <c r="N391" s="17">
        <v>0.17399999999999999</v>
      </c>
      <c r="O391" s="17" t="str">
        <f ca="1">PROPER(Music_Data[[#This Row],[Playlist_subgenre2]])</f>
        <v>Modern</v>
      </c>
    </row>
    <row r="392" spans="1:15">
      <c r="A392" s="17">
        <v>0.78200000000000003</v>
      </c>
      <c r="B392" s="21">
        <v>119</v>
      </c>
      <c r="C392" s="16">
        <v>0.72699999999999998</v>
      </c>
      <c r="D392" s="16" t="str">
        <f ca="1">PROPER(Music_Data[[#This Row],[Playlist_genre2]])</f>
        <v>Gaming</v>
      </c>
      <c r="E392" s="17">
        <v>0.65500000000000003</v>
      </c>
      <c r="F392" t="s">
        <v>294</v>
      </c>
      <c r="G392">
        <v>86</v>
      </c>
      <c r="H392" t="s">
        <v>4811</v>
      </c>
      <c r="I392" t="s">
        <v>298</v>
      </c>
      <c r="J392" s="22">
        <v>45450</v>
      </c>
      <c r="K392">
        <v>0</v>
      </c>
      <c r="L392">
        <v>8</v>
      </c>
      <c r="M392" s="21">
        <f ca="1">LEFT(Music_Data[[#This Row],[Duration_minutes]],3)/60</f>
        <v>2.95</v>
      </c>
      <c r="N392" s="17">
        <v>5.6300000000000003E-2</v>
      </c>
      <c r="O392" s="17" t="str">
        <f ca="1">PROPER(Music_Data[[#This Row],[Playlist_subgenre2]])</f>
        <v>Modern</v>
      </c>
    </row>
    <row r="393" spans="1:15">
      <c r="A393" s="17">
        <v>0.70899999999999996</v>
      </c>
      <c r="B393" s="21">
        <v>810</v>
      </c>
      <c r="C393" s="16">
        <v>0.72199999999999998</v>
      </c>
      <c r="D393" s="16" t="str">
        <f ca="1">PROPER(Music_Data[[#This Row],[Playlist_genre2]])</f>
        <v>Gaming</v>
      </c>
      <c r="E393" s="17">
        <v>0.60399999999999998</v>
      </c>
      <c r="F393" t="s">
        <v>216</v>
      </c>
      <c r="G393">
        <v>86</v>
      </c>
      <c r="H393" t="s">
        <v>4811</v>
      </c>
      <c r="I393" t="s">
        <v>220</v>
      </c>
      <c r="J393" s="22">
        <v>45394</v>
      </c>
      <c r="K393">
        <v>1</v>
      </c>
      <c r="L393">
        <v>9</v>
      </c>
      <c r="M393" s="21">
        <f ca="1">LEFT(Music_Data[[#This Row],[Duration_minutes]],3)/60</f>
        <v>2.85</v>
      </c>
      <c r="N393" s="17">
        <v>6.3299999999999995E-2</v>
      </c>
      <c r="O393" s="17" t="str">
        <f ca="1">PROPER(Music_Data[[#This Row],[Playlist_subgenre2]])</f>
        <v>Modern</v>
      </c>
    </row>
    <row r="394" spans="1:15">
      <c r="A394" s="17">
        <v>0.47099999999999997</v>
      </c>
      <c r="B394" s="21">
        <v>105</v>
      </c>
      <c r="C394" s="16">
        <v>0.47199999999999998</v>
      </c>
      <c r="D394" s="16" t="str">
        <f ca="1">PROPER(Music_Data[[#This Row],[Playlist_genre2]])</f>
        <v>Gaming</v>
      </c>
      <c r="E394" s="17">
        <v>0.219</v>
      </c>
      <c r="F394" t="s">
        <v>478</v>
      </c>
      <c r="G394">
        <v>85</v>
      </c>
      <c r="H394" t="s">
        <v>4811</v>
      </c>
      <c r="I394" t="s">
        <v>482</v>
      </c>
      <c r="J394" s="22">
        <v>45309</v>
      </c>
      <c r="K394">
        <v>1</v>
      </c>
      <c r="L394">
        <v>10</v>
      </c>
      <c r="M394" s="21">
        <f ca="1">LEFT(Music_Data[[#This Row],[Duration_minutes]],3)/60</f>
        <v>3</v>
      </c>
      <c r="N394" s="17">
        <v>0.151</v>
      </c>
      <c r="O394" s="17" t="str">
        <f ca="1">PROPER(Music_Data[[#This Row],[Playlist_subgenre2]])</f>
        <v>Modern</v>
      </c>
    </row>
    <row r="395" spans="1:15">
      <c r="A395" s="17">
        <v>0.66700000000000004</v>
      </c>
      <c r="B395" s="21">
        <v>130</v>
      </c>
      <c r="C395" s="16">
        <v>0.77600000000000002</v>
      </c>
      <c r="D395" s="16" t="str">
        <f ca="1">PROPER(Music_Data[[#This Row],[Playlist_genre2]])</f>
        <v>Gaming</v>
      </c>
      <c r="E395" s="17">
        <v>0.61799999999999999</v>
      </c>
      <c r="F395" t="s">
        <v>177</v>
      </c>
      <c r="G395">
        <v>85</v>
      </c>
      <c r="H395" t="s">
        <v>4811</v>
      </c>
      <c r="I395" t="s">
        <v>184</v>
      </c>
      <c r="J395" s="22">
        <v>45505</v>
      </c>
      <c r="K395">
        <v>1</v>
      </c>
      <c r="L395">
        <v>7</v>
      </c>
      <c r="M395" s="21">
        <f ca="1">LEFT(Music_Data[[#This Row],[Duration_minutes]],3)/60</f>
        <v>2.4166666666666665</v>
      </c>
      <c r="N395" s="17">
        <v>1.46E-2</v>
      </c>
      <c r="O395" s="17" t="str">
        <f ca="1">PROPER(Music_Data[[#This Row],[Playlist_subgenre2]])</f>
        <v>Modern</v>
      </c>
    </row>
    <row r="396" spans="1:15">
      <c r="A396" s="17">
        <v>0.54400000000000004</v>
      </c>
      <c r="B396" s="21">
        <v>132</v>
      </c>
      <c r="C396" s="16">
        <v>0.57099999999999995</v>
      </c>
      <c r="D396" s="16" t="str">
        <f ca="1">PROPER(Music_Data[[#This Row],[Playlist_genre2]])</f>
        <v>Gaming</v>
      </c>
      <c r="E396" s="17">
        <v>0.216</v>
      </c>
      <c r="F396" t="s">
        <v>3557</v>
      </c>
      <c r="G396">
        <v>85</v>
      </c>
      <c r="H396" t="s">
        <v>4811</v>
      </c>
      <c r="I396" t="s">
        <v>4853</v>
      </c>
      <c r="J396" s="22">
        <v>44762</v>
      </c>
      <c r="K396">
        <v>1</v>
      </c>
      <c r="L396">
        <v>6</v>
      </c>
      <c r="M396" s="21">
        <f ca="1">LEFT(Music_Data[[#This Row],[Duration_minutes]],3)/60</f>
        <v>2.2000000000000002</v>
      </c>
      <c r="N396" s="17">
        <v>0.45300000000000001</v>
      </c>
      <c r="O396" s="17" t="str">
        <f ca="1">PROPER(Music_Data[[#This Row],[Playlist_subgenre2]])</f>
        <v>Modern</v>
      </c>
    </row>
    <row r="397" spans="1:15">
      <c r="A397" s="17">
        <v>0.96499999999999997</v>
      </c>
      <c r="B397" s="21">
        <v>128</v>
      </c>
      <c r="C397" s="16">
        <v>0.56100000000000005</v>
      </c>
      <c r="D397" s="16" t="str">
        <f ca="1">PROPER(Music_Data[[#This Row],[Playlist_genre2]])</f>
        <v>Gaming</v>
      </c>
      <c r="E397" s="17">
        <v>0.30399999999999999</v>
      </c>
      <c r="F397" t="s">
        <v>4842</v>
      </c>
      <c r="G397">
        <v>85</v>
      </c>
      <c r="H397" t="s">
        <v>4811</v>
      </c>
      <c r="I397" t="s">
        <v>4845</v>
      </c>
      <c r="J397" s="22">
        <v>44799</v>
      </c>
      <c r="K397">
        <v>0</v>
      </c>
      <c r="L397">
        <v>7</v>
      </c>
      <c r="M397" s="21">
        <f ca="1">LEFT(Music_Data[[#This Row],[Duration_minutes]],3)/60</f>
        <v>2.9166666666666665</v>
      </c>
      <c r="N397" s="17">
        <v>3.8300000000000001E-3</v>
      </c>
      <c r="O397" s="17" t="str">
        <f ca="1">PROPER(Music_Data[[#This Row],[Playlist_subgenre2]])</f>
        <v>Modern</v>
      </c>
    </row>
    <row r="398" spans="1:15">
      <c r="A398" s="17">
        <v>0.745</v>
      </c>
      <c r="B398" s="21">
        <v>180</v>
      </c>
      <c r="C398" s="16">
        <v>0.46400000000000002</v>
      </c>
      <c r="D398" s="16" t="str">
        <f ca="1">PROPER(Music_Data[[#This Row],[Playlist_genre2]])</f>
        <v>Gaming</v>
      </c>
      <c r="E398" s="17">
        <v>0.26200000000000001</v>
      </c>
      <c r="F398" t="s">
        <v>4832</v>
      </c>
      <c r="G398">
        <v>85</v>
      </c>
      <c r="H398" t="s">
        <v>4811</v>
      </c>
      <c r="I398" t="s">
        <v>4835</v>
      </c>
      <c r="J398" s="22">
        <v>45482</v>
      </c>
      <c r="K398">
        <v>0</v>
      </c>
      <c r="L398">
        <v>4</v>
      </c>
      <c r="M398" s="21">
        <f ca="1">LEFT(Music_Data[[#This Row],[Duration_minutes]],3)/60</f>
        <v>3.1666666666666665</v>
      </c>
      <c r="N398" s="17">
        <v>2.35E-2</v>
      </c>
      <c r="O398" s="17" t="str">
        <f ca="1">PROPER(Music_Data[[#This Row],[Playlist_subgenre2]])</f>
        <v>Modern</v>
      </c>
    </row>
    <row r="399" spans="1:15">
      <c r="A399" s="17">
        <v>0.85399999999999998</v>
      </c>
      <c r="B399" s="21">
        <v>140</v>
      </c>
      <c r="C399" s="16">
        <v>0.47699999999999998</v>
      </c>
      <c r="D399" s="16" t="str">
        <f ca="1">PROPER(Music_Data[[#This Row],[Playlist_genre2]])</f>
        <v>Gaming</v>
      </c>
      <c r="E399" s="17">
        <v>0.314</v>
      </c>
      <c r="F399" t="s">
        <v>13218</v>
      </c>
      <c r="G399">
        <v>85</v>
      </c>
      <c r="H399" t="s">
        <v>4811</v>
      </c>
      <c r="I399" t="s">
        <v>4863</v>
      </c>
      <c r="J399" s="22">
        <v>45519</v>
      </c>
      <c r="K399">
        <v>1</v>
      </c>
      <c r="L399">
        <v>7</v>
      </c>
      <c r="M399" s="21">
        <f ca="1">LEFT(Music_Data[[#This Row],[Duration_minutes]],3)/60</f>
        <v>2.9833333333333334</v>
      </c>
      <c r="N399" s="17">
        <v>8.5800000000000001E-2</v>
      </c>
      <c r="O399" s="17" t="str">
        <f ca="1">PROPER(Music_Data[[#This Row],[Playlist_subgenre2]])</f>
        <v>Modern</v>
      </c>
    </row>
    <row r="400" spans="1:15">
      <c r="A400" s="17">
        <v>0.94599999999999995</v>
      </c>
      <c r="B400" s="21">
        <v>151</v>
      </c>
      <c r="C400" s="16">
        <v>0.59899999999999998</v>
      </c>
      <c r="D400" s="16" t="str">
        <f ca="1">PROPER(Music_Data[[#This Row],[Playlist_genre2]])</f>
        <v>Gaming</v>
      </c>
      <c r="E400" s="17">
        <v>0.747</v>
      </c>
      <c r="F400" t="s">
        <v>4868</v>
      </c>
      <c r="G400">
        <v>84</v>
      </c>
      <c r="H400" t="s">
        <v>4811</v>
      </c>
      <c r="I400" t="s">
        <v>4872</v>
      </c>
      <c r="J400" s="22">
        <v>45370</v>
      </c>
      <c r="K400">
        <v>1</v>
      </c>
      <c r="L400">
        <v>11</v>
      </c>
      <c r="M400" s="21">
        <f ca="1">LEFT(Music_Data[[#This Row],[Duration_minutes]],3)/60</f>
        <v>2.3666666666666667</v>
      </c>
      <c r="N400" s="17">
        <v>9.3800000000000003E-4</v>
      </c>
      <c r="O400" s="17" t="str">
        <f ca="1">PROPER(Music_Data[[#This Row],[Playlist_subgenre2]])</f>
        <v>Modern</v>
      </c>
    </row>
    <row r="401" spans="1:15">
      <c r="A401" s="17">
        <v>0.55200000000000005</v>
      </c>
      <c r="B401" s="21">
        <v>144</v>
      </c>
      <c r="C401" s="16">
        <v>0.64</v>
      </c>
      <c r="D401" s="16" t="str">
        <f ca="1">PROPER(Music_Data[[#This Row],[Playlist_genre2]])</f>
        <v>Gaming</v>
      </c>
      <c r="E401" s="17">
        <v>0.112</v>
      </c>
      <c r="F401" t="s">
        <v>2070</v>
      </c>
      <c r="G401">
        <v>84</v>
      </c>
      <c r="H401" t="s">
        <v>4811</v>
      </c>
      <c r="I401" t="s">
        <v>2076</v>
      </c>
      <c r="J401" s="22">
        <v>45373</v>
      </c>
      <c r="K401">
        <v>1</v>
      </c>
      <c r="L401">
        <v>2</v>
      </c>
      <c r="M401" s="21">
        <f ca="1">LEFT(Music_Data[[#This Row],[Duration_minutes]],3)/60</f>
        <v>3.8</v>
      </c>
      <c r="N401" s="17">
        <v>2.1499999999999998E-2</v>
      </c>
      <c r="O401" s="17" t="str">
        <f ca="1">PROPER(Music_Data[[#This Row],[Playlist_subgenre2]])</f>
        <v>Modern</v>
      </c>
    </row>
    <row r="402" spans="1:15">
      <c r="A402" s="17">
        <v>0.45300000000000001</v>
      </c>
      <c r="B402" s="21">
        <v>139</v>
      </c>
      <c r="C402" s="16">
        <v>0.91500000000000004</v>
      </c>
      <c r="D402" s="16" t="str">
        <f ca="1">PROPER(Music_Data[[#This Row],[Playlist_genre2]])</f>
        <v>Gaming</v>
      </c>
      <c r="E402" s="17">
        <v>0.28699999999999998</v>
      </c>
      <c r="F402" t="s">
        <v>1856</v>
      </c>
      <c r="G402">
        <v>84</v>
      </c>
      <c r="H402" t="s">
        <v>4811</v>
      </c>
      <c r="I402" t="s">
        <v>4902</v>
      </c>
      <c r="J402" s="22">
        <v>45422</v>
      </c>
      <c r="K402">
        <v>0</v>
      </c>
      <c r="L402">
        <v>10</v>
      </c>
      <c r="M402" s="21">
        <f ca="1">LEFT(Music_Data[[#This Row],[Duration_minutes]],3)/60</f>
        <v>2.4</v>
      </c>
      <c r="N402" s="17">
        <v>8.72E-2</v>
      </c>
      <c r="O402" s="17" t="str">
        <f ca="1">PROPER(Music_Data[[#This Row],[Playlist_subgenre2]])</f>
        <v>Modern</v>
      </c>
    </row>
    <row r="403" spans="1:15">
      <c r="A403" s="17">
        <v>0.64200000000000002</v>
      </c>
      <c r="B403" s="21">
        <v>179</v>
      </c>
      <c r="C403" s="16">
        <v>0.745</v>
      </c>
      <c r="D403" s="16" t="str">
        <f ca="1">PROPER(Music_Data[[#This Row],[Playlist_genre2]])</f>
        <v>Gaming</v>
      </c>
      <c r="E403" s="17">
        <v>0.22600000000000001</v>
      </c>
      <c r="F403" t="s">
        <v>4879</v>
      </c>
      <c r="G403">
        <v>84</v>
      </c>
      <c r="H403" t="s">
        <v>4811</v>
      </c>
      <c r="I403" t="s">
        <v>4885</v>
      </c>
      <c r="J403" s="22">
        <v>43707</v>
      </c>
      <c r="K403">
        <v>0</v>
      </c>
      <c r="L403">
        <v>7</v>
      </c>
      <c r="M403" s="21">
        <f ca="1">LEFT(Music_Data[[#This Row],[Duration_minutes]],3)/60</f>
        <v>2.1833333333333331</v>
      </c>
      <c r="N403" s="17">
        <v>2.0400000000000001E-2</v>
      </c>
      <c r="O403" s="17" t="str">
        <f ca="1">PROPER(Music_Data[[#This Row],[Playlist_subgenre2]])</f>
        <v>Modern</v>
      </c>
    </row>
    <row r="404" spans="1:15">
      <c r="A404" s="17">
        <v>0.82899999999999996</v>
      </c>
      <c r="B404" s="21">
        <v>139</v>
      </c>
      <c r="C404" s="16">
        <v>0.47599999999999998</v>
      </c>
      <c r="D404" s="16" t="str">
        <f ca="1">PROPER(Music_Data[[#This Row],[Playlist_genre2]])</f>
        <v>Gaming</v>
      </c>
      <c r="E404" s="17">
        <v>0.505</v>
      </c>
      <c r="F404" t="s">
        <v>4887</v>
      </c>
      <c r="G404">
        <v>84</v>
      </c>
      <c r="H404" t="s">
        <v>4811</v>
      </c>
      <c r="I404" t="s">
        <v>4893</v>
      </c>
      <c r="J404" s="22">
        <v>45490</v>
      </c>
      <c r="K404">
        <v>0</v>
      </c>
      <c r="L404">
        <v>10</v>
      </c>
      <c r="M404" s="21">
        <f ca="1">LEFT(Music_Data[[#This Row],[Duration_minutes]],3)/60</f>
        <v>2.2166666666666668</v>
      </c>
      <c r="N404" s="17">
        <v>1.72E-2</v>
      </c>
      <c r="O404" s="17" t="str">
        <f ca="1">PROPER(Music_Data[[#This Row],[Playlist_subgenre2]])</f>
        <v>Modern</v>
      </c>
    </row>
    <row r="405" spans="1:15">
      <c r="A405" s="17">
        <v>0.85499999999999998</v>
      </c>
      <c r="B405" s="21">
        <v>127</v>
      </c>
      <c r="C405" s="16">
        <v>0.63800000000000001</v>
      </c>
      <c r="D405" s="16" t="str">
        <f ca="1">PROPER(Music_Data[[#This Row],[Playlist_genre2]])</f>
        <v>Gaming</v>
      </c>
      <c r="E405" s="17">
        <v>0.73099999999999998</v>
      </c>
      <c r="F405" t="s">
        <v>381</v>
      </c>
      <c r="G405">
        <v>84</v>
      </c>
      <c r="H405" t="s">
        <v>4811</v>
      </c>
      <c r="I405" t="s">
        <v>388</v>
      </c>
      <c r="J405" s="22">
        <v>45422</v>
      </c>
      <c r="K405">
        <v>1</v>
      </c>
      <c r="L405">
        <v>7</v>
      </c>
      <c r="M405" s="21">
        <f ca="1">LEFT(Music_Data[[#This Row],[Duration_minutes]],3)/60</f>
        <v>2.9666666666666668</v>
      </c>
      <c r="N405" s="17">
        <v>7.5700000000000003E-3</v>
      </c>
      <c r="O405" s="17" t="str">
        <f ca="1">PROPER(Music_Data[[#This Row],[Playlist_subgenre2]])</f>
        <v>Modern</v>
      </c>
    </row>
    <row r="406" spans="1:15">
      <c r="A406" s="17">
        <v>0.95699999999999996</v>
      </c>
      <c r="B406" s="21">
        <v>126</v>
      </c>
      <c r="C406" s="16">
        <v>0.80400000000000005</v>
      </c>
      <c r="D406" s="16" t="str">
        <f ca="1">PROPER(Music_Data[[#This Row],[Playlist_genre2]])</f>
        <v>Gaming</v>
      </c>
      <c r="E406" s="17">
        <v>0.96199999999999997</v>
      </c>
      <c r="F406" t="s">
        <v>4931</v>
      </c>
      <c r="G406">
        <v>83</v>
      </c>
      <c r="H406" t="s">
        <v>4811</v>
      </c>
      <c r="I406" t="s">
        <v>4937</v>
      </c>
      <c r="J406" s="22">
        <v>45450</v>
      </c>
      <c r="K406">
        <v>1</v>
      </c>
      <c r="L406">
        <v>0</v>
      </c>
      <c r="M406" s="21">
        <f ca="1">LEFT(Music_Data[[#This Row],[Duration_minutes]],3)/60</f>
        <v>2.5166666666666666</v>
      </c>
      <c r="N406" s="17">
        <v>0.125</v>
      </c>
      <c r="O406" s="17" t="str">
        <f ca="1">PROPER(Music_Data[[#This Row],[Playlist_subgenre2]])</f>
        <v>Modern</v>
      </c>
    </row>
    <row r="407" spans="1:15">
      <c r="A407" s="17">
        <v>0.67600000000000005</v>
      </c>
      <c r="B407" s="21">
        <v>162</v>
      </c>
      <c r="C407" s="16">
        <v>0.81399999999999995</v>
      </c>
      <c r="D407" s="16" t="str">
        <f ca="1">PROPER(Music_Data[[#This Row],[Playlist_genre2]])</f>
        <v>Gaming</v>
      </c>
      <c r="E407" s="17">
        <v>0.312</v>
      </c>
      <c r="F407" t="s">
        <v>2701</v>
      </c>
      <c r="G407">
        <v>83</v>
      </c>
      <c r="H407" t="s">
        <v>4811</v>
      </c>
      <c r="I407" t="s">
        <v>2707</v>
      </c>
      <c r="J407" s="22">
        <v>45373</v>
      </c>
      <c r="K407">
        <v>0</v>
      </c>
      <c r="L407">
        <v>11</v>
      </c>
      <c r="M407" s="21">
        <f ca="1">LEFT(Music_Data[[#This Row],[Duration_minutes]],3)/60</f>
        <v>4.45</v>
      </c>
      <c r="N407" s="17">
        <v>7.0899999999999999E-3</v>
      </c>
      <c r="O407" s="17" t="str">
        <f ca="1">PROPER(Music_Data[[#This Row],[Playlist_subgenre2]])</f>
        <v>Modern</v>
      </c>
    </row>
    <row r="408" spans="1:15">
      <c r="A408" s="17">
        <v>0.78700000000000003</v>
      </c>
      <c r="B408" s="21">
        <v>119</v>
      </c>
      <c r="C408" s="16">
        <v>0.70399999999999996</v>
      </c>
      <c r="D408" s="16" t="str">
        <f ca="1">PROPER(Music_Data[[#This Row],[Playlist_genre2]])</f>
        <v>Gaming</v>
      </c>
      <c r="E408" s="17">
        <v>0.31</v>
      </c>
      <c r="F408" t="s">
        <v>4906</v>
      </c>
      <c r="G408">
        <v>83</v>
      </c>
      <c r="H408" t="s">
        <v>4811</v>
      </c>
      <c r="I408" t="s">
        <v>4910</v>
      </c>
      <c r="J408" s="22">
        <v>45492</v>
      </c>
      <c r="K408">
        <v>0</v>
      </c>
      <c r="L408">
        <v>11</v>
      </c>
      <c r="M408" s="21">
        <f ca="1">LEFT(Music_Data[[#This Row],[Duration_minutes]],3)/60</f>
        <v>3.5666666666666669</v>
      </c>
      <c r="N408" s="17">
        <v>9.2599999999999991E-3</v>
      </c>
      <c r="O408" s="17" t="str">
        <f ca="1">PROPER(Music_Data[[#This Row],[Playlist_subgenre2]])</f>
        <v>Modern</v>
      </c>
    </row>
    <row r="409" spans="1:15">
      <c r="A409" s="17">
        <v>0.61799999999999999</v>
      </c>
      <c r="B409" s="21">
        <v>126</v>
      </c>
      <c r="C409" s="16">
        <v>0.85299999999999998</v>
      </c>
      <c r="D409" s="16" t="str">
        <f ca="1">PROPER(Music_Data[[#This Row],[Playlist_genre2]])</f>
        <v>Gaming</v>
      </c>
      <c r="E409" s="17">
        <v>0.32</v>
      </c>
      <c r="F409" t="s">
        <v>4916</v>
      </c>
      <c r="G409">
        <v>83</v>
      </c>
      <c r="H409" t="s">
        <v>4811</v>
      </c>
      <c r="I409" t="s">
        <v>4920</v>
      </c>
      <c r="J409" s="22">
        <v>45492</v>
      </c>
      <c r="K409">
        <v>1</v>
      </c>
      <c r="L409">
        <v>6</v>
      </c>
      <c r="M409" s="21">
        <f ca="1">LEFT(Music_Data[[#This Row],[Duration_minutes]],3)/60</f>
        <v>2.4166666666666665</v>
      </c>
      <c r="N409" s="17">
        <v>0.63300000000000001</v>
      </c>
      <c r="O409" s="17" t="str">
        <f ca="1">PROPER(Music_Data[[#This Row],[Playlist_subgenre2]])</f>
        <v>Modern</v>
      </c>
    </row>
    <row r="410" spans="1:15">
      <c r="A410" s="17">
        <v>0.751</v>
      </c>
      <c r="B410" s="21">
        <v>129</v>
      </c>
      <c r="C410" s="16">
        <v>0.70099999999999996</v>
      </c>
      <c r="D410" s="16" t="str">
        <f ca="1">PROPER(Music_Data[[#This Row],[Playlist_genre2]])</f>
        <v>Gaming</v>
      </c>
      <c r="E410" s="17">
        <v>0.22</v>
      </c>
      <c r="F410" t="s">
        <v>4924</v>
      </c>
      <c r="G410">
        <v>83</v>
      </c>
      <c r="H410" t="s">
        <v>4811</v>
      </c>
      <c r="I410" t="s">
        <v>4929</v>
      </c>
      <c r="J410" s="22">
        <v>45400</v>
      </c>
      <c r="K410">
        <v>1</v>
      </c>
      <c r="L410">
        <v>0</v>
      </c>
      <c r="M410" s="21">
        <f ca="1">LEFT(Music_Data[[#This Row],[Duration_minutes]],3)/60</f>
        <v>3.6333333333333333</v>
      </c>
      <c r="N410" s="17">
        <v>0.123</v>
      </c>
      <c r="O410" s="17" t="str">
        <f ca="1">PROPER(Music_Data[[#This Row],[Playlist_subgenre2]])</f>
        <v>Modern</v>
      </c>
    </row>
    <row r="411" spans="1:15">
      <c r="A411" s="17">
        <v>0.64200000000000002</v>
      </c>
      <c r="B411" s="21">
        <v>833</v>
      </c>
      <c r="C411" s="16">
        <v>0.46300000000000002</v>
      </c>
      <c r="D411" s="16" t="str">
        <f ca="1">PROPER(Music_Data[[#This Row],[Playlist_genre2]])</f>
        <v>Gaming</v>
      </c>
      <c r="E411" s="17">
        <v>0.33900000000000002</v>
      </c>
      <c r="F411" t="s">
        <v>4983</v>
      </c>
      <c r="G411">
        <v>82</v>
      </c>
      <c r="H411" t="s">
        <v>4811</v>
      </c>
      <c r="I411" t="s">
        <v>4988</v>
      </c>
      <c r="J411" s="22">
        <v>44680</v>
      </c>
      <c r="K411">
        <v>1</v>
      </c>
      <c r="L411">
        <v>1</v>
      </c>
      <c r="M411" s="21">
        <f ca="1">LEFT(Music_Data[[#This Row],[Duration_minutes]],3)/60</f>
        <v>3.15</v>
      </c>
      <c r="N411" s="17">
        <v>0.314</v>
      </c>
      <c r="O411" s="17" t="str">
        <f ca="1">PROPER(Music_Data[[#This Row],[Playlist_subgenre2]])</f>
        <v>Modern</v>
      </c>
    </row>
    <row r="412" spans="1:15">
      <c r="A412" s="17">
        <v>0.622</v>
      </c>
      <c r="B412" s="21">
        <v>130</v>
      </c>
      <c r="C412" s="16">
        <v>0.84699999999999998</v>
      </c>
      <c r="D412" s="16" t="str">
        <f ca="1">PROPER(Music_Data[[#This Row],[Playlist_genre2]])</f>
        <v>Gaming</v>
      </c>
      <c r="E412" s="17">
        <v>0.22</v>
      </c>
      <c r="F412" t="s">
        <v>1856</v>
      </c>
      <c r="G412">
        <v>82</v>
      </c>
      <c r="H412" t="s">
        <v>4811</v>
      </c>
      <c r="I412" t="s">
        <v>4972</v>
      </c>
      <c r="J412" s="22">
        <v>45093</v>
      </c>
      <c r="K412">
        <v>0</v>
      </c>
      <c r="L412">
        <v>1</v>
      </c>
      <c r="M412" s="21">
        <f ca="1">LEFT(Music_Data[[#This Row],[Duration_minutes]],3)/60</f>
        <v>2.0833333333333335</v>
      </c>
      <c r="N412" s="17">
        <v>0.11899999999999999</v>
      </c>
      <c r="O412" s="17" t="str">
        <f ca="1">PROPER(Music_Data[[#This Row],[Playlist_subgenre2]])</f>
        <v>Modern</v>
      </c>
    </row>
    <row r="413" spans="1:15">
      <c r="A413" s="17">
        <v>0.72699999999999998</v>
      </c>
      <c r="B413" s="21">
        <v>130</v>
      </c>
      <c r="C413" s="16">
        <v>0.88700000000000001</v>
      </c>
      <c r="D413" s="16" t="str">
        <f ca="1">PROPER(Music_Data[[#This Row],[Playlist_genre2]])</f>
        <v>Gaming</v>
      </c>
      <c r="E413" s="17">
        <v>0.93200000000000005</v>
      </c>
      <c r="F413" t="s">
        <v>1856</v>
      </c>
      <c r="G413">
        <v>82</v>
      </c>
      <c r="H413" t="s">
        <v>4811</v>
      </c>
      <c r="I413" t="s">
        <v>5027</v>
      </c>
      <c r="J413" s="22">
        <v>45422</v>
      </c>
      <c r="K413">
        <v>0</v>
      </c>
      <c r="L413">
        <v>4</v>
      </c>
      <c r="M413" s="21">
        <f ca="1">LEFT(Music_Data[[#This Row],[Duration_minutes]],3)/60</f>
        <v>15.116666666666667</v>
      </c>
      <c r="N413" s="17">
        <v>0.38100000000000001</v>
      </c>
      <c r="O413" s="17" t="str">
        <f ca="1">PROPER(Music_Data[[#This Row],[Playlist_subgenre2]])</f>
        <v>Modern</v>
      </c>
    </row>
    <row r="414" spans="1:15">
      <c r="A414" s="17">
        <v>0.66800000000000004</v>
      </c>
      <c r="B414" s="21">
        <v>909</v>
      </c>
      <c r="C414" s="16">
        <v>0.64600000000000002</v>
      </c>
      <c r="D414" s="16" t="str">
        <f ca="1">PROPER(Music_Data[[#This Row],[Playlist_genre2]])</f>
        <v>Gaming</v>
      </c>
      <c r="E414" s="17">
        <v>0.64</v>
      </c>
      <c r="F414" t="s">
        <v>530</v>
      </c>
      <c r="G414">
        <v>82</v>
      </c>
      <c r="H414" t="s">
        <v>4811</v>
      </c>
      <c r="I414" t="s">
        <v>534</v>
      </c>
      <c r="J414" s="22">
        <v>45338</v>
      </c>
      <c r="K414">
        <v>1</v>
      </c>
      <c r="L414">
        <v>2</v>
      </c>
      <c r="M414" s="21">
        <f ca="1">LEFT(Music_Data[[#This Row],[Duration_minutes]],3)/60</f>
        <v>2.4666666666666668</v>
      </c>
      <c r="N414" s="17">
        <v>0.49099999999999999</v>
      </c>
      <c r="O414" s="17" t="str">
        <f ca="1">PROPER(Music_Data[[#This Row],[Playlist_subgenre2]])</f>
        <v>Modern</v>
      </c>
    </row>
    <row r="415" spans="1:15">
      <c r="A415" s="17">
        <v>0.79200000000000004</v>
      </c>
      <c r="B415" s="21">
        <v>100</v>
      </c>
      <c r="C415" s="16">
        <v>0.68700000000000006</v>
      </c>
      <c r="D415" s="16" t="str">
        <f ca="1">PROPER(Music_Data[[#This Row],[Playlist_genre2]])</f>
        <v>Gaming</v>
      </c>
      <c r="E415" s="17">
        <v>0.67100000000000004</v>
      </c>
      <c r="F415" t="s">
        <v>4949</v>
      </c>
      <c r="G415">
        <v>82</v>
      </c>
      <c r="H415" t="s">
        <v>4811</v>
      </c>
      <c r="I415" t="s">
        <v>4952</v>
      </c>
      <c r="J415" s="22">
        <v>43329</v>
      </c>
      <c r="K415">
        <v>1</v>
      </c>
      <c r="L415">
        <v>5</v>
      </c>
      <c r="M415" s="21">
        <f ca="1">LEFT(Music_Data[[#This Row],[Duration_minutes]],3)/60</f>
        <v>3.5666666666666669</v>
      </c>
      <c r="N415" s="17">
        <v>0.191</v>
      </c>
      <c r="O415" s="17" t="str">
        <f ca="1">PROPER(Music_Data[[#This Row],[Playlist_subgenre2]])</f>
        <v>Modern</v>
      </c>
    </row>
    <row r="416" spans="1:15">
      <c r="A416" s="17">
        <v>0.52200000000000002</v>
      </c>
      <c r="B416" s="21">
        <v>899</v>
      </c>
      <c r="C416" s="16">
        <v>0.755</v>
      </c>
      <c r="D416" s="16" t="str">
        <f ca="1">PROPER(Music_Data[[#This Row],[Playlist_genre2]])</f>
        <v>Gaming</v>
      </c>
      <c r="E416" s="17">
        <v>0.92500000000000004</v>
      </c>
      <c r="F416" t="s">
        <v>4959</v>
      </c>
      <c r="G416">
        <v>82</v>
      </c>
      <c r="H416" t="s">
        <v>4811</v>
      </c>
      <c r="I416" t="s">
        <v>4965</v>
      </c>
      <c r="J416" s="22">
        <v>43714</v>
      </c>
      <c r="K416">
        <v>1</v>
      </c>
      <c r="L416">
        <v>2</v>
      </c>
      <c r="M416" s="21">
        <f ca="1">LEFT(Music_Data[[#This Row],[Duration_minutes]],3)/60</f>
        <v>2.6166666666666667</v>
      </c>
      <c r="N416" s="17">
        <v>0.53300000000000003</v>
      </c>
      <c r="O416" s="17" t="str">
        <f ca="1">PROPER(Music_Data[[#This Row],[Playlist_subgenre2]])</f>
        <v>Modern</v>
      </c>
    </row>
    <row r="417" spans="1:15">
      <c r="A417" s="17">
        <v>0.45700000000000002</v>
      </c>
      <c r="B417" s="21">
        <v>146</v>
      </c>
      <c r="C417" s="16">
        <v>0.59199999999999997</v>
      </c>
      <c r="D417" s="16" t="str">
        <f ca="1">PROPER(Music_Data[[#This Row],[Playlist_genre2]])</f>
        <v>Gaming</v>
      </c>
      <c r="E417" s="17">
        <v>0.22500000000000001</v>
      </c>
      <c r="F417" t="s">
        <v>4940</v>
      </c>
      <c r="G417">
        <v>82</v>
      </c>
      <c r="H417" t="s">
        <v>4811</v>
      </c>
      <c r="I417" t="s">
        <v>4946</v>
      </c>
      <c r="J417" s="22">
        <v>43175</v>
      </c>
      <c r="K417">
        <v>0</v>
      </c>
      <c r="L417">
        <v>9</v>
      </c>
      <c r="M417" s="21">
        <f ca="1">LEFT(Music_Data[[#This Row],[Duration_minutes]],3)/60</f>
        <v>1.8333333333333333</v>
      </c>
      <c r="N417" s="17">
        <v>0.66100000000000003</v>
      </c>
      <c r="O417" s="17" t="str">
        <f ca="1">PROPER(Music_Data[[#This Row],[Playlist_subgenre2]])</f>
        <v>Modern</v>
      </c>
    </row>
    <row r="418" spans="1:15">
      <c r="A418" s="17">
        <v>0.73299999999999998</v>
      </c>
      <c r="B418" s="21">
        <v>172</v>
      </c>
      <c r="C418" s="16">
        <v>0.625</v>
      </c>
      <c r="D418" s="16" t="str">
        <f ca="1">PROPER(Music_Data[[#This Row],[Playlist_genre2]])</f>
        <v>Gaming</v>
      </c>
      <c r="E418" s="17">
        <v>0.24399999999999999</v>
      </c>
      <c r="F418" t="s">
        <v>4975</v>
      </c>
      <c r="G418">
        <v>81</v>
      </c>
      <c r="H418" t="s">
        <v>4811</v>
      </c>
      <c r="I418" t="s">
        <v>4980</v>
      </c>
      <c r="J418" s="22">
        <v>45303</v>
      </c>
      <c r="K418">
        <v>1</v>
      </c>
      <c r="L418">
        <v>2</v>
      </c>
      <c r="M418" s="21">
        <f ca="1">LEFT(Music_Data[[#This Row],[Duration_minutes]],3)/60</f>
        <v>4.5</v>
      </c>
      <c r="N418" s="17">
        <v>5.9800000000000001E-3</v>
      </c>
      <c r="O418" s="17" t="str">
        <f ca="1">PROPER(Music_Data[[#This Row],[Playlist_subgenre2]])</f>
        <v>Modern</v>
      </c>
    </row>
    <row r="419" spans="1:15">
      <c r="A419" s="17">
        <v>0.64600000000000002</v>
      </c>
      <c r="B419" s="21">
        <v>115</v>
      </c>
      <c r="C419" s="16">
        <v>0.64500000000000002</v>
      </c>
      <c r="D419" s="16" t="str">
        <f ca="1">PROPER(Music_Data[[#This Row],[Playlist_genre2]])</f>
        <v>Gaming</v>
      </c>
      <c r="E419" s="17">
        <v>0.29499999999999998</v>
      </c>
      <c r="F419" t="s">
        <v>464</v>
      </c>
      <c r="G419">
        <v>81</v>
      </c>
      <c r="H419" t="s">
        <v>4811</v>
      </c>
      <c r="I419" t="s">
        <v>471</v>
      </c>
      <c r="J419" s="22">
        <v>45359</v>
      </c>
      <c r="K419">
        <v>1</v>
      </c>
      <c r="L419">
        <v>5</v>
      </c>
      <c r="M419" s="21">
        <f ca="1">LEFT(Music_Data[[#This Row],[Duration_minutes]],3)/60</f>
        <v>3.8</v>
      </c>
      <c r="N419" s="17">
        <v>6.1499999999999999E-2</v>
      </c>
      <c r="O419" s="17" t="str">
        <f ca="1">PROPER(Music_Data[[#This Row],[Playlist_subgenre2]])</f>
        <v>Modern</v>
      </c>
    </row>
    <row r="420" spans="1:15">
      <c r="A420" s="17">
        <v>0.76400000000000001</v>
      </c>
      <c r="B420" s="21">
        <v>140</v>
      </c>
      <c r="C420" s="16">
        <v>0.88200000000000001</v>
      </c>
      <c r="D420" s="16" t="str">
        <f ca="1">PROPER(Music_Data[[#This Row],[Playlist_genre2]])</f>
        <v>Gaming</v>
      </c>
      <c r="E420" s="17">
        <v>0.88600000000000001</v>
      </c>
      <c r="F420" t="s">
        <v>2212</v>
      </c>
      <c r="G420">
        <v>81</v>
      </c>
      <c r="H420" t="s">
        <v>4811</v>
      </c>
      <c r="I420" t="s">
        <v>2215</v>
      </c>
      <c r="J420" s="22">
        <v>45435</v>
      </c>
      <c r="K420">
        <v>1</v>
      </c>
      <c r="L420">
        <v>11</v>
      </c>
      <c r="M420" s="21">
        <f ca="1">LEFT(Music_Data[[#This Row],[Duration_minutes]],3)/60</f>
        <v>2.3333333333333335</v>
      </c>
      <c r="N420" s="17">
        <v>0.35899999999999999</v>
      </c>
      <c r="O420" s="17" t="str">
        <f ca="1">PROPER(Music_Data[[#This Row],[Playlist_subgenre2]])</f>
        <v>Modern</v>
      </c>
    </row>
    <row r="421" spans="1:15">
      <c r="A421" s="17">
        <v>0.62</v>
      </c>
      <c r="B421" s="21">
        <v>120</v>
      </c>
      <c r="C421" s="16">
        <v>0.85699999999999998</v>
      </c>
      <c r="D421" s="16" t="str">
        <f ca="1">PROPER(Music_Data[[#This Row],[Playlist_genre2]])</f>
        <v>Gaming</v>
      </c>
      <c r="E421" s="17">
        <v>0.79600000000000004</v>
      </c>
      <c r="F421" t="s">
        <v>4931</v>
      </c>
      <c r="G421">
        <v>81</v>
      </c>
      <c r="H421" t="s">
        <v>4811</v>
      </c>
      <c r="I421" s="46">
        <v>360</v>
      </c>
      <c r="J421" s="22">
        <v>45450</v>
      </c>
      <c r="K421">
        <v>1</v>
      </c>
      <c r="L421">
        <v>0</v>
      </c>
      <c r="M421" s="21">
        <f ca="1">LEFT(Music_Data[[#This Row],[Duration_minutes]],3)/60</f>
        <v>2.2166666666666668</v>
      </c>
      <c r="N421" s="17">
        <v>0.64600000000000002</v>
      </c>
      <c r="O421" s="17" t="str">
        <f ca="1">PROPER(Music_Data[[#This Row],[Playlist_subgenre2]])</f>
        <v>Modern</v>
      </c>
    </row>
    <row r="422" spans="1:15">
      <c r="A422" s="17">
        <v>0.95</v>
      </c>
      <c r="B422" s="21">
        <v>150</v>
      </c>
      <c r="C422" s="16">
        <v>0.67300000000000004</v>
      </c>
      <c r="D422" s="16" t="str">
        <f ca="1">PROPER(Music_Data[[#This Row],[Playlist_genre2]])</f>
        <v>Gaming</v>
      </c>
      <c r="E422" s="17">
        <v>0.56299999999999994</v>
      </c>
      <c r="F422" t="s">
        <v>13175</v>
      </c>
      <c r="G422">
        <v>81</v>
      </c>
      <c r="H422" t="s">
        <v>4811</v>
      </c>
      <c r="I422" t="s">
        <v>5033</v>
      </c>
      <c r="J422" s="22">
        <v>45261</v>
      </c>
      <c r="K422">
        <v>1</v>
      </c>
      <c r="L422">
        <v>11</v>
      </c>
      <c r="M422" s="21">
        <f ca="1">LEFT(Music_Data[[#This Row],[Duration_minutes]],3)/60</f>
        <v>2.3333333333333335</v>
      </c>
      <c r="N422" s="17">
        <v>2.29E-2</v>
      </c>
      <c r="O422" s="17" t="str">
        <f ca="1">PROPER(Music_Data[[#This Row],[Playlist_subgenre2]])</f>
        <v>Modern</v>
      </c>
    </row>
    <row r="423" spans="1:15">
      <c r="A423" s="17">
        <v>0.88700000000000001</v>
      </c>
      <c r="B423" s="21">
        <v>127</v>
      </c>
      <c r="C423" s="16">
        <v>0.93600000000000005</v>
      </c>
      <c r="D423" s="16" t="str">
        <f ca="1">PROPER(Music_Data[[#This Row],[Playlist_genre2]])</f>
        <v>Gaming</v>
      </c>
      <c r="E423" s="17">
        <v>0.88900000000000001</v>
      </c>
      <c r="F423" t="s">
        <v>5046</v>
      </c>
      <c r="G423">
        <v>81</v>
      </c>
      <c r="H423" t="s">
        <v>4811</v>
      </c>
      <c r="I423" t="s">
        <v>5049</v>
      </c>
      <c r="J423" s="22">
        <v>45443</v>
      </c>
      <c r="K423">
        <v>0</v>
      </c>
      <c r="L423">
        <v>9</v>
      </c>
      <c r="M423" s="21">
        <f ca="1">LEFT(Music_Data[[#This Row],[Duration_minutes]],3)/60</f>
        <v>3.7833333333333332</v>
      </c>
      <c r="N423" s="17">
        <v>2.92E-2</v>
      </c>
      <c r="O423" s="17" t="str">
        <f ca="1">PROPER(Music_Data[[#This Row],[Playlist_subgenre2]])</f>
        <v>Modern</v>
      </c>
    </row>
    <row r="424" spans="1:15">
      <c r="A424" s="17">
        <v>0.745</v>
      </c>
      <c r="B424" s="21">
        <v>165</v>
      </c>
      <c r="C424" s="16">
        <v>0.80800000000000005</v>
      </c>
      <c r="D424" s="16" t="str">
        <f ca="1">PROPER(Music_Data[[#This Row],[Playlist_genre2]])</f>
        <v>Gaming</v>
      </c>
      <c r="E424" s="17">
        <v>0.82899999999999996</v>
      </c>
      <c r="F424" t="s">
        <v>5005</v>
      </c>
      <c r="G424">
        <v>81</v>
      </c>
      <c r="H424" t="s">
        <v>4811</v>
      </c>
      <c r="I424" t="s">
        <v>5011</v>
      </c>
      <c r="J424" s="22">
        <v>43847</v>
      </c>
      <c r="K424">
        <v>0</v>
      </c>
      <c r="L424">
        <v>10</v>
      </c>
      <c r="M424" s="21">
        <f ca="1">LEFT(Music_Data[[#This Row],[Duration_minutes]],3)/60</f>
        <v>3.5</v>
      </c>
      <c r="N424" s="17">
        <v>0.14499999999999999</v>
      </c>
      <c r="O424" s="17" t="str">
        <f ca="1">PROPER(Music_Data[[#This Row],[Playlist_subgenre2]])</f>
        <v>Modern</v>
      </c>
    </row>
    <row r="425" spans="1:15">
      <c r="A425" s="17">
        <v>0.55800000000000005</v>
      </c>
      <c r="B425" s="21">
        <v>104</v>
      </c>
      <c r="C425" s="16">
        <v>0.94299999999999995</v>
      </c>
      <c r="D425" s="16" t="str">
        <f ca="1">PROPER(Music_Data[[#This Row],[Playlist_genre2]])</f>
        <v>Gaming</v>
      </c>
      <c r="E425" s="17">
        <v>0.60599999999999998</v>
      </c>
      <c r="F425" t="s">
        <v>5064</v>
      </c>
      <c r="G425">
        <v>81</v>
      </c>
      <c r="H425" t="s">
        <v>4811</v>
      </c>
      <c r="I425" t="s">
        <v>5067</v>
      </c>
      <c r="J425" s="22">
        <v>45240</v>
      </c>
      <c r="K425">
        <v>1</v>
      </c>
      <c r="L425">
        <v>2</v>
      </c>
      <c r="M425" s="21">
        <f ca="1">LEFT(Music_Data[[#This Row],[Duration_minutes]],3)/60</f>
        <v>2.2999999999999998</v>
      </c>
      <c r="N425" s="17">
        <v>2.5999999999999999E-3</v>
      </c>
      <c r="O425" s="17" t="str">
        <f ca="1">PROPER(Music_Data[[#This Row],[Playlist_subgenre2]])</f>
        <v>Modern</v>
      </c>
    </row>
    <row r="426" spans="1:15">
      <c r="A426" s="17">
        <v>0.75</v>
      </c>
      <c r="B426" s="21">
        <v>155</v>
      </c>
      <c r="C426" s="16">
        <v>0.73199999999999998</v>
      </c>
      <c r="D426" s="16" t="str">
        <f ca="1">PROPER(Music_Data[[#This Row],[Playlist_genre2]])</f>
        <v>Gaming</v>
      </c>
      <c r="E426" s="17">
        <v>0.40100000000000002</v>
      </c>
      <c r="F426" t="s">
        <v>2003</v>
      </c>
      <c r="G426">
        <v>81</v>
      </c>
      <c r="H426" t="s">
        <v>4811</v>
      </c>
      <c r="I426" t="s">
        <v>5079</v>
      </c>
      <c r="J426" s="22">
        <v>42972</v>
      </c>
      <c r="K426">
        <v>0</v>
      </c>
      <c r="L426">
        <v>11</v>
      </c>
      <c r="M426" s="21">
        <f ca="1">LEFT(Music_Data[[#This Row],[Duration_minutes]],3)/60</f>
        <v>3.0333333333333332</v>
      </c>
      <c r="N426" s="17">
        <v>2.64E-3</v>
      </c>
      <c r="O426" s="17" t="str">
        <f ca="1">PROPER(Music_Data[[#This Row],[Playlist_subgenre2]])</f>
        <v>Modern</v>
      </c>
    </row>
    <row r="427" spans="1:15">
      <c r="A427" s="17">
        <v>0.63200000000000001</v>
      </c>
      <c r="B427" s="21">
        <v>121</v>
      </c>
      <c r="C427" s="16">
        <v>0.76200000000000001</v>
      </c>
      <c r="D427" s="16" t="str">
        <f ca="1">PROPER(Music_Data[[#This Row],[Playlist_genre2]])</f>
        <v>Gaming</v>
      </c>
      <c r="E427" s="17">
        <v>0.28199999999999997</v>
      </c>
      <c r="F427" t="s">
        <v>5082</v>
      </c>
      <c r="G427">
        <v>81</v>
      </c>
      <c r="H427" t="s">
        <v>4811</v>
      </c>
      <c r="I427" t="s">
        <v>5089</v>
      </c>
      <c r="J427" s="22">
        <v>45240</v>
      </c>
      <c r="K427">
        <v>0</v>
      </c>
      <c r="L427">
        <v>6</v>
      </c>
      <c r="M427" s="21">
        <f ca="1">LEFT(Music_Data[[#This Row],[Duration_minutes]],3)/60</f>
        <v>2.4833333333333334</v>
      </c>
      <c r="N427" s="17">
        <v>0.51</v>
      </c>
      <c r="O427" s="17" t="str">
        <f ca="1">PROPER(Music_Data[[#This Row],[Playlist_subgenre2]])</f>
        <v>Modern</v>
      </c>
    </row>
    <row r="428" spans="1:15">
      <c r="A428" s="17">
        <v>0.76100000000000001</v>
      </c>
      <c r="B428" s="21">
        <v>129</v>
      </c>
      <c r="C428" s="16">
        <v>0.63400000000000001</v>
      </c>
      <c r="D428" s="16" t="str">
        <f ca="1">PROPER(Music_Data[[#This Row],[Playlist_genre2]])</f>
        <v>Gaming</v>
      </c>
      <c r="E428" s="17">
        <v>0.78500000000000003</v>
      </c>
      <c r="F428" t="s">
        <v>4989</v>
      </c>
      <c r="G428">
        <v>81</v>
      </c>
      <c r="H428" t="s">
        <v>4811</v>
      </c>
      <c r="I428" t="s">
        <v>4992</v>
      </c>
      <c r="J428" s="22">
        <v>45415</v>
      </c>
      <c r="K428">
        <v>1</v>
      </c>
      <c r="L428">
        <v>5</v>
      </c>
      <c r="M428" s="21">
        <f ca="1">LEFT(Music_Data[[#This Row],[Duration_minutes]],3)/60</f>
        <v>2.8</v>
      </c>
      <c r="N428" s="17">
        <v>5.3699999999999998E-3</v>
      </c>
      <c r="O428" s="17" t="str">
        <f ca="1">PROPER(Music_Data[[#This Row],[Playlist_subgenre2]])</f>
        <v>Modern</v>
      </c>
    </row>
    <row r="429" spans="1:15">
      <c r="A429" s="17">
        <v>0.58599999999999997</v>
      </c>
      <c r="B429" s="21">
        <v>116</v>
      </c>
      <c r="C429" s="16">
        <v>0.89600000000000002</v>
      </c>
      <c r="D429" s="16" t="str">
        <f ca="1">PROPER(Music_Data[[#This Row],[Playlist_genre2]])</f>
        <v>Gaming</v>
      </c>
      <c r="E429" s="17">
        <v>0.64200000000000002</v>
      </c>
      <c r="F429" t="s">
        <v>5054</v>
      </c>
      <c r="G429">
        <v>81</v>
      </c>
      <c r="H429" t="s">
        <v>4811</v>
      </c>
      <c r="I429" t="s">
        <v>5060</v>
      </c>
      <c r="J429" s="22">
        <v>43805</v>
      </c>
      <c r="K429">
        <v>0</v>
      </c>
      <c r="L429">
        <v>10</v>
      </c>
      <c r="M429" s="21">
        <f ca="1">LEFT(Music_Data[[#This Row],[Duration_minutes]],3)/60</f>
        <v>3.2666666666666666</v>
      </c>
      <c r="N429" s="17">
        <v>0.104</v>
      </c>
      <c r="O429" s="17" t="str">
        <f ca="1">PROPER(Music_Data[[#This Row],[Playlist_subgenre2]])</f>
        <v>Modern</v>
      </c>
    </row>
    <row r="430" spans="1:15">
      <c r="A430" s="17">
        <v>0.53700000000000003</v>
      </c>
      <c r="B430" s="21">
        <v>128</v>
      </c>
      <c r="C430" s="16">
        <v>0.92100000000000004</v>
      </c>
      <c r="D430" s="16" t="str">
        <f ca="1">PROPER(Music_Data[[#This Row],[Playlist_genre2]])</f>
        <v>Gaming</v>
      </c>
      <c r="E430" s="17">
        <v>0.71099999999999997</v>
      </c>
      <c r="F430" t="s">
        <v>4940</v>
      </c>
      <c r="G430">
        <v>81</v>
      </c>
      <c r="H430" t="s">
        <v>4811</v>
      </c>
      <c r="I430" t="s">
        <v>5001</v>
      </c>
      <c r="J430" s="22">
        <v>43175</v>
      </c>
      <c r="K430">
        <v>0</v>
      </c>
      <c r="L430">
        <v>9</v>
      </c>
      <c r="M430" s="21">
        <f ca="1">LEFT(Music_Data[[#This Row],[Duration_minutes]],3)/60</f>
        <v>2.25</v>
      </c>
      <c r="N430" s="17">
        <v>0.55600000000000005</v>
      </c>
      <c r="O430" s="17" t="str">
        <f ca="1">PROPER(Music_Data[[#This Row],[Playlist_subgenre2]])</f>
        <v>Modern</v>
      </c>
    </row>
    <row r="431" spans="1:15">
      <c r="A431" s="17">
        <v>0.74099999999999999</v>
      </c>
      <c r="B431" s="21">
        <v>120</v>
      </c>
      <c r="C431" s="16">
        <v>0.77100000000000002</v>
      </c>
      <c r="D431" s="16" t="str">
        <f ca="1">PROPER(Music_Data[[#This Row],[Playlist_genre2]])</f>
        <v>Gaming</v>
      </c>
      <c r="E431" s="17">
        <v>0.19</v>
      </c>
      <c r="F431" t="s">
        <v>5014</v>
      </c>
      <c r="G431">
        <v>81</v>
      </c>
      <c r="H431" t="s">
        <v>4811</v>
      </c>
      <c r="I431" t="s">
        <v>5018</v>
      </c>
      <c r="J431" s="22">
        <v>45380</v>
      </c>
      <c r="K431">
        <v>0</v>
      </c>
      <c r="L431">
        <v>5</v>
      </c>
      <c r="M431" s="21">
        <f ca="1">LEFT(Music_Data[[#This Row],[Duration_minutes]],3)/60</f>
        <v>2.5333333333333332</v>
      </c>
      <c r="N431" s="17">
        <v>2.4500000000000001E-2</v>
      </c>
      <c r="O431" s="17" t="str">
        <f ca="1">PROPER(Music_Data[[#This Row],[Playlist_subgenre2]])</f>
        <v>Modern</v>
      </c>
    </row>
    <row r="432" spans="1:15">
      <c r="A432" s="17">
        <v>0.71599999999999997</v>
      </c>
      <c r="B432" s="21">
        <v>910</v>
      </c>
      <c r="C432" s="16">
        <v>0.70099999999999996</v>
      </c>
      <c r="D432" s="16" t="str">
        <f ca="1">PROPER(Music_Data[[#This Row],[Playlist_genre2]])</f>
        <v>Gaming</v>
      </c>
      <c r="E432" s="17">
        <v>0.73199999999999998</v>
      </c>
      <c r="F432" t="s">
        <v>5099</v>
      </c>
      <c r="G432">
        <v>80</v>
      </c>
      <c r="H432" t="s">
        <v>4811</v>
      </c>
      <c r="I432" t="s">
        <v>5105</v>
      </c>
      <c r="J432" s="22">
        <v>44281</v>
      </c>
      <c r="K432">
        <v>0</v>
      </c>
      <c r="L432">
        <v>7</v>
      </c>
      <c r="M432" s="21">
        <f ca="1">LEFT(Music_Data[[#This Row],[Duration_minutes]],3)/60</f>
        <v>2.3333333333333335</v>
      </c>
      <c r="N432" s="17">
        <v>0.17399999999999999</v>
      </c>
      <c r="O432" s="17" t="str">
        <f ca="1">PROPER(Music_Data[[#This Row],[Playlist_subgenre2]])</f>
        <v>Modern</v>
      </c>
    </row>
    <row r="433" spans="1:15">
      <c r="A433" s="17">
        <v>0.67300000000000004</v>
      </c>
      <c r="B433" s="21">
        <v>165</v>
      </c>
      <c r="C433" s="16">
        <v>0.52900000000000003</v>
      </c>
      <c r="D433" s="16" t="str">
        <f ca="1">PROPER(Music_Data[[#This Row],[Playlist_genre2]])</f>
        <v>Gaming</v>
      </c>
      <c r="E433" s="17">
        <v>0.36599999999999999</v>
      </c>
      <c r="F433" t="s">
        <v>2456</v>
      </c>
      <c r="G433">
        <v>80</v>
      </c>
      <c r="H433" t="s">
        <v>4811</v>
      </c>
      <c r="I433" t="s">
        <v>2463</v>
      </c>
      <c r="J433" s="22">
        <v>44729</v>
      </c>
      <c r="K433">
        <v>1</v>
      </c>
      <c r="L433">
        <v>0</v>
      </c>
      <c r="M433" s="21">
        <f ca="1">LEFT(Music_Data[[#This Row],[Duration_minutes]],3)/60</f>
        <v>3.6333333333333333</v>
      </c>
      <c r="N433" s="17">
        <v>3.0699999999999998E-4</v>
      </c>
      <c r="O433" s="17" t="str">
        <f ca="1">PROPER(Music_Data[[#This Row],[Playlist_subgenre2]])</f>
        <v>Modern</v>
      </c>
    </row>
    <row r="434" spans="1:15">
      <c r="A434" s="17">
        <v>0.77300000000000002</v>
      </c>
      <c r="B434" s="21">
        <v>129</v>
      </c>
      <c r="C434" s="16">
        <v>0.68100000000000005</v>
      </c>
      <c r="D434" s="16" t="str">
        <f ca="1">PROPER(Music_Data[[#This Row],[Playlist_genre2]])</f>
        <v>Gaming</v>
      </c>
      <c r="E434" s="17">
        <v>0.504</v>
      </c>
      <c r="F434" t="s">
        <v>5108</v>
      </c>
      <c r="G434">
        <v>80</v>
      </c>
      <c r="H434" t="s">
        <v>4811</v>
      </c>
      <c r="I434" t="s">
        <v>5112</v>
      </c>
      <c r="J434" s="22">
        <v>45366</v>
      </c>
      <c r="K434">
        <v>1</v>
      </c>
      <c r="L434">
        <v>1</v>
      </c>
      <c r="M434" s="21">
        <f ca="1">LEFT(Music_Data[[#This Row],[Duration_minutes]],3)/60</f>
        <v>1.7833333333333334</v>
      </c>
      <c r="N434" s="17">
        <v>8.6300000000000002E-2</v>
      </c>
      <c r="O434" s="17" t="str">
        <f ca="1">PROPER(Music_Data[[#This Row],[Playlist_subgenre2]])</f>
        <v>Modern</v>
      </c>
    </row>
    <row r="435" spans="1:15">
      <c r="A435" s="17">
        <v>0.51200000000000001</v>
      </c>
      <c r="B435" s="21">
        <v>805</v>
      </c>
      <c r="C435" s="16">
        <v>0.82899999999999996</v>
      </c>
      <c r="D435" s="16" t="str">
        <f ca="1">PROPER(Music_Data[[#This Row],[Playlist_genre2]])</f>
        <v>Gaming</v>
      </c>
      <c r="E435" s="17">
        <v>0.63800000000000001</v>
      </c>
      <c r="F435" t="s">
        <v>5092</v>
      </c>
      <c r="G435">
        <v>80</v>
      </c>
      <c r="H435" t="s">
        <v>4811</v>
      </c>
      <c r="I435" s="46">
        <v>2055</v>
      </c>
      <c r="J435" s="22">
        <v>44349</v>
      </c>
      <c r="K435">
        <v>0</v>
      </c>
      <c r="L435">
        <v>6</v>
      </c>
      <c r="M435" s="21">
        <f ca="1">LEFT(Music_Data[[#This Row],[Duration_minutes]],3)/60</f>
        <v>2.0499999999999998</v>
      </c>
      <c r="N435" s="17">
        <v>0.49199999999999999</v>
      </c>
      <c r="O435" s="17" t="str">
        <f ca="1">PROPER(Music_Data[[#This Row],[Playlist_subgenre2]])</f>
        <v>Modern</v>
      </c>
    </row>
    <row r="436" spans="1:15">
      <c r="A436" s="17">
        <v>0.68100000000000005</v>
      </c>
      <c r="B436" s="21">
        <v>139</v>
      </c>
      <c r="C436" s="16">
        <v>0.91800000000000004</v>
      </c>
      <c r="D436" s="16" t="str">
        <f ca="1">PROPER(Music_Data[[#This Row],[Playlist_genre2]])</f>
        <v>Gaming</v>
      </c>
      <c r="E436" s="17">
        <v>0.70599999999999996</v>
      </c>
      <c r="F436" t="s">
        <v>5124</v>
      </c>
      <c r="G436">
        <v>79</v>
      </c>
      <c r="H436" t="s">
        <v>4811</v>
      </c>
      <c r="I436" t="s">
        <v>5127</v>
      </c>
      <c r="J436" s="22">
        <v>45078</v>
      </c>
      <c r="K436">
        <v>1</v>
      </c>
      <c r="L436">
        <v>1</v>
      </c>
      <c r="M436" s="21">
        <f ca="1">LEFT(Music_Data[[#This Row],[Duration_minutes]],3)/60</f>
        <v>3.8166666666666669</v>
      </c>
      <c r="N436" s="17">
        <v>0.26300000000000001</v>
      </c>
      <c r="O436" s="17" t="str">
        <f ca="1">PROPER(Music_Data[[#This Row],[Playlist_subgenre2]])</f>
        <v>Modern</v>
      </c>
    </row>
    <row r="437" spans="1:15">
      <c r="A437" s="17">
        <v>0.79700000000000004</v>
      </c>
      <c r="B437" s="21">
        <v>122</v>
      </c>
      <c r="C437" s="16">
        <v>0.70199999999999996</v>
      </c>
      <c r="D437" s="16" t="str">
        <f ca="1">PROPER(Music_Data[[#This Row],[Playlist_genre2]])</f>
        <v>Gaming</v>
      </c>
      <c r="E437" s="17">
        <v>3.56E-2</v>
      </c>
      <c r="F437" t="s">
        <v>5116</v>
      </c>
      <c r="G437">
        <v>79</v>
      </c>
      <c r="H437" t="s">
        <v>4811</v>
      </c>
      <c r="I437" t="s">
        <v>5122</v>
      </c>
      <c r="J437" s="22">
        <v>45282</v>
      </c>
      <c r="K437">
        <v>0</v>
      </c>
      <c r="L437">
        <v>10</v>
      </c>
      <c r="M437" s="21">
        <f ca="1">LEFT(Music_Data[[#This Row],[Duration_minutes]],3)/60</f>
        <v>3.4666666666666668</v>
      </c>
      <c r="N437" s="17">
        <v>0.58299999999999996</v>
      </c>
      <c r="O437" s="17" t="str">
        <f ca="1">PROPER(Music_Data[[#This Row],[Playlist_subgenre2]])</f>
        <v>Modern</v>
      </c>
    </row>
    <row r="438" spans="1:15">
      <c r="A438" s="17">
        <v>0.76100000000000001</v>
      </c>
      <c r="B438" s="21">
        <v>146</v>
      </c>
      <c r="C438" s="16">
        <v>0.62</v>
      </c>
      <c r="D438" s="16" t="str">
        <f ca="1">PROPER(Music_Data[[#This Row],[Playlist_genre2]])</f>
        <v>Gaming</v>
      </c>
      <c r="E438" s="17">
        <v>0.19400000000000001</v>
      </c>
      <c r="F438" t="s">
        <v>5140</v>
      </c>
      <c r="G438">
        <v>79</v>
      </c>
      <c r="H438" t="s">
        <v>4811</v>
      </c>
      <c r="I438" t="s">
        <v>5146</v>
      </c>
      <c r="J438" s="22">
        <v>45149</v>
      </c>
      <c r="K438">
        <v>0</v>
      </c>
      <c r="L438">
        <v>10</v>
      </c>
      <c r="M438" s="21">
        <f ca="1">LEFT(Music_Data[[#This Row],[Duration_minutes]],3)/60</f>
        <v>3.4833333333333334</v>
      </c>
      <c r="N438" s="17">
        <v>0.20699999999999999</v>
      </c>
      <c r="O438" s="17" t="str">
        <f ca="1">PROPER(Music_Data[[#This Row],[Playlist_subgenre2]])</f>
        <v>Modern</v>
      </c>
    </row>
    <row r="439" spans="1:15">
      <c r="A439" s="17">
        <v>0.58299999999999996</v>
      </c>
      <c r="B439" s="21">
        <v>116</v>
      </c>
      <c r="C439" s="16">
        <v>0.70899999999999996</v>
      </c>
      <c r="D439" s="16" t="str">
        <f ca="1">PROPER(Music_Data[[#This Row],[Playlist_genre2]])</f>
        <v>Gaming</v>
      </c>
      <c r="E439" s="17">
        <v>0.53300000000000003</v>
      </c>
      <c r="F439" t="s">
        <v>2271</v>
      </c>
      <c r="G439">
        <v>79</v>
      </c>
      <c r="H439" t="s">
        <v>4811</v>
      </c>
      <c r="I439" t="s">
        <v>2277</v>
      </c>
      <c r="J439" s="22">
        <v>44897</v>
      </c>
      <c r="K439">
        <v>0</v>
      </c>
      <c r="L439">
        <v>5</v>
      </c>
      <c r="M439" s="21">
        <f ca="1">LEFT(Music_Data[[#This Row],[Duration_minutes]],3)/60</f>
        <v>3.0333333333333332</v>
      </c>
      <c r="N439" s="17">
        <v>0.13800000000000001</v>
      </c>
      <c r="O439" s="17" t="str">
        <f ca="1">PROPER(Music_Data[[#This Row],[Playlist_subgenre2]])</f>
        <v>Modern</v>
      </c>
    </row>
    <row r="440" spans="1:15">
      <c r="A440" s="17">
        <v>0.753</v>
      </c>
      <c r="B440" s="21">
        <v>127</v>
      </c>
      <c r="C440" s="16">
        <v>0.67100000000000004</v>
      </c>
      <c r="D440" s="16" t="str">
        <f ca="1">PROPER(Music_Data[[#This Row],[Playlist_genre2]])</f>
        <v>Gaming</v>
      </c>
      <c r="E440" s="17">
        <v>0.54300000000000004</v>
      </c>
      <c r="F440" t="s">
        <v>5131</v>
      </c>
      <c r="G440">
        <v>79</v>
      </c>
      <c r="H440" t="s">
        <v>4811</v>
      </c>
      <c r="I440" t="s">
        <v>5135</v>
      </c>
      <c r="J440" s="22">
        <v>45499</v>
      </c>
      <c r="K440">
        <v>0</v>
      </c>
      <c r="L440">
        <v>4</v>
      </c>
      <c r="M440" s="21">
        <f ca="1">LEFT(Music_Data[[#This Row],[Duration_minutes]],3)/60</f>
        <v>3.45</v>
      </c>
      <c r="N440" s="17">
        <v>1.9E-2</v>
      </c>
      <c r="O440" s="17" t="str">
        <f ca="1">PROPER(Music_Data[[#This Row],[Playlist_subgenre2]])</f>
        <v>Modern</v>
      </c>
    </row>
    <row r="441" spans="1:15">
      <c r="A441" s="17">
        <v>0.51200000000000001</v>
      </c>
      <c r="B441" s="21">
        <v>960</v>
      </c>
      <c r="C441" s="16">
        <v>0.80300000000000005</v>
      </c>
      <c r="D441" s="16" t="str">
        <f ca="1">PROPER(Music_Data[[#This Row],[Playlist_genre2]])</f>
        <v>Gaming</v>
      </c>
      <c r="E441" s="17">
        <v>0.435</v>
      </c>
      <c r="F441" t="s">
        <v>5158</v>
      </c>
      <c r="G441">
        <v>78</v>
      </c>
      <c r="H441" t="s">
        <v>4811</v>
      </c>
      <c r="I441" t="s">
        <v>5162</v>
      </c>
      <c r="J441" s="22">
        <v>45335</v>
      </c>
      <c r="K441">
        <v>0</v>
      </c>
      <c r="L441">
        <v>9</v>
      </c>
      <c r="M441" s="21">
        <f ca="1">LEFT(Music_Data[[#This Row],[Duration_minutes]],3)/60</f>
        <v>2.6833333333333331</v>
      </c>
      <c r="N441" s="17">
        <v>0.128</v>
      </c>
      <c r="O441" s="17" t="str">
        <f ca="1">PROPER(Music_Data[[#This Row],[Playlist_subgenre2]])</f>
        <v>Modern</v>
      </c>
    </row>
    <row r="442" spans="1:15">
      <c r="A442" s="17">
        <v>0.59299999999999997</v>
      </c>
      <c r="B442" s="21">
        <v>120</v>
      </c>
      <c r="C442" s="16">
        <v>0.56499999999999995</v>
      </c>
      <c r="D442" s="16" t="str">
        <f ca="1">PROPER(Music_Data[[#This Row],[Playlist_genre2]])</f>
        <v>Gaming</v>
      </c>
      <c r="E442" s="17">
        <v>0.42899999999999999</v>
      </c>
      <c r="F442" t="s">
        <v>3557</v>
      </c>
      <c r="G442">
        <v>78</v>
      </c>
      <c r="H442" t="s">
        <v>4811</v>
      </c>
      <c r="I442" t="s">
        <v>3564</v>
      </c>
      <c r="J442" s="22">
        <v>45379</v>
      </c>
      <c r="K442">
        <v>1</v>
      </c>
      <c r="L442">
        <v>8</v>
      </c>
      <c r="M442" s="21">
        <f ca="1">LEFT(Music_Data[[#This Row],[Duration_minutes]],3)/60</f>
        <v>2.6166666666666667</v>
      </c>
      <c r="N442" s="17">
        <v>2.8799999999999999E-2</v>
      </c>
      <c r="O442" s="17" t="str">
        <f ca="1">PROPER(Music_Data[[#This Row],[Playlist_subgenre2]])</f>
        <v>Modern</v>
      </c>
    </row>
    <row r="443" spans="1:15">
      <c r="A443" s="17">
        <v>0.56699999999999995</v>
      </c>
      <c r="B443" s="21">
        <v>759</v>
      </c>
      <c r="C443" s="16">
        <v>0.57399999999999995</v>
      </c>
      <c r="D443" s="16" t="str">
        <f ca="1">PROPER(Music_Data[[#This Row],[Playlist_genre2]])</f>
        <v>Gaming</v>
      </c>
      <c r="E443" s="17">
        <v>0.52600000000000002</v>
      </c>
      <c r="F443" t="s">
        <v>2599</v>
      </c>
      <c r="G443">
        <v>78</v>
      </c>
      <c r="H443" t="s">
        <v>4811</v>
      </c>
      <c r="I443" t="s">
        <v>2605</v>
      </c>
      <c r="J443" s="22">
        <v>44865</v>
      </c>
      <c r="K443">
        <v>0</v>
      </c>
      <c r="L443">
        <v>7</v>
      </c>
      <c r="M443" s="21">
        <f ca="1">LEFT(Music_Data[[#This Row],[Duration_minutes]],3)/60</f>
        <v>3.8166666666666669</v>
      </c>
      <c r="N443" s="17">
        <v>0.16400000000000001</v>
      </c>
      <c r="O443" s="17" t="str">
        <f ca="1">PROPER(Music_Data[[#This Row],[Playlist_subgenre2]])</f>
        <v>Modern</v>
      </c>
    </row>
    <row r="444" spans="1:15">
      <c r="A444" s="17">
        <v>0.64300000000000002</v>
      </c>
      <c r="B444" s="21">
        <v>139</v>
      </c>
      <c r="C444" s="16">
        <v>0.83099999999999996</v>
      </c>
      <c r="D444" s="16" t="str">
        <f ca="1">PROPER(Music_Data[[#This Row],[Playlist_genre2]])</f>
        <v>Gaming</v>
      </c>
      <c r="E444" s="17">
        <v>0.14199999999999999</v>
      </c>
      <c r="F444" t="s">
        <v>596</v>
      </c>
      <c r="G444">
        <v>78</v>
      </c>
      <c r="H444" t="s">
        <v>4811</v>
      </c>
      <c r="I444" t="s">
        <v>5169</v>
      </c>
      <c r="J444" s="22">
        <v>45412</v>
      </c>
      <c r="K444">
        <v>1</v>
      </c>
      <c r="L444">
        <v>1</v>
      </c>
      <c r="M444" s="21">
        <f ca="1">LEFT(Music_Data[[#This Row],[Duration_minutes]],3)/60</f>
        <v>6.3833333333333337</v>
      </c>
      <c r="N444" s="17">
        <v>4.5999999999999999E-2</v>
      </c>
      <c r="O444" s="17" t="str">
        <f ca="1">PROPER(Music_Data[[#This Row],[Playlist_subgenre2]])</f>
        <v>Modern</v>
      </c>
    </row>
    <row r="445" spans="1:15">
      <c r="A445" s="17">
        <v>0.45200000000000001</v>
      </c>
      <c r="B445" s="21">
        <v>900</v>
      </c>
      <c r="C445" s="16">
        <v>0.90400000000000003</v>
      </c>
      <c r="D445" s="16" t="str">
        <f ca="1">PROPER(Music_Data[[#This Row],[Playlist_genre2]])</f>
        <v>Gaming</v>
      </c>
      <c r="E445" s="17">
        <v>0.61299999999999999</v>
      </c>
      <c r="F445" t="s">
        <v>5148</v>
      </c>
      <c r="G445">
        <v>78</v>
      </c>
      <c r="H445" t="s">
        <v>4811</v>
      </c>
      <c r="I445" t="s">
        <v>5151</v>
      </c>
      <c r="J445" s="22">
        <v>45457</v>
      </c>
      <c r="K445">
        <v>1</v>
      </c>
      <c r="L445">
        <v>9</v>
      </c>
      <c r="M445" s="21">
        <f ca="1">LEFT(Music_Data[[#This Row],[Duration_minutes]],3)/60</f>
        <v>2.1666666666666665</v>
      </c>
      <c r="N445" s="17">
        <v>0.17399999999999999</v>
      </c>
      <c r="O445" s="17" t="str">
        <f ca="1">PROPER(Music_Data[[#This Row],[Playlist_subgenre2]])</f>
        <v>Modern</v>
      </c>
    </row>
    <row r="446" spans="1:15">
      <c r="A446" s="17">
        <v>0.57299999999999995</v>
      </c>
      <c r="B446" s="21">
        <v>140</v>
      </c>
      <c r="C446" s="16">
        <v>0.91100000000000003</v>
      </c>
      <c r="D446" s="16" t="str">
        <f ca="1">PROPER(Music_Data[[#This Row],[Playlist_genre2]])</f>
        <v>Gaming</v>
      </c>
      <c r="E446" s="17">
        <v>0.97199999999999998</v>
      </c>
      <c r="F446" t="s">
        <v>2296</v>
      </c>
      <c r="G446">
        <v>77</v>
      </c>
      <c r="H446" t="s">
        <v>4811</v>
      </c>
      <c r="I446" t="s">
        <v>5251</v>
      </c>
      <c r="J446" s="22">
        <v>44763</v>
      </c>
      <c r="K446">
        <v>1</v>
      </c>
      <c r="L446">
        <v>6</v>
      </c>
      <c r="M446" s="21">
        <f ca="1">LEFT(Music_Data[[#This Row],[Duration_minutes]],3)/60</f>
        <v>16.216666666666665</v>
      </c>
      <c r="N446" s="17">
        <v>0.38</v>
      </c>
      <c r="O446" s="17" t="str">
        <f ca="1">PROPER(Music_Data[[#This Row],[Playlist_subgenre2]])</f>
        <v>Modern</v>
      </c>
    </row>
    <row r="447" spans="1:15">
      <c r="A447" s="17">
        <v>0.93400000000000005</v>
      </c>
      <c r="B447" s="21">
        <v>880</v>
      </c>
      <c r="C447" s="16">
        <v>0.77700000000000002</v>
      </c>
      <c r="D447" s="16" t="str">
        <f ca="1">PROPER(Music_Data[[#This Row],[Playlist_genre2]])</f>
        <v>Gaming</v>
      </c>
      <c r="E447" s="17">
        <v>0.63700000000000001</v>
      </c>
      <c r="F447" t="s">
        <v>5195</v>
      </c>
      <c r="G447">
        <v>77</v>
      </c>
      <c r="H447" t="s">
        <v>4811</v>
      </c>
      <c r="I447" t="s">
        <v>5198</v>
      </c>
      <c r="J447" s="22">
        <v>45512</v>
      </c>
      <c r="K447">
        <v>1</v>
      </c>
      <c r="L447">
        <v>2</v>
      </c>
      <c r="M447" s="21">
        <f ca="1">LEFT(Music_Data[[#This Row],[Duration_minutes]],3)/60</f>
        <v>2.7666666666666666</v>
      </c>
      <c r="N447" s="17">
        <v>0.28499999999999998</v>
      </c>
      <c r="O447" s="17" t="str">
        <f ca="1">PROPER(Music_Data[[#This Row],[Playlist_subgenre2]])</f>
        <v>Modern</v>
      </c>
    </row>
    <row r="448" spans="1:15">
      <c r="A448" s="17">
        <v>0.83</v>
      </c>
      <c r="B448" s="21">
        <v>750</v>
      </c>
      <c r="C448" s="16">
        <v>0.76700000000000002</v>
      </c>
      <c r="D448" s="16" t="str">
        <f ca="1">PROPER(Music_Data[[#This Row],[Playlist_genre2]])</f>
        <v>Gaming</v>
      </c>
      <c r="E448" s="17">
        <v>0.187</v>
      </c>
      <c r="F448" t="s">
        <v>5176</v>
      </c>
      <c r="G448">
        <v>77</v>
      </c>
      <c r="H448" t="s">
        <v>4811</v>
      </c>
      <c r="I448" t="s">
        <v>5183</v>
      </c>
      <c r="J448" s="22">
        <v>45016</v>
      </c>
      <c r="K448">
        <v>1</v>
      </c>
      <c r="L448">
        <v>7</v>
      </c>
      <c r="M448" s="21">
        <f ca="1">LEFT(Music_Data[[#This Row],[Duration_minutes]],3)/60</f>
        <v>2.3166666666666669</v>
      </c>
      <c r="N448" s="17">
        <v>0.20899999999999999</v>
      </c>
      <c r="O448" s="17" t="str">
        <f ca="1">PROPER(Music_Data[[#This Row],[Playlist_subgenre2]])</f>
        <v>Modern</v>
      </c>
    </row>
    <row r="449" spans="1:15">
      <c r="A449" s="17">
        <v>0.96299999999999997</v>
      </c>
      <c r="B449" s="21">
        <v>130</v>
      </c>
      <c r="C449" s="16">
        <v>0.81699999999999995</v>
      </c>
      <c r="D449" s="16" t="str">
        <f ca="1">PROPER(Music_Data[[#This Row],[Playlist_genre2]])</f>
        <v>Gaming</v>
      </c>
      <c r="E449" s="17">
        <v>0.502</v>
      </c>
      <c r="F449" t="s">
        <v>5221</v>
      </c>
      <c r="G449">
        <v>77</v>
      </c>
      <c r="H449" t="s">
        <v>4811</v>
      </c>
      <c r="I449" t="s">
        <v>5224</v>
      </c>
      <c r="J449" s="22">
        <v>45135</v>
      </c>
      <c r="K449">
        <v>1</v>
      </c>
      <c r="L449">
        <v>1</v>
      </c>
      <c r="M449" s="21">
        <f ca="1">LEFT(Music_Data[[#This Row],[Duration_minutes]],3)/60</f>
        <v>12.6</v>
      </c>
      <c r="N449" s="17">
        <v>6.83E-2</v>
      </c>
      <c r="O449" s="17" t="str">
        <f ca="1">PROPER(Music_Data[[#This Row],[Playlist_subgenre2]])</f>
        <v>Modern</v>
      </c>
    </row>
    <row r="450" spans="1:15">
      <c r="A450" s="17">
        <v>0.55600000000000005</v>
      </c>
      <c r="B450" s="21">
        <v>999</v>
      </c>
      <c r="C450" s="16">
        <v>0.86399999999999999</v>
      </c>
      <c r="D450" s="16" t="str">
        <f ca="1">PROPER(Music_Data[[#This Row],[Playlist_genre2]])</f>
        <v>Gaming</v>
      </c>
      <c r="E450" s="17">
        <v>0.72599999999999998</v>
      </c>
      <c r="F450" t="s">
        <v>5228</v>
      </c>
      <c r="G450">
        <v>77</v>
      </c>
      <c r="H450" t="s">
        <v>4811</v>
      </c>
      <c r="I450" t="s">
        <v>5234</v>
      </c>
      <c r="J450" s="22">
        <v>45189</v>
      </c>
      <c r="K450">
        <v>0</v>
      </c>
      <c r="L450">
        <v>2</v>
      </c>
      <c r="M450" s="21">
        <f ca="1">LEFT(Music_Data[[#This Row],[Duration_minutes]],3)/60</f>
        <v>3.8333333333333335</v>
      </c>
      <c r="N450" s="17">
        <v>0.255</v>
      </c>
      <c r="O450" s="17" t="str">
        <f ca="1">PROPER(Music_Data[[#This Row],[Playlist_subgenre2]])</f>
        <v>Modern</v>
      </c>
    </row>
    <row r="451" spans="1:15">
      <c r="A451" s="17">
        <v>0.629</v>
      </c>
      <c r="B451" s="21">
        <v>130</v>
      </c>
      <c r="C451" s="16">
        <v>0.84799999999999998</v>
      </c>
      <c r="D451" s="16" t="str">
        <f ca="1">PROPER(Music_Data[[#This Row],[Playlist_genre2]])</f>
        <v>Gaming</v>
      </c>
      <c r="E451" s="17">
        <v>0.58599999999999997</v>
      </c>
      <c r="F451" t="s">
        <v>5256</v>
      </c>
      <c r="G451">
        <v>77</v>
      </c>
      <c r="H451" t="s">
        <v>4811</v>
      </c>
      <c r="I451" t="s">
        <v>5260</v>
      </c>
      <c r="J451" s="22">
        <v>45331</v>
      </c>
      <c r="K451">
        <v>1</v>
      </c>
      <c r="L451">
        <v>0</v>
      </c>
      <c r="M451" s="21">
        <f ca="1">LEFT(Music_Data[[#This Row],[Duration_minutes]],3)/60</f>
        <v>2.5499999999999998</v>
      </c>
      <c r="N451" s="17">
        <v>1.6E-2</v>
      </c>
      <c r="O451" s="17" t="str">
        <f ca="1">PROPER(Music_Data[[#This Row],[Playlist_subgenre2]])</f>
        <v>Modern</v>
      </c>
    </row>
    <row r="452" spans="1:15">
      <c r="A452" s="17">
        <v>0.62</v>
      </c>
      <c r="B452" s="21">
        <v>117</v>
      </c>
      <c r="C452" s="16">
        <v>0.74099999999999999</v>
      </c>
      <c r="D452" s="16" t="str">
        <f ca="1">PROPER(Music_Data[[#This Row],[Playlist_genre2]])</f>
        <v>Gaming</v>
      </c>
      <c r="E452" s="17">
        <v>0.93400000000000005</v>
      </c>
      <c r="F452" t="s">
        <v>395</v>
      </c>
      <c r="G452">
        <v>77</v>
      </c>
      <c r="H452" t="s">
        <v>4811</v>
      </c>
      <c r="I452" t="s">
        <v>402</v>
      </c>
      <c r="J452" s="22">
        <v>45373</v>
      </c>
      <c r="K452">
        <v>1</v>
      </c>
      <c r="L452">
        <v>10</v>
      </c>
      <c r="M452" s="21">
        <f ca="1">LEFT(Music_Data[[#This Row],[Duration_minutes]],3)/60</f>
        <v>4.1833333333333336</v>
      </c>
      <c r="N452" s="17">
        <v>2.9499999999999998E-2</v>
      </c>
      <c r="O452" s="17" t="str">
        <f ca="1">PROPER(Music_Data[[#This Row],[Playlist_subgenre2]])</f>
        <v>Modern</v>
      </c>
    </row>
    <row r="453" spans="1:15">
      <c r="A453" s="17">
        <v>0.52300000000000002</v>
      </c>
      <c r="B453" s="21">
        <v>169</v>
      </c>
      <c r="C453" s="16">
        <v>0.628</v>
      </c>
      <c r="D453" s="16" t="str">
        <f ca="1">PROPER(Music_Data[[#This Row],[Playlist_genre2]])</f>
        <v>Gaming</v>
      </c>
      <c r="E453" s="17">
        <v>0.41599999999999998</v>
      </c>
      <c r="F453" t="s">
        <v>5185</v>
      </c>
      <c r="G453">
        <v>77</v>
      </c>
      <c r="H453" t="s">
        <v>4811</v>
      </c>
      <c r="I453" t="s">
        <v>5189</v>
      </c>
      <c r="J453" s="22">
        <v>45170</v>
      </c>
      <c r="K453">
        <v>0</v>
      </c>
      <c r="L453">
        <v>11</v>
      </c>
      <c r="M453" s="21">
        <f ca="1">LEFT(Music_Data[[#This Row],[Duration_minutes]],3)/60</f>
        <v>2.8666666666666667</v>
      </c>
      <c r="N453" s="17">
        <v>0.70099999999999996</v>
      </c>
      <c r="O453" s="17" t="str">
        <f ca="1">PROPER(Music_Data[[#This Row],[Playlist_subgenre2]])</f>
        <v>Modern</v>
      </c>
    </row>
    <row r="454" spans="1:15">
      <c r="A454" s="17">
        <v>0.64</v>
      </c>
      <c r="B454" s="21">
        <v>130</v>
      </c>
      <c r="C454" s="16">
        <v>0.53700000000000003</v>
      </c>
      <c r="D454" s="16" t="str">
        <f ca="1">PROPER(Music_Data[[#This Row],[Playlist_genre2]])</f>
        <v>Gaming</v>
      </c>
      <c r="E454" s="17">
        <v>0.222</v>
      </c>
      <c r="F454" t="s">
        <v>5214</v>
      </c>
      <c r="G454">
        <v>77</v>
      </c>
      <c r="H454" t="s">
        <v>4811</v>
      </c>
      <c r="I454" t="s">
        <v>5217</v>
      </c>
      <c r="J454" s="22">
        <v>45261</v>
      </c>
      <c r="K454">
        <v>1</v>
      </c>
      <c r="L454">
        <v>1</v>
      </c>
      <c r="M454" s="21">
        <f ca="1">LEFT(Music_Data[[#This Row],[Duration_minutes]],3)/60</f>
        <v>1.7166666666666666</v>
      </c>
      <c r="N454" s="17">
        <v>0.14599999999999999</v>
      </c>
      <c r="O454" s="17" t="str">
        <f ca="1">PROPER(Music_Data[[#This Row],[Playlist_subgenre2]])</f>
        <v>Modern</v>
      </c>
    </row>
    <row r="455" spans="1:15">
      <c r="A455" s="17">
        <v>0.80300000000000005</v>
      </c>
      <c r="B455" s="21">
        <v>130</v>
      </c>
      <c r="C455" s="16">
        <v>0.877</v>
      </c>
      <c r="D455" s="16" t="str">
        <f ca="1">PROPER(Music_Data[[#This Row],[Playlist_genre2]])</f>
        <v>Gaming</v>
      </c>
      <c r="E455" s="17">
        <v>0.79500000000000004</v>
      </c>
      <c r="F455" t="s">
        <v>5237</v>
      </c>
      <c r="G455">
        <v>77</v>
      </c>
      <c r="H455" t="s">
        <v>4811</v>
      </c>
      <c r="I455" t="s">
        <v>5240</v>
      </c>
      <c r="J455" s="22">
        <v>45047</v>
      </c>
      <c r="K455">
        <v>1</v>
      </c>
      <c r="L455">
        <v>9</v>
      </c>
      <c r="M455" s="21">
        <f ca="1">LEFT(Music_Data[[#This Row],[Duration_minutes]],3)/60</f>
        <v>10.266666666666667</v>
      </c>
      <c r="N455" s="17">
        <v>0.73399999999999999</v>
      </c>
      <c r="O455" s="17" t="str">
        <f ca="1">PROPER(Music_Data[[#This Row],[Playlist_subgenre2]])</f>
        <v>Modern</v>
      </c>
    </row>
    <row r="456" spans="1:15">
      <c r="A456" s="17">
        <v>0.92700000000000005</v>
      </c>
      <c r="B456" s="21">
        <v>109</v>
      </c>
      <c r="C456" s="16">
        <v>0.755</v>
      </c>
      <c r="D456" s="16" t="str">
        <f ca="1">PROPER(Music_Data[[#This Row],[Playlist_genre2]])</f>
        <v>Gaming</v>
      </c>
      <c r="E456" s="17">
        <v>0.70199999999999996</v>
      </c>
      <c r="F456" t="s">
        <v>5204</v>
      </c>
      <c r="G456">
        <v>77</v>
      </c>
      <c r="H456" t="s">
        <v>4811</v>
      </c>
      <c r="I456" t="s">
        <v>5211</v>
      </c>
      <c r="J456" s="22">
        <v>45310</v>
      </c>
      <c r="K456">
        <v>0</v>
      </c>
      <c r="L456">
        <v>11</v>
      </c>
      <c r="M456" s="21">
        <f ca="1">LEFT(Music_Data[[#This Row],[Duration_minutes]],3)/60</f>
        <v>1.9166666666666667</v>
      </c>
      <c r="N456" s="17">
        <v>2.8800000000000002E-3</v>
      </c>
      <c r="O456" s="17" t="str">
        <f ca="1">PROPER(Music_Data[[#This Row],[Playlist_subgenre2]])</f>
        <v>Modern</v>
      </c>
    </row>
    <row r="457" spans="1:15">
      <c r="A457" s="17">
        <v>0.81799999999999995</v>
      </c>
      <c r="B457" s="21">
        <v>125</v>
      </c>
      <c r="C457" s="16">
        <v>0.68700000000000006</v>
      </c>
      <c r="D457" s="16" t="str">
        <f ca="1">PROPER(Music_Data[[#This Row],[Playlist_genre2]])</f>
        <v>Gaming</v>
      </c>
      <c r="E457" s="17">
        <v>0.88600000000000001</v>
      </c>
      <c r="F457" t="s">
        <v>5293</v>
      </c>
      <c r="G457">
        <v>76</v>
      </c>
      <c r="H457" t="s">
        <v>4811</v>
      </c>
      <c r="I457" t="s">
        <v>5297</v>
      </c>
      <c r="J457" s="22">
        <v>44729</v>
      </c>
      <c r="K457">
        <v>1</v>
      </c>
      <c r="L457">
        <v>0</v>
      </c>
      <c r="M457" s="21">
        <f ca="1">LEFT(Music_Data[[#This Row],[Duration_minutes]],3)/60</f>
        <v>2.75</v>
      </c>
      <c r="N457" s="17">
        <v>1.12E-2</v>
      </c>
      <c r="O457" s="17" t="str">
        <f ca="1">PROPER(Music_Data[[#This Row],[Playlist_subgenre2]])</f>
        <v>Modern</v>
      </c>
    </row>
    <row r="458" spans="1:15">
      <c r="A458" s="17">
        <v>0.68700000000000006</v>
      </c>
      <c r="B458" s="21">
        <v>123</v>
      </c>
      <c r="C458" s="16">
        <v>0.755</v>
      </c>
      <c r="D458" s="16" t="str">
        <f ca="1">PROPER(Music_Data[[#This Row],[Playlist_genre2]])</f>
        <v>Gaming</v>
      </c>
      <c r="E458" s="17">
        <v>0.38100000000000001</v>
      </c>
      <c r="F458" t="s">
        <v>5228</v>
      </c>
      <c r="G458">
        <v>76</v>
      </c>
      <c r="H458" t="s">
        <v>4811</v>
      </c>
      <c r="I458" t="s">
        <v>5307</v>
      </c>
      <c r="J458" s="22">
        <v>45189</v>
      </c>
      <c r="K458">
        <v>0</v>
      </c>
      <c r="L458">
        <v>8</v>
      </c>
      <c r="M458" s="21">
        <f ca="1">LEFT(Music_Data[[#This Row],[Duration_minutes]],3)/60</f>
        <v>4.416666666666667</v>
      </c>
      <c r="N458" s="17">
        <v>0.183</v>
      </c>
      <c r="O458" s="17" t="str">
        <f ca="1">PROPER(Music_Data[[#This Row],[Playlist_subgenre2]])</f>
        <v>Modern</v>
      </c>
    </row>
    <row r="459" spans="1:15">
      <c r="A459" s="17">
        <v>0.67200000000000004</v>
      </c>
      <c r="B459" s="21">
        <v>136</v>
      </c>
      <c r="C459" s="16">
        <v>0.67300000000000004</v>
      </c>
      <c r="D459" s="16" t="str">
        <f ca="1">PROPER(Music_Data[[#This Row],[Playlist_genre2]])</f>
        <v>Gaming</v>
      </c>
      <c r="E459" s="17">
        <v>0.14000000000000001</v>
      </c>
      <c r="F459" t="s">
        <v>5283</v>
      </c>
      <c r="G459">
        <v>76</v>
      </c>
      <c r="H459" t="s">
        <v>4811</v>
      </c>
      <c r="I459" t="s">
        <v>5289</v>
      </c>
      <c r="J459" s="22">
        <v>45205</v>
      </c>
      <c r="K459">
        <v>1</v>
      </c>
      <c r="L459">
        <v>8</v>
      </c>
      <c r="M459" s="21">
        <f ca="1">LEFT(Music_Data[[#This Row],[Duration_minutes]],3)/60</f>
        <v>4.333333333333333</v>
      </c>
      <c r="N459" s="17">
        <v>4.6600000000000003E-2</v>
      </c>
      <c r="O459" s="17" t="str">
        <f ca="1">PROPER(Music_Data[[#This Row],[Playlist_subgenre2]])</f>
        <v>Modern</v>
      </c>
    </row>
    <row r="460" spans="1:15">
      <c r="A460" s="17">
        <v>0.91900000000000004</v>
      </c>
      <c r="B460" s="21">
        <v>151</v>
      </c>
      <c r="C460" s="16">
        <v>0.83</v>
      </c>
      <c r="D460" s="16" t="str">
        <f ca="1">PROPER(Music_Data[[#This Row],[Playlist_genre2]])</f>
        <v>Gaming</v>
      </c>
      <c r="E460" s="17">
        <v>0.84799999999999998</v>
      </c>
      <c r="F460" t="s">
        <v>5310</v>
      </c>
      <c r="G460">
        <v>76</v>
      </c>
      <c r="H460" t="s">
        <v>4811</v>
      </c>
      <c r="I460" t="s">
        <v>5313</v>
      </c>
      <c r="J460" s="22">
        <v>45324</v>
      </c>
      <c r="K460">
        <v>0</v>
      </c>
      <c r="L460">
        <v>10</v>
      </c>
      <c r="M460" s="21">
        <f ca="1">LEFT(Music_Data[[#This Row],[Duration_minutes]],3)/60</f>
        <v>16.149999999999999</v>
      </c>
      <c r="N460" s="17">
        <v>0.503</v>
      </c>
      <c r="O460" s="17" t="str">
        <f ca="1">PROPER(Music_Data[[#This Row],[Playlist_subgenre2]])</f>
        <v>Modern</v>
      </c>
    </row>
    <row r="461" spans="1:15">
      <c r="A461" s="17">
        <v>0.77700000000000002</v>
      </c>
      <c r="B461" s="21">
        <v>108</v>
      </c>
      <c r="C461" s="16">
        <v>0.57999999999999996</v>
      </c>
      <c r="D461" s="16" t="str">
        <f ca="1">PROPER(Music_Data[[#This Row],[Playlist_genre2]])</f>
        <v>Gaming</v>
      </c>
      <c r="E461" s="17">
        <v>0.58899999999999997</v>
      </c>
      <c r="F461" t="s">
        <v>5266</v>
      </c>
      <c r="G461">
        <v>76</v>
      </c>
      <c r="H461" t="s">
        <v>4811</v>
      </c>
      <c r="I461" t="s">
        <v>5270</v>
      </c>
      <c r="J461" s="22">
        <v>45310</v>
      </c>
      <c r="K461">
        <v>1</v>
      </c>
      <c r="L461">
        <v>3</v>
      </c>
      <c r="M461" s="21">
        <f ca="1">LEFT(Music_Data[[#This Row],[Duration_minutes]],3)/60</f>
        <v>2.9666666666666668</v>
      </c>
      <c r="N461" s="17">
        <v>0.104</v>
      </c>
      <c r="O461" s="17" t="str">
        <f ca="1">PROPER(Music_Data[[#This Row],[Playlist_subgenre2]])</f>
        <v>Modern</v>
      </c>
    </row>
    <row r="462" spans="1:15">
      <c r="A462" s="17">
        <v>0.53900000000000003</v>
      </c>
      <c r="B462" s="21">
        <v>158</v>
      </c>
      <c r="C462" s="16">
        <v>0.65</v>
      </c>
      <c r="D462" s="16" t="str">
        <f ca="1">PROPER(Music_Data[[#This Row],[Playlist_genre2]])</f>
        <v>Gaming</v>
      </c>
      <c r="E462" s="17">
        <v>0.253</v>
      </c>
      <c r="F462" t="s">
        <v>5274</v>
      </c>
      <c r="G462">
        <v>76</v>
      </c>
      <c r="H462" t="s">
        <v>4811</v>
      </c>
      <c r="I462" t="s">
        <v>5280</v>
      </c>
      <c r="J462" s="22">
        <v>45247</v>
      </c>
      <c r="K462">
        <v>1</v>
      </c>
      <c r="L462">
        <v>1</v>
      </c>
      <c r="M462" s="21">
        <f ca="1">LEFT(Music_Data[[#This Row],[Duration_minutes]],3)/60</f>
        <v>2.0166666666666666</v>
      </c>
      <c r="N462" s="17">
        <v>6.1700000000000001E-3</v>
      </c>
      <c r="O462" s="17" t="str">
        <f ca="1">PROPER(Music_Data[[#This Row],[Playlist_subgenre2]])</f>
        <v>Modern</v>
      </c>
    </row>
    <row r="463" spans="1:15">
      <c r="A463" s="17">
        <v>0.73799999999999999</v>
      </c>
      <c r="B463" s="21">
        <v>130</v>
      </c>
      <c r="C463" s="16">
        <v>0.59299999999999997</v>
      </c>
      <c r="D463" s="16" t="str">
        <f ca="1">PROPER(Music_Data[[#This Row],[Playlist_genre2]])</f>
        <v>Gaming</v>
      </c>
      <c r="E463" s="17">
        <v>0.59099999999999997</v>
      </c>
      <c r="F463" t="s">
        <v>5108</v>
      </c>
      <c r="G463">
        <v>75</v>
      </c>
      <c r="H463" t="s">
        <v>4811</v>
      </c>
      <c r="I463" t="s">
        <v>5321</v>
      </c>
      <c r="J463" s="22">
        <v>45247</v>
      </c>
      <c r="K463">
        <v>0</v>
      </c>
      <c r="L463">
        <v>11</v>
      </c>
      <c r="M463" s="21">
        <f ca="1">LEFT(Music_Data[[#This Row],[Duration_minutes]],3)/60</f>
        <v>2.2333333333333334</v>
      </c>
      <c r="N463" s="17">
        <v>0.26900000000000002</v>
      </c>
      <c r="O463" s="17" t="str">
        <f ca="1">PROPER(Music_Data[[#This Row],[Playlist_subgenre2]])</f>
        <v>Modern</v>
      </c>
    </row>
    <row r="464" spans="1:15">
      <c r="A464" s="17">
        <v>0.89700000000000002</v>
      </c>
      <c r="B464" s="21">
        <v>129</v>
      </c>
      <c r="C464" s="16">
        <v>0.68600000000000005</v>
      </c>
      <c r="D464" s="16" t="str">
        <f ca="1">PROPER(Music_Data[[#This Row],[Playlist_genre2]])</f>
        <v>Gaming</v>
      </c>
      <c r="E464" s="17">
        <v>0.35499999999999998</v>
      </c>
      <c r="F464" t="s">
        <v>5345</v>
      </c>
      <c r="G464">
        <v>75</v>
      </c>
      <c r="H464" t="s">
        <v>4811</v>
      </c>
      <c r="I464" t="s">
        <v>5352</v>
      </c>
      <c r="J464" s="22">
        <v>44962</v>
      </c>
      <c r="K464">
        <v>0</v>
      </c>
      <c r="L464">
        <v>11</v>
      </c>
      <c r="M464" s="21">
        <f ca="1">LEFT(Music_Data[[#This Row],[Duration_minutes]],3)/60</f>
        <v>2.7166666666666668</v>
      </c>
      <c r="N464" s="17">
        <v>1.03E-2</v>
      </c>
      <c r="O464" s="17" t="str">
        <f ca="1">PROPER(Music_Data[[#This Row],[Playlist_subgenre2]])</f>
        <v>Modern</v>
      </c>
    </row>
    <row r="465" spans="1:15">
      <c r="A465" s="17">
        <v>0.96699999999999997</v>
      </c>
      <c r="B465" s="21">
        <v>149</v>
      </c>
      <c r="C465" s="16">
        <v>0.628</v>
      </c>
      <c r="D465" s="16" t="str">
        <f ca="1">PROPER(Music_Data[[#This Row],[Playlist_genre2]])</f>
        <v>Gaming</v>
      </c>
      <c r="E465" s="17">
        <v>0.39900000000000002</v>
      </c>
      <c r="F465" t="s">
        <v>5335</v>
      </c>
      <c r="G465">
        <v>75</v>
      </c>
      <c r="H465" t="s">
        <v>4811</v>
      </c>
      <c r="I465" t="s">
        <v>5339</v>
      </c>
      <c r="J465" s="22">
        <v>45135</v>
      </c>
      <c r="K465">
        <v>1</v>
      </c>
      <c r="L465">
        <v>1</v>
      </c>
      <c r="M465" s="21">
        <f ca="1">LEFT(Music_Data[[#This Row],[Duration_minutes]],3)/60</f>
        <v>2.5166666666666666</v>
      </c>
      <c r="N465" s="17">
        <v>3.9800000000000002E-2</v>
      </c>
      <c r="O465" s="17" t="str">
        <f ca="1">PROPER(Music_Data[[#This Row],[Playlist_subgenre2]])</f>
        <v>Modern</v>
      </c>
    </row>
    <row r="466" spans="1:15">
      <c r="A466" s="17">
        <v>0.81</v>
      </c>
      <c r="B466" s="21">
        <v>150</v>
      </c>
      <c r="C466" s="16">
        <v>0.61299999999999999</v>
      </c>
      <c r="D466" s="16" t="str">
        <f ca="1">PROPER(Music_Data[[#This Row],[Playlist_genre2]])</f>
        <v>Gaming</v>
      </c>
      <c r="E466" s="17">
        <v>0.68600000000000005</v>
      </c>
      <c r="F466" t="s">
        <v>5327</v>
      </c>
      <c r="G466">
        <v>75</v>
      </c>
      <c r="H466" t="s">
        <v>4811</v>
      </c>
      <c r="I466" t="s">
        <v>5330</v>
      </c>
      <c r="J466" s="22">
        <v>45163</v>
      </c>
      <c r="K466">
        <v>1</v>
      </c>
      <c r="L466">
        <v>1</v>
      </c>
      <c r="M466" s="21">
        <f ca="1">LEFT(Music_Data[[#This Row],[Duration_minutes]],3)/60</f>
        <v>1.9333333333333333</v>
      </c>
      <c r="N466" s="17">
        <v>0.83199999999999996</v>
      </c>
      <c r="O466" s="17" t="str">
        <f ca="1">PROPER(Music_Data[[#This Row],[Playlist_subgenre2]])</f>
        <v>Modern</v>
      </c>
    </row>
    <row r="467" spans="1:15">
      <c r="A467" s="17">
        <v>0.52700000000000002</v>
      </c>
      <c r="B467" s="21">
        <v>774</v>
      </c>
      <c r="C467" s="16">
        <v>0.82399999999999995</v>
      </c>
      <c r="D467" s="16" t="str">
        <f ca="1">PROPER(Music_Data[[#This Row],[Playlist_genre2]])</f>
        <v>Gaming</v>
      </c>
      <c r="E467" s="17">
        <v>0.21199999999999999</v>
      </c>
      <c r="F467" t="s">
        <v>2175</v>
      </c>
      <c r="G467">
        <v>74</v>
      </c>
      <c r="H467" t="s">
        <v>4811</v>
      </c>
      <c r="I467" t="s">
        <v>2178</v>
      </c>
      <c r="J467" s="22">
        <v>45534</v>
      </c>
      <c r="K467">
        <v>1</v>
      </c>
      <c r="L467">
        <v>8</v>
      </c>
      <c r="M467" s="21">
        <f ca="1">LEFT(Music_Data[[#This Row],[Duration_minutes]],3)/60</f>
        <v>2.5833333333333335</v>
      </c>
      <c r="N467" s="17">
        <v>0.14899999999999999</v>
      </c>
      <c r="O467" s="17" t="str">
        <f ca="1">PROPER(Music_Data[[#This Row],[Playlist_subgenre2]])</f>
        <v>Modern</v>
      </c>
    </row>
    <row r="468" spans="1:15">
      <c r="A468" s="17">
        <v>0.84799999999999998</v>
      </c>
      <c r="B468" s="21">
        <v>135</v>
      </c>
      <c r="C468" s="16">
        <v>0.72099999999999997</v>
      </c>
      <c r="D468" s="16" t="str">
        <f ca="1">PROPER(Music_Data[[#This Row],[Playlist_genre2]])</f>
        <v>Gaming</v>
      </c>
      <c r="E468" s="17">
        <v>0.77400000000000002</v>
      </c>
      <c r="F468" t="s">
        <v>13176</v>
      </c>
      <c r="G468">
        <v>74</v>
      </c>
      <c r="H468" t="s">
        <v>4811</v>
      </c>
      <c r="I468" t="s">
        <v>5375</v>
      </c>
      <c r="J468" s="22">
        <v>45240</v>
      </c>
      <c r="K468">
        <v>1</v>
      </c>
      <c r="L468">
        <v>9</v>
      </c>
      <c r="M468" s="21">
        <f ca="1">LEFT(Music_Data[[#This Row],[Duration_minutes]],3)/60</f>
        <v>2.15</v>
      </c>
      <c r="N468" s="17">
        <v>0.26</v>
      </c>
      <c r="O468" s="17" t="str">
        <f ca="1">PROPER(Music_Data[[#This Row],[Playlist_subgenre2]])</f>
        <v>Modern</v>
      </c>
    </row>
    <row r="469" spans="1:15">
      <c r="A469" s="17">
        <v>0.65500000000000003</v>
      </c>
      <c r="B469" s="21">
        <v>163</v>
      </c>
      <c r="C469" s="16">
        <v>0.47499999999999998</v>
      </c>
      <c r="D469" s="16" t="str">
        <f ca="1">PROPER(Music_Data[[#This Row],[Playlist_genre2]])</f>
        <v>Gaming</v>
      </c>
      <c r="E469" s="17">
        <v>0.245</v>
      </c>
      <c r="F469" t="s">
        <v>5388</v>
      </c>
      <c r="G469">
        <v>74</v>
      </c>
      <c r="H469" t="s">
        <v>4811</v>
      </c>
      <c r="I469" t="s">
        <v>5393</v>
      </c>
      <c r="J469" s="22">
        <v>45205</v>
      </c>
      <c r="K469">
        <v>0</v>
      </c>
      <c r="L469">
        <v>11</v>
      </c>
      <c r="M469" s="21">
        <f ca="1">LEFT(Music_Data[[#This Row],[Duration_minutes]],3)/60</f>
        <v>4.1166666666666663</v>
      </c>
      <c r="N469" s="17">
        <v>3.0599999999999999E-2</v>
      </c>
      <c r="O469" s="17" t="str">
        <f ca="1">PROPER(Music_Data[[#This Row],[Playlist_subgenre2]])</f>
        <v>Modern</v>
      </c>
    </row>
    <row r="470" spans="1:15">
      <c r="A470" s="17">
        <v>0.74199999999999999</v>
      </c>
      <c r="B470" s="21">
        <v>114</v>
      </c>
      <c r="C470" s="16">
        <v>0.77300000000000002</v>
      </c>
      <c r="D470" s="16" t="str">
        <f ca="1">PROPER(Music_Data[[#This Row],[Playlist_genre2]])</f>
        <v>Gaming</v>
      </c>
      <c r="E470" s="17">
        <v>0.57099999999999995</v>
      </c>
      <c r="F470" t="s">
        <v>5380</v>
      </c>
      <c r="G470">
        <v>74</v>
      </c>
      <c r="H470" t="s">
        <v>4811</v>
      </c>
      <c r="I470" t="s">
        <v>5383</v>
      </c>
      <c r="J470" s="22">
        <v>44631</v>
      </c>
      <c r="K470">
        <v>0</v>
      </c>
      <c r="L470">
        <v>5</v>
      </c>
      <c r="M470" s="21">
        <f ca="1">LEFT(Music_Data[[#This Row],[Duration_minutes]],3)/60</f>
        <v>2.75</v>
      </c>
      <c r="N470" s="17">
        <v>2.06E-2</v>
      </c>
      <c r="O470" s="17" t="str">
        <f ca="1">PROPER(Music_Data[[#This Row],[Playlist_subgenre2]])</f>
        <v>Modern</v>
      </c>
    </row>
    <row r="471" spans="1:15">
      <c r="A471" s="17">
        <v>0.78100000000000003</v>
      </c>
      <c r="B471" s="21">
        <v>128</v>
      </c>
      <c r="C471" s="16">
        <v>0.80500000000000005</v>
      </c>
      <c r="D471" s="16" t="str">
        <f ca="1">PROPER(Music_Data[[#This Row],[Playlist_genre2]])</f>
        <v>Gaming</v>
      </c>
      <c r="E471" s="17">
        <v>0.81799999999999995</v>
      </c>
      <c r="F471" t="s">
        <v>5364</v>
      </c>
      <c r="G471">
        <v>74</v>
      </c>
      <c r="H471" t="s">
        <v>4811</v>
      </c>
      <c r="I471" t="s">
        <v>5367</v>
      </c>
      <c r="J471" s="22">
        <v>45478</v>
      </c>
      <c r="K471">
        <v>0</v>
      </c>
      <c r="L471">
        <v>1</v>
      </c>
      <c r="M471" s="21">
        <f ca="1">LEFT(Music_Data[[#This Row],[Duration_minutes]],3)/60</f>
        <v>3.6666666666666665</v>
      </c>
      <c r="N471" s="17">
        <v>2E-3</v>
      </c>
      <c r="O471" s="17" t="str">
        <f ca="1">PROPER(Music_Data[[#This Row],[Playlist_subgenre2]])</f>
        <v>Modern</v>
      </c>
    </row>
    <row r="472" spans="1:15">
      <c r="A472" s="17">
        <v>0.75800000000000001</v>
      </c>
      <c r="B472" s="21">
        <v>165</v>
      </c>
      <c r="C472" s="16">
        <v>0.68100000000000005</v>
      </c>
      <c r="D472" s="16" t="str">
        <f ca="1">PROPER(Music_Data[[#This Row],[Playlist_genre2]])</f>
        <v>Gaming</v>
      </c>
      <c r="E472" s="17">
        <v>0.33100000000000002</v>
      </c>
      <c r="F472" t="s">
        <v>2305</v>
      </c>
      <c r="G472">
        <v>73</v>
      </c>
      <c r="H472" t="s">
        <v>4811</v>
      </c>
      <c r="I472" t="s">
        <v>2311</v>
      </c>
      <c r="J472" s="22">
        <v>45303</v>
      </c>
      <c r="K472">
        <v>1</v>
      </c>
      <c r="L472">
        <v>1</v>
      </c>
      <c r="M472" s="21">
        <f ca="1">LEFT(Music_Data[[#This Row],[Duration_minutes]],3)/60</f>
        <v>3.6666666666666665</v>
      </c>
      <c r="N472" s="17">
        <v>4.6499999999999996E-3</v>
      </c>
      <c r="O472" s="17" t="str">
        <f ca="1">PROPER(Music_Data[[#This Row],[Playlist_subgenre2]])</f>
        <v>Modern</v>
      </c>
    </row>
    <row r="473" spans="1:15">
      <c r="A473" s="17">
        <v>0.85</v>
      </c>
      <c r="B473" s="21">
        <v>106</v>
      </c>
      <c r="C473" s="16">
        <v>0.81499999999999995</v>
      </c>
      <c r="D473" s="16" t="str">
        <f ca="1">PROPER(Music_Data[[#This Row],[Playlist_genre2]])</f>
        <v>Gaming</v>
      </c>
      <c r="E473" s="17">
        <v>0.69399999999999995</v>
      </c>
      <c r="F473" t="s">
        <v>5415</v>
      </c>
      <c r="G473">
        <v>73</v>
      </c>
      <c r="H473" t="s">
        <v>4811</v>
      </c>
      <c r="I473" t="s">
        <v>5421</v>
      </c>
      <c r="J473" s="22">
        <v>44477</v>
      </c>
      <c r="K473">
        <v>0</v>
      </c>
      <c r="L473">
        <v>4</v>
      </c>
      <c r="M473" s="21">
        <f ca="1">LEFT(Music_Data[[#This Row],[Duration_minutes]],3)/60</f>
        <v>2.2166666666666668</v>
      </c>
      <c r="N473" s="17">
        <v>2.3199999999999998E-2</v>
      </c>
      <c r="O473" s="17" t="str">
        <f ca="1">PROPER(Music_Data[[#This Row],[Playlist_subgenre2]])</f>
        <v>Modern</v>
      </c>
    </row>
    <row r="474" spans="1:15">
      <c r="A474" s="17">
        <v>0.89500000000000002</v>
      </c>
      <c r="B474" s="21">
        <v>125</v>
      </c>
      <c r="C474" s="16">
        <v>0.76200000000000001</v>
      </c>
      <c r="D474" s="16" t="str">
        <f ca="1">PROPER(Music_Data[[#This Row],[Playlist_genre2]])</f>
        <v>Gaming</v>
      </c>
      <c r="E474" s="17">
        <v>0.75700000000000001</v>
      </c>
      <c r="F474" t="s">
        <v>5396</v>
      </c>
      <c r="G474">
        <v>73</v>
      </c>
      <c r="H474" t="s">
        <v>4811</v>
      </c>
      <c r="I474" t="s">
        <v>5400</v>
      </c>
      <c r="J474" s="22">
        <v>45149</v>
      </c>
      <c r="K474">
        <v>1</v>
      </c>
      <c r="L474">
        <v>8</v>
      </c>
      <c r="M474" s="21">
        <f ca="1">LEFT(Music_Data[[#This Row],[Duration_minutes]],3)/60</f>
        <v>3.0333333333333332</v>
      </c>
      <c r="N474" s="17">
        <v>6.2300000000000003E-3</v>
      </c>
      <c r="O474" s="17" t="str">
        <f ca="1">PROPER(Music_Data[[#This Row],[Playlist_subgenre2]])</f>
        <v>Modern</v>
      </c>
    </row>
    <row r="475" spans="1:15">
      <c r="A475" s="17">
        <v>0.63600000000000001</v>
      </c>
      <c r="B475" s="21">
        <v>754</v>
      </c>
      <c r="C475" s="16">
        <v>0.65400000000000003</v>
      </c>
      <c r="D475" s="16" t="str">
        <f ca="1">PROPER(Music_Data[[#This Row],[Playlist_genre2]])</f>
        <v>Gaming</v>
      </c>
      <c r="E475" s="17">
        <v>0.26700000000000002</v>
      </c>
      <c r="F475" t="s">
        <v>2376</v>
      </c>
      <c r="G475">
        <v>73</v>
      </c>
      <c r="H475" t="s">
        <v>4811</v>
      </c>
      <c r="I475" t="s">
        <v>5445</v>
      </c>
      <c r="J475" s="22">
        <v>45100</v>
      </c>
      <c r="K475">
        <v>1</v>
      </c>
      <c r="L475">
        <v>8</v>
      </c>
      <c r="M475" s="21">
        <f ca="1">LEFT(Music_Data[[#This Row],[Duration_minutes]],3)/60</f>
        <v>2.3333333333333335</v>
      </c>
      <c r="N475" s="17">
        <v>2.5799999999999998E-3</v>
      </c>
      <c r="O475" s="17" t="str">
        <f ca="1">PROPER(Music_Data[[#This Row],[Playlist_subgenre2]])</f>
        <v>Modern</v>
      </c>
    </row>
    <row r="476" spans="1:15">
      <c r="A476" s="17">
        <v>0.76500000000000001</v>
      </c>
      <c r="B476" s="21">
        <v>145</v>
      </c>
      <c r="C476" s="16">
        <v>0.58799999999999997</v>
      </c>
      <c r="D476" s="16" t="str">
        <f ca="1">PROPER(Music_Data[[#This Row],[Playlist_genre2]])</f>
        <v>Gaming</v>
      </c>
      <c r="E476" s="17">
        <v>0.49199999999999999</v>
      </c>
      <c r="F476" t="s">
        <v>5449</v>
      </c>
      <c r="G476">
        <v>73</v>
      </c>
      <c r="H476" t="s">
        <v>4811</v>
      </c>
      <c r="I476" t="s">
        <v>5453</v>
      </c>
      <c r="J476" s="22">
        <v>45203</v>
      </c>
      <c r="K476">
        <v>0</v>
      </c>
      <c r="L476">
        <v>3</v>
      </c>
      <c r="M476" s="21">
        <f ca="1">LEFT(Music_Data[[#This Row],[Duration_minutes]],3)/60</f>
        <v>3.6666666666666665</v>
      </c>
      <c r="N476" s="17">
        <v>6.8500000000000002E-3</v>
      </c>
      <c r="O476" s="17" t="str">
        <f ca="1">PROPER(Music_Data[[#This Row],[Playlist_subgenre2]])</f>
        <v>Modern</v>
      </c>
    </row>
    <row r="477" spans="1:15">
      <c r="A477" s="17">
        <v>0.91500000000000004</v>
      </c>
      <c r="B477" s="21">
        <v>154</v>
      </c>
      <c r="C477" s="16">
        <v>0.73699999999999999</v>
      </c>
      <c r="D477" s="16" t="str">
        <f ca="1">PROPER(Music_Data[[#This Row],[Playlist_genre2]])</f>
        <v>Gaming</v>
      </c>
      <c r="E477" s="17">
        <v>0.30399999999999999</v>
      </c>
      <c r="F477" t="s">
        <v>5405</v>
      </c>
      <c r="G477">
        <v>73</v>
      </c>
      <c r="H477" t="s">
        <v>4811</v>
      </c>
      <c r="I477" t="s">
        <v>5411</v>
      </c>
      <c r="J477" s="22">
        <v>44980</v>
      </c>
      <c r="K477">
        <v>1</v>
      </c>
      <c r="L477">
        <v>0</v>
      </c>
      <c r="M477" s="21">
        <f ca="1">LEFT(Music_Data[[#This Row],[Duration_minutes]],3)/60</f>
        <v>14.45</v>
      </c>
      <c r="N477" s="17">
        <v>3.2200000000000002E-3</v>
      </c>
      <c r="O477" s="17" t="str">
        <f ca="1">PROPER(Music_Data[[#This Row],[Playlist_subgenre2]])</f>
        <v>Modern</v>
      </c>
    </row>
    <row r="478" spans="1:15">
      <c r="A478" s="17">
        <v>0.86</v>
      </c>
      <c r="B478" s="21">
        <v>146</v>
      </c>
      <c r="C478" s="16">
        <v>0.58499999999999996</v>
      </c>
      <c r="D478" s="16" t="str">
        <f ca="1">PROPER(Music_Data[[#This Row],[Playlist_genre2]])</f>
        <v>Gaming</v>
      </c>
      <c r="E478" s="17">
        <v>0.60699999999999998</v>
      </c>
      <c r="F478" t="s">
        <v>4887</v>
      </c>
      <c r="G478">
        <v>73</v>
      </c>
      <c r="H478" t="s">
        <v>4811</v>
      </c>
      <c r="I478" t="s">
        <v>5434</v>
      </c>
      <c r="J478" s="22">
        <v>45000</v>
      </c>
      <c r="K478">
        <v>1</v>
      </c>
      <c r="L478">
        <v>6</v>
      </c>
      <c r="M478" s="21">
        <f ca="1">LEFT(Music_Data[[#This Row],[Duration_minutes]],3)/60</f>
        <v>1.7</v>
      </c>
      <c r="N478" s="17">
        <v>5.6599999999999998E-2</v>
      </c>
      <c r="O478" s="17" t="str">
        <f ca="1">PROPER(Music_Data[[#This Row],[Playlist_subgenre2]])</f>
        <v>Modern</v>
      </c>
    </row>
    <row r="479" spans="1:15">
      <c r="A479" s="17">
        <v>0.54600000000000004</v>
      </c>
      <c r="B479" s="21">
        <v>118</v>
      </c>
      <c r="C479" s="16">
        <v>0.76</v>
      </c>
      <c r="D479" s="16" t="str">
        <f ca="1">PROPER(Music_Data[[#This Row],[Playlist_genre2]])</f>
        <v>Gaming</v>
      </c>
      <c r="E479" s="17">
        <v>0.113</v>
      </c>
      <c r="F479" t="s">
        <v>2183</v>
      </c>
      <c r="G479">
        <v>73</v>
      </c>
      <c r="H479" t="s">
        <v>4811</v>
      </c>
      <c r="I479" t="s">
        <v>5430</v>
      </c>
      <c r="J479" s="22">
        <v>45338</v>
      </c>
      <c r="K479">
        <v>1</v>
      </c>
      <c r="L479">
        <v>11</v>
      </c>
      <c r="M479" s="21">
        <f ca="1">LEFT(Music_Data[[#This Row],[Duration_minutes]],3)/60</f>
        <v>2.8333333333333335</v>
      </c>
      <c r="N479" s="17">
        <v>2.8400000000000002E-2</v>
      </c>
      <c r="O479" s="17" t="str">
        <f ca="1">PROPER(Music_Data[[#This Row],[Playlist_subgenre2]])</f>
        <v>Modern</v>
      </c>
    </row>
    <row r="480" spans="1:15">
      <c r="A480" s="17">
        <v>0.72199999999999998</v>
      </c>
      <c r="B480" s="21">
        <v>119</v>
      </c>
      <c r="C480" s="16">
        <v>0.76900000000000002</v>
      </c>
      <c r="D480" s="16" t="str">
        <f ca="1">PROPER(Music_Data[[#This Row],[Playlist_genre2]])</f>
        <v>Hip-Hop</v>
      </c>
      <c r="E480" s="17">
        <v>0.56999999999999995</v>
      </c>
      <c r="F480" t="s">
        <v>162</v>
      </c>
      <c r="G480">
        <v>92</v>
      </c>
      <c r="H480" t="s">
        <v>1852</v>
      </c>
      <c r="I480" t="s">
        <v>169</v>
      </c>
      <c r="J480" s="22">
        <v>45562</v>
      </c>
      <c r="K480">
        <v>0</v>
      </c>
      <c r="L480">
        <v>11</v>
      </c>
      <c r="M480" s="21">
        <f ca="1">LEFT(Music_Data[[#This Row],[Duration_minutes]],3)/60</f>
        <v>4.2666666666666666</v>
      </c>
      <c r="N480" s="17">
        <v>5.8400000000000001E-2</v>
      </c>
      <c r="O480" s="17" t="str">
        <f ca="1">PROPER(Music_Data[[#This Row],[Playlist_subgenre2]])</f>
        <v>Modern</v>
      </c>
    </row>
    <row r="481" spans="1:15">
      <c r="A481" s="17">
        <v>0.72199999999999998</v>
      </c>
      <c r="B481" s="21">
        <v>119</v>
      </c>
      <c r="C481" s="16">
        <v>0.76900000000000002</v>
      </c>
      <c r="D481" s="16" t="str">
        <f ca="1">PROPER(Music_Data[[#This Row],[Playlist_genre2]])</f>
        <v>Hip-Hop</v>
      </c>
      <c r="E481" s="17">
        <v>0.56999999999999995</v>
      </c>
      <c r="F481" t="s">
        <v>162</v>
      </c>
      <c r="G481">
        <v>92</v>
      </c>
      <c r="H481" t="s">
        <v>11488</v>
      </c>
      <c r="I481" t="s">
        <v>169</v>
      </c>
      <c r="J481" s="22">
        <v>45562</v>
      </c>
      <c r="K481">
        <v>0</v>
      </c>
      <c r="L481">
        <v>11</v>
      </c>
      <c r="M481" s="21">
        <f ca="1">LEFT(Music_Data[[#This Row],[Duration_minutes]],3)/60</f>
        <v>4.2666666666666666</v>
      </c>
      <c r="N481" s="17">
        <v>5.8400000000000001E-2</v>
      </c>
      <c r="O481" s="17" t="str">
        <f ca="1">PROPER(Music_Data[[#This Row],[Playlist_subgenre2]])</f>
        <v>Chill</v>
      </c>
    </row>
    <row r="482" spans="1:15">
      <c r="A482" s="17">
        <v>0.55900000000000005</v>
      </c>
      <c r="B482" s="21">
        <v>785</v>
      </c>
      <c r="C482" s="16">
        <v>0.55800000000000005</v>
      </c>
      <c r="D482" s="16" t="str">
        <f ca="1">PROPER(Music_Data[[#This Row],[Playlist_genre2]])</f>
        <v>Hip-Hop</v>
      </c>
      <c r="E482" s="17">
        <v>0.62</v>
      </c>
      <c r="F482" t="s">
        <v>6455</v>
      </c>
      <c r="G482">
        <v>90</v>
      </c>
      <c r="H482" t="s">
        <v>11488</v>
      </c>
      <c r="I482" t="s">
        <v>6462</v>
      </c>
      <c r="J482" s="22">
        <v>42937</v>
      </c>
      <c r="K482">
        <v>1</v>
      </c>
      <c r="L482">
        <v>6</v>
      </c>
      <c r="M482" s="21">
        <f ca="1">LEFT(Music_Data[[#This Row],[Duration_minutes]],3)/60</f>
        <v>3</v>
      </c>
      <c r="N482" s="17">
        <v>0.371</v>
      </c>
      <c r="O482" s="17" t="str">
        <f ca="1">PROPER(Music_Data[[#This Row],[Playlist_subgenre2]])</f>
        <v>Chill</v>
      </c>
    </row>
    <row r="483" spans="1:15">
      <c r="A483" s="17">
        <v>0.47199999999999998</v>
      </c>
      <c r="B483" s="21">
        <v>101</v>
      </c>
      <c r="C483" s="16">
        <v>0.89800000000000002</v>
      </c>
      <c r="D483" s="16" t="str">
        <f ca="1">PROPER(Music_Data[[#This Row],[Playlist_genre2]])</f>
        <v>Hip-Hop</v>
      </c>
      <c r="E483" s="17">
        <v>0.214</v>
      </c>
      <c r="F483" t="s">
        <v>596</v>
      </c>
      <c r="G483">
        <v>88</v>
      </c>
      <c r="H483" t="s">
        <v>1852</v>
      </c>
      <c r="I483" t="s">
        <v>600</v>
      </c>
      <c r="J483" s="22">
        <v>45416</v>
      </c>
      <c r="K483">
        <v>1</v>
      </c>
      <c r="L483">
        <v>1</v>
      </c>
      <c r="M483" s="21">
        <f ca="1">LEFT(Music_Data[[#This Row],[Duration_minutes]],3)/60</f>
        <v>4.5666666666666664</v>
      </c>
      <c r="N483" s="17">
        <v>1.0699999999999999E-2</v>
      </c>
      <c r="O483" s="17" t="str">
        <f ca="1">PROPER(Music_Data[[#This Row],[Playlist_subgenre2]])</f>
        <v>Modern</v>
      </c>
    </row>
    <row r="484" spans="1:15">
      <c r="A484" s="17">
        <v>0.47199999999999998</v>
      </c>
      <c r="B484" s="21">
        <v>101</v>
      </c>
      <c r="C484" s="16">
        <v>0.89800000000000002</v>
      </c>
      <c r="D484" s="16" t="str">
        <f ca="1">PROPER(Music_Data[[#This Row],[Playlist_genre2]])</f>
        <v>Hip-Hop</v>
      </c>
      <c r="E484" s="17">
        <v>0.214</v>
      </c>
      <c r="F484" t="s">
        <v>596</v>
      </c>
      <c r="G484">
        <v>88</v>
      </c>
      <c r="H484" t="s">
        <v>2202</v>
      </c>
      <c r="I484" t="s">
        <v>600</v>
      </c>
      <c r="J484" s="22">
        <v>45416</v>
      </c>
      <c r="K484">
        <v>1</v>
      </c>
      <c r="L484">
        <v>1</v>
      </c>
      <c r="M484" s="21">
        <f ca="1">LEFT(Music_Data[[#This Row],[Duration_minutes]],3)/60</f>
        <v>4.5666666666666664</v>
      </c>
      <c r="N484" s="17">
        <v>1.0699999999999999E-2</v>
      </c>
      <c r="O484" s="17" t="str">
        <f ca="1">PROPER(Music_Data[[#This Row],[Playlist_subgenre2]])</f>
        <v>Gangster</v>
      </c>
    </row>
    <row r="485" spans="1:15">
      <c r="A485" s="17">
        <v>0.81200000000000006</v>
      </c>
      <c r="B485" s="21">
        <v>800</v>
      </c>
      <c r="C485" s="16">
        <v>0.505</v>
      </c>
      <c r="D485" s="16" t="str">
        <f ca="1">PROPER(Music_Data[[#This Row],[Playlist_genre2]])</f>
        <v>Hip-Hop</v>
      </c>
      <c r="E485" s="17">
        <v>0.66400000000000003</v>
      </c>
      <c r="F485" t="s">
        <v>309</v>
      </c>
      <c r="G485">
        <v>88</v>
      </c>
      <c r="H485" t="s">
        <v>1852</v>
      </c>
      <c r="I485" t="s">
        <v>316</v>
      </c>
      <c r="J485" s="22">
        <v>45593</v>
      </c>
      <c r="K485">
        <v>1</v>
      </c>
      <c r="L485">
        <v>1</v>
      </c>
      <c r="M485" s="21">
        <f ca="1">LEFT(Music_Data[[#This Row],[Duration_minutes]],3)/60</f>
        <v>4.25</v>
      </c>
      <c r="N485" s="17">
        <v>0.28499999999999998</v>
      </c>
      <c r="O485" s="17" t="str">
        <f ca="1">PROPER(Music_Data[[#This Row],[Playlist_subgenre2]])</f>
        <v>Modern</v>
      </c>
    </row>
    <row r="486" spans="1:15">
      <c r="A486" s="17">
        <v>0.878</v>
      </c>
      <c r="B486" s="21">
        <v>825</v>
      </c>
      <c r="C486" s="16">
        <v>0.66100000000000003</v>
      </c>
      <c r="D486" s="16" t="str">
        <f ca="1">PROPER(Music_Data[[#This Row],[Playlist_genre2]])</f>
        <v>Hip-Hop</v>
      </c>
      <c r="E486" s="17">
        <v>0.51400000000000001</v>
      </c>
      <c r="F486" t="s">
        <v>2145</v>
      </c>
      <c r="G486">
        <v>87</v>
      </c>
      <c r="H486" t="s">
        <v>1852</v>
      </c>
      <c r="I486" t="s">
        <v>2150</v>
      </c>
      <c r="J486" s="22">
        <v>45593</v>
      </c>
      <c r="K486">
        <v>1</v>
      </c>
      <c r="L486">
        <v>1</v>
      </c>
      <c r="M486" s="21">
        <f ca="1">LEFT(Music_Data[[#This Row],[Duration_minutes]],3)/60</f>
        <v>2.75</v>
      </c>
      <c r="N486" s="17">
        <v>2.8900000000000002E-3</v>
      </c>
      <c r="O486" s="17" t="str">
        <f ca="1">PROPER(Music_Data[[#This Row],[Playlist_subgenre2]])</f>
        <v>Modern</v>
      </c>
    </row>
    <row r="487" spans="1:15">
      <c r="A487" s="17">
        <v>0.81799999999999995</v>
      </c>
      <c r="B487" s="21">
        <v>975</v>
      </c>
      <c r="C487" s="16">
        <v>0.373</v>
      </c>
      <c r="D487" s="16" t="str">
        <f ca="1">PROPER(Music_Data[[#This Row],[Playlist_genre2]])</f>
        <v>Hip-Hop</v>
      </c>
      <c r="E487" s="17">
        <v>0.36099999999999999</v>
      </c>
      <c r="F487" t="s">
        <v>11511</v>
      </c>
      <c r="G487">
        <v>87</v>
      </c>
      <c r="H487" t="s">
        <v>11488</v>
      </c>
      <c r="I487" t="s">
        <v>11516</v>
      </c>
      <c r="J487" s="22">
        <v>45593</v>
      </c>
      <c r="K487">
        <v>0</v>
      </c>
      <c r="L487">
        <v>3</v>
      </c>
      <c r="M487" s="21">
        <f ca="1">LEFT(Music_Data[[#This Row],[Duration_minutes]],3)/60</f>
        <v>4.2166666666666668</v>
      </c>
      <c r="N487" s="17">
        <v>0.36</v>
      </c>
      <c r="O487" s="17" t="str">
        <f ca="1">PROPER(Music_Data[[#This Row],[Playlist_subgenre2]])</f>
        <v>Chill</v>
      </c>
    </row>
    <row r="488" spans="1:15">
      <c r="A488" s="17">
        <v>0.628</v>
      </c>
      <c r="B488" s="21">
        <v>119</v>
      </c>
      <c r="C488" s="16">
        <v>0.75700000000000001</v>
      </c>
      <c r="D488" s="16" t="str">
        <f ca="1">PROPER(Music_Data[[#This Row],[Playlist_genre2]])</f>
        <v>Hip-Hop</v>
      </c>
      <c r="E488" s="17">
        <v>0.32100000000000001</v>
      </c>
      <c r="F488" t="s">
        <v>365</v>
      </c>
      <c r="G488">
        <v>85</v>
      </c>
      <c r="H488" t="s">
        <v>1852</v>
      </c>
      <c r="I488" t="s">
        <v>372</v>
      </c>
      <c r="J488" s="22">
        <v>45457</v>
      </c>
      <c r="K488">
        <v>0</v>
      </c>
      <c r="L488">
        <v>4</v>
      </c>
      <c r="M488" s="21">
        <f ca="1">LEFT(Music_Data[[#This Row],[Duration_minutes]],3)/60</f>
        <v>3.6166666666666667</v>
      </c>
      <c r="N488" s="17">
        <v>0.189</v>
      </c>
      <c r="O488" s="17" t="str">
        <f ca="1">PROPER(Music_Data[[#This Row],[Playlist_subgenre2]])</f>
        <v>Modern</v>
      </c>
    </row>
    <row r="489" spans="1:15">
      <c r="A489" s="17">
        <v>0.745</v>
      </c>
      <c r="B489" s="21">
        <v>180</v>
      </c>
      <c r="C489" s="16">
        <v>0.46400000000000002</v>
      </c>
      <c r="D489" s="16" t="str">
        <f ca="1">PROPER(Music_Data[[#This Row],[Playlist_genre2]])</f>
        <v>Hip-Hop</v>
      </c>
      <c r="E489" s="17">
        <v>0.26200000000000001</v>
      </c>
      <c r="F489" t="s">
        <v>4832</v>
      </c>
      <c r="G489">
        <v>85</v>
      </c>
      <c r="H489" t="s">
        <v>12411</v>
      </c>
      <c r="I489" t="s">
        <v>4835</v>
      </c>
      <c r="J489" s="22">
        <v>45482</v>
      </c>
      <c r="K489">
        <v>0</v>
      </c>
      <c r="L489">
        <v>4</v>
      </c>
      <c r="M489" s="21">
        <f ca="1">LEFT(Music_Data[[#This Row],[Duration_minutes]],3)/60</f>
        <v>3.1666666666666665</v>
      </c>
      <c r="N489" s="17">
        <v>2.35E-2</v>
      </c>
      <c r="O489" s="17" t="str">
        <f ca="1">PROPER(Music_Data[[#This Row],[Playlist_subgenre2]])</f>
        <v>Desi</v>
      </c>
    </row>
    <row r="490" spans="1:15">
      <c r="A490" s="17">
        <v>0.85899999999999999</v>
      </c>
      <c r="B490" s="21">
        <v>129</v>
      </c>
      <c r="C490" s="16">
        <v>0.77</v>
      </c>
      <c r="D490" s="16" t="str">
        <f ca="1">PROPER(Music_Data[[#This Row],[Playlist_genre2]])</f>
        <v>Hip-Hop</v>
      </c>
      <c r="E490" s="17">
        <v>0.64</v>
      </c>
      <c r="F490" t="s">
        <v>2082</v>
      </c>
      <c r="G490">
        <v>85</v>
      </c>
      <c r="H490" t="s">
        <v>1852</v>
      </c>
      <c r="I490" t="s">
        <v>2088</v>
      </c>
      <c r="J490" s="22">
        <v>45593</v>
      </c>
      <c r="K490">
        <v>0</v>
      </c>
      <c r="L490">
        <v>10</v>
      </c>
      <c r="M490" s="21">
        <f ca="1">LEFT(Music_Data[[#This Row],[Duration_minutes]],3)/60</f>
        <v>3.45</v>
      </c>
      <c r="N490" s="17">
        <v>0.36199999999999999</v>
      </c>
      <c r="O490" s="17" t="str">
        <f ca="1">PROPER(Music_Data[[#This Row],[Playlist_subgenre2]])</f>
        <v>Modern</v>
      </c>
    </row>
    <row r="491" spans="1:15">
      <c r="A491" s="17">
        <v>0.65200000000000002</v>
      </c>
      <c r="B491" s="21">
        <v>141</v>
      </c>
      <c r="C491" s="16">
        <v>0.47</v>
      </c>
      <c r="D491" s="16" t="str">
        <f ca="1">PROPER(Music_Data[[#This Row],[Playlist_genre2]])</f>
        <v>Hip-Hop</v>
      </c>
      <c r="E491" s="17">
        <v>0.104</v>
      </c>
      <c r="F491" t="s">
        <v>11583</v>
      </c>
      <c r="G491">
        <v>84</v>
      </c>
      <c r="H491" t="s">
        <v>11488</v>
      </c>
      <c r="I491" t="s">
        <v>11586</v>
      </c>
      <c r="J491" s="22">
        <v>45156</v>
      </c>
      <c r="K491">
        <v>1</v>
      </c>
      <c r="L491">
        <v>2</v>
      </c>
      <c r="M491" s="21">
        <f ca="1">LEFT(Music_Data[[#This Row],[Duration_minutes]],3)/60</f>
        <v>3.1666666666666665</v>
      </c>
      <c r="N491" s="17">
        <v>8.3099999999999993E-2</v>
      </c>
      <c r="O491" s="17" t="str">
        <f ca="1">PROPER(Music_Data[[#This Row],[Playlist_subgenre2]])</f>
        <v>Chill</v>
      </c>
    </row>
    <row r="492" spans="1:15">
      <c r="A492" s="17">
        <v>0.55200000000000005</v>
      </c>
      <c r="B492" s="21">
        <v>144</v>
      </c>
      <c r="C492" s="16">
        <v>0.64</v>
      </c>
      <c r="D492" s="16" t="str">
        <f ca="1">PROPER(Music_Data[[#This Row],[Playlist_genre2]])</f>
        <v>Hip-Hop</v>
      </c>
      <c r="E492" s="17">
        <v>0.112</v>
      </c>
      <c r="F492" t="s">
        <v>2070</v>
      </c>
      <c r="G492">
        <v>84</v>
      </c>
      <c r="H492" t="s">
        <v>1852</v>
      </c>
      <c r="I492" t="s">
        <v>2076</v>
      </c>
      <c r="J492" s="22">
        <v>45373</v>
      </c>
      <c r="K492">
        <v>1</v>
      </c>
      <c r="L492">
        <v>2</v>
      </c>
      <c r="M492" s="21">
        <f ca="1">LEFT(Music_Data[[#This Row],[Duration_minutes]],3)/60</f>
        <v>3.8</v>
      </c>
      <c r="N492" s="17">
        <v>2.1499999999999998E-2</v>
      </c>
      <c r="O492" s="17" t="str">
        <f ca="1">PROPER(Music_Data[[#This Row],[Playlist_subgenre2]])</f>
        <v>Modern</v>
      </c>
    </row>
    <row r="493" spans="1:15">
      <c r="A493" s="17">
        <v>0.55200000000000005</v>
      </c>
      <c r="B493" s="21">
        <v>144</v>
      </c>
      <c r="C493" s="16">
        <v>0.64</v>
      </c>
      <c r="D493" s="16" t="str">
        <f ca="1">PROPER(Music_Data[[#This Row],[Playlist_genre2]])</f>
        <v>Hip-Hop</v>
      </c>
      <c r="E493" s="17">
        <v>0.112</v>
      </c>
      <c r="F493" t="s">
        <v>2070</v>
      </c>
      <c r="G493">
        <v>84</v>
      </c>
      <c r="H493" t="s">
        <v>2202</v>
      </c>
      <c r="I493" t="s">
        <v>2076</v>
      </c>
      <c r="J493" s="22">
        <v>45373</v>
      </c>
      <c r="K493">
        <v>1</v>
      </c>
      <c r="L493">
        <v>2</v>
      </c>
      <c r="M493" s="21">
        <f ca="1">LEFT(Music_Data[[#This Row],[Duration_minutes]],3)/60</f>
        <v>3.8</v>
      </c>
      <c r="N493" s="17">
        <v>2.1499999999999998E-2</v>
      </c>
      <c r="O493" s="17" t="str">
        <f ca="1">PROPER(Music_Data[[#This Row],[Playlist_subgenre2]])</f>
        <v>Gangster</v>
      </c>
    </row>
    <row r="494" spans="1:15">
      <c r="A494" s="17">
        <v>0.57399999999999995</v>
      </c>
      <c r="B494" s="21">
        <v>120</v>
      </c>
      <c r="C494" s="16">
        <v>0.66900000000000004</v>
      </c>
      <c r="D494" s="16" t="str">
        <f ca="1">PROPER(Music_Data[[#This Row],[Playlist_genre2]])</f>
        <v>Hip-Hop</v>
      </c>
      <c r="E494" s="17">
        <v>0.27300000000000002</v>
      </c>
      <c r="F494" t="s">
        <v>11591</v>
      </c>
      <c r="G494">
        <v>84</v>
      </c>
      <c r="H494" t="s">
        <v>11488</v>
      </c>
      <c r="I494" t="s">
        <v>11597</v>
      </c>
      <c r="J494" s="22">
        <v>43413</v>
      </c>
      <c r="K494">
        <v>0</v>
      </c>
      <c r="L494">
        <v>4</v>
      </c>
      <c r="M494" s="21">
        <f ca="1">LEFT(Music_Data[[#This Row],[Duration_minutes]],3)/60</f>
        <v>3.2666666666666666</v>
      </c>
      <c r="N494" s="17">
        <v>1.7500000000000002E-2</v>
      </c>
      <c r="O494" s="17" t="str">
        <f ca="1">PROPER(Music_Data[[#This Row],[Playlist_subgenre2]])</f>
        <v>Chill</v>
      </c>
    </row>
    <row r="495" spans="1:15">
      <c r="A495" s="17">
        <v>0.251</v>
      </c>
      <c r="B495" s="21">
        <v>139</v>
      </c>
      <c r="C495" s="16">
        <v>0.746</v>
      </c>
      <c r="D495" s="16" t="str">
        <f ca="1">PROPER(Music_Data[[#This Row],[Playlist_genre2]])</f>
        <v>Hip-Hop</v>
      </c>
      <c r="E495" s="17">
        <v>0.18</v>
      </c>
      <c r="F495" t="s">
        <v>4940</v>
      </c>
      <c r="G495">
        <v>84</v>
      </c>
      <c r="H495" t="s">
        <v>11488</v>
      </c>
      <c r="I495" t="s">
        <v>11688</v>
      </c>
      <c r="J495" s="22">
        <v>42972</v>
      </c>
      <c r="K495">
        <v>0</v>
      </c>
      <c r="L495">
        <v>11</v>
      </c>
      <c r="M495" s="21">
        <f ca="1">LEFT(Music_Data[[#This Row],[Duration_minutes]],3)/60</f>
        <v>2</v>
      </c>
      <c r="N495" s="17">
        <v>0.78200000000000003</v>
      </c>
      <c r="O495" s="17" t="str">
        <f ca="1">PROPER(Music_Data[[#This Row],[Playlist_subgenre2]])</f>
        <v>Chill</v>
      </c>
    </row>
    <row r="496" spans="1:15">
      <c r="A496" s="17">
        <v>0.53300000000000003</v>
      </c>
      <c r="B496" s="21">
        <v>131</v>
      </c>
      <c r="C496" s="16">
        <v>0.79700000000000004</v>
      </c>
      <c r="D496" s="16" t="str">
        <f ca="1">PROPER(Music_Data[[#This Row],[Playlist_genre2]])</f>
        <v>Hip-Hop</v>
      </c>
      <c r="E496" s="17">
        <v>0.32900000000000001</v>
      </c>
      <c r="F496" t="s">
        <v>11723</v>
      </c>
      <c r="G496">
        <v>84</v>
      </c>
      <c r="H496" t="s">
        <v>11488</v>
      </c>
      <c r="I496" t="s">
        <v>11728</v>
      </c>
      <c r="J496" s="22">
        <v>42972</v>
      </c>
      <c r="K496">
        <v>0</v>
      </c>
      <c r="L496">
        <v>0</v>
      </c>
      <c r="M496" s="21">
        <f ca="1">LEFT(Music_Data[[#This Row],[Duration_minutes]],3)/60</f>
        <v>2.4333333333333331</v>
      </c>
      <c r="N496" s="17">
        <v>1.72E-2</v>
      </c>
      <c r="O496" s="17" t="str">
        <f ca="1">PROPER(Music_Data[[#This Row],[Playlist_subgenre2]])</f>
        <v>Chill</v>
      </c>
    </row>
    <row r="497" spans="1:15">
      <c r="A497" s="17">
        <v>0.67600000000000005</v>
      </c>
      <c r="B497" s="21">
        <v>162</v>
      </c>
      <c r="C497" s="16">
        <v>0.81399999999999995</v>
      </c>
      <c r="D497" s="16" t="str">
        <f ca="1">PROPER(Music_Data[[#This Row],[Playlist_genre2]])</f>
        <v>Hip-Hop</v>
      </c>
      <c r="E497" s="17">
        <v>0.312</v>
      </c>
      <c r="F497" t="s">
        <v>2701</v>
      </c>
      <c r="G497">
        <v>83</v>
      </c>
      <c r="H497" t="s">
        <v>2607</v>
      </c>
      <c r="I497" t="s">
        <v>2707</v>
      </c>
      <c r="J497" s="22">
        <v>45373</v>
      </c>
      <c r="K497">
        <v>0</v>
      </c>
      <c r="L497">
        <v>11</v>
      </c>
      <c r="M497" s="21">
        <f ca="1">LEFT(Music_Data[[#This Row],[Duration_minutes]],3)/60</f>
        <v>4.45</v>
      </c>
      <c r="N497" s="17">
        <v>7.0899999999999999E-3</v>
      </c>
      <c r="O497" s="17" t="str">
        <f ca="1">PROPER(Music_Data[[#This Row],[Playlist_subgenre2]])</f>
        <v>Trap</v>
      </c>
    </row>
    <row r="498" spans="1:15">
      <c r="A498" s="17">
        <v>0.52900000000000003</v>
      </c>
      <c r="B498" s="21">
        <v>161</v>
      </c>
      <c r="C498" s="16">
        <v>0.67100000000000004</v>
      </c>
      <c r="D498" s="16" t="str">
        <f ca="1">PROPER(Music_Data[[#This Row],[Playlist_genre2]])</f>
        <v>Hip-Hop</v>
      </c>
      <c r="E498" s="17">
        <v>0.20300000000000001</v>
      </c>
      <c r="F498" t="s">
        <v>2153</v>
      </c>
      <c r="G498">
        <v>83</v>
      </c>
      <c r="H498" t="s">
        <v>12170</v>
      </c>
      <c r="I498" t="s">
        <v>7009</v>
      </c>
      <c r="J498" s="22">
        <v>43444</v>
      </c>
      <c r="K498">
        <v>1</v>
      </c>
      <c r="L498">
        <v>0</v>
      </c>
      <c r="M498" s="21">
        <f ca="1">LEFT(Music_Data[[#This Row],[Duration_minutes]],3)/60</f>
        <v>2.75</v>
      </c>
      <c r="N498" s="17">
        <v>7.6899999999999996E-2</v>
      </c>
      <c r="O498" s="17" t="str">
        <f ca="1">PROPER(Music_Data[[#This Row],[Playlist_subgenre2]])</f>
        <v>Melodic</v>
      </c>
    </row>
    <row r="499" spans="1:15">
      <c r="A499" s="17">
        <v>0.628</v>
      </c>
      <c r="B499" s="21">
        <v>904</v>
      </c>
      <c r="C499" s="16">
        <v>0.63900000000000001</v>
      </c>
      <c r="D499" s="16" t="str">
        <f ca="1">PROPER(Music_Data[[#This Row],[Playlist_genre2]])</f>
        <v>Hip-Hop</v>
      </c>
      <c r="E499" s="17">
        <v>0.43</v>
      </c>
      <c r="F499" t="s">
        <v>11644</v>
      </c>
      <c r="G499">
        <v>83</v>
      </c>
      <c r="H499" t="s">
        <v>11488</v>
      </c>
      <c r="I499" t="s">
        <v>11650</v>
      </c>
      <c r="J499" s="22">
        <v>39336</v>
      </c>
      <c r="K499">
        <v>0</v>
      </c>
      <c r="L499">
        <v>6</v>
      </c>
      <c r="M499" s="21">
        <f ca="1">LEFT(Music_Data[[#This Row],[Duration_minutes]],3)/60</f>
        <v>3.95</v>
      </c>
      <c r="N499" s="17">
        <v>3.8100000000000002E-2</v>
      </c>
      <c r="O499" s="17" t="str">
        <f ca="1">PROPER(Music_Data[[#This Row],[Playlist_subgenre2]])</f>
        <v>Chill</v>
      </c>
    </row>
    <row r="500" spans="1:15">
      <c r="A500" s="17">
        <v>0.67800000000000005</v>
      </c>
      <c r="B500" s="21">
        <v>117</v>
      </c>
      <c r="C500" s="16">
        <v>0.59499999999999997</v>
      </c>
      <c r="D500" s="16" t="str">
        <f ca="1">PROPER(Music_Data[[#This Row],[Playlist_genre2]])</f>
        <v>Hip-Hop</v>
      </c>
      <c r="E500" s="17">
        <v>0.25900000000000001</v>
      </c>
      <c r="F500" t="s">
        <v>11705</v>
      </c>
      <c r="G500">
        <v>83</v>
      </c>
      <c r="H500" t="s">
        <v>11488</v>
      </c>
      <c r="I500" t="s">
        <v>11710</v>
      </c>
      <c r="J500" s="22">
        <v>41456</v>
      </c>
      <c r="K500">
        <v>1</v>
      </c>
      <c r="L500">
        <v>9</v>
      </c>
      <c r="M500" s="21">
        <f ca="1">LEFT(Music_Data[[#This Row],[Duration_minutes]],3)/60</f>
        <v>16.533333333333335</v>
      </c>
      <c r="N500" s="17">
        <v>1.9900000000000001E-2</v>
      </c>
      <c r="O500" s="17" t="str">
        <f ca="1">PROPER(Music_Data[[#This Row],[Playlist_subgenre2]])</f>
        <v>Chill</v>
      </c>
    </row>
    <row r="501" spans="1:15">
      <c r="A501" s="17">
        <v>0.76300000000000001</v>
      </c>
      <c r="B501" s="21">
        <v>120</v>
      </c>
      <c r="C501" s="16">
        <v>0.69499999999999995</v>
      </c>
      <c r="D501" s="16" t="str">
        <f ca="1">PROPER(Music_Data[[#This Row],[Playlist_genre2]])</f>
        <v>Hip-Hop</v>
      </c>
      <c r="E501" s="17">
        <v>0.55100000000000005</v>
      </c>
      <c r="F501" t="s">
        <v>7220</v>
      </c>
      <c r="G501">
        <v>83</v>
      </c>
      <c r="H501" t="s">
        <v>12170</v>
      </c>
      <c r="I501" t="s">
        <v>7226</v>
      </c>
      <c r="J501" s="22">
        <v>43714</v>
      </c>
      <c r="K501">
        <v>1</v>
      </c>
      <c r="L501">
        <v>0</v>
      </c>
      <c r="M501" s="21">
        <f ca="1">LEFT(Music_Data[[#This Row],[Duration_minutes]],3)/60</f>
        <v>3.5833333333333335</v>
      </c>
      <c r="N501" s="17">
        <v>0.189</v>
      </c>
      <c r="O501" s="17" t="str">
        <f ca="1">PROPER(Music_Data[[#This Row],[Playlist_subgenre2]])</f>
        <v>Melodic</v>
      </c>
    </row>
    <row r="502" spans="1:15">
      <c r="A502" s="17">
        <v>0.66800000000000004</v>
      </c>
      <c r="B502" s="21">
        <v>879</v>
      </c>
      <c r="C502" s="16">
        <v>0.57299999999999995</v>
      </c>
      <c r="D502" s="16" t="str">
        <f ca="1">PROPER(Music_Data[[#This Row],[Playlist_genre2]])</f>
        <v>Hip-Hop</v>
      </c>
      <c r="E502" s="17">
        <v>0.14499999999999999</v>
      </c>
      <c r="F502" t="s">
        <v>2930</v>
      </c>
      <c r="G502">
        <v>82</v>
      </c>
      <c r="H502" t="s">
        <v>2607</v>
      </c>
      <c r="I502" t="s">
        <v>2936</v>
      </c>
      <c r="J502" s="22">
        <v>44897</v>
      </c>
      <c r="K502">
        <v>0</v>
      </c>
      <c r="L502">
        <v>7</v>
      </c>
      <c r="M502" s="21">
        <f ca="1">LEFT(Music_Data[[#This Row],[Duration_minutes]],3)/60</f>
        <v>3.3166666666666669</v>
      </c>
      <c r="N502" s="17">
        <v>0.189</v>
      </c>
      <c r="O502" s="17" t="str">
        <f ca="1">PROPER(Music_Data[[#This Row],[Playlist_subgenre2]])</f>
        <v>Trap</v>
      </c>
    </row>
    <row r="503" spans="1:15">
      <c r="A503" s="17">
        <v>0.621</v>
      </c>
      <c r="B503" s="21">
        <v>119</v>
      </c>
      <c r="C503" s="16">
        <v>0.45500000000000002</v>
      </c>
      <c r="D503" s="16" t="str">
        <f ca="1">PROPER(Music_Data[[#This Row],[Playlist_genre2]])</f>
        <v>Hip-Hop</v>
      </c>
      <c r="E503" s="17">
        <v>0.28000000000000003</v>
      </c>
      <c r="F503" t="s">
        <v>2919</v>
      </c>
      <c r="G503">
        <v>82</v>
      </c>
      <c r="H503" t="s">
        <v>11488</v>
      </c>
      <c r="I503" t="s">
        <v>11542</v>
      </c>
      <c r="J503" s="22">
        <v>45135</v>
      </c>
      <c r="K503">
        <v>0</v>
      </c>
      <c r="L503">
        <v>0</v>
      </c>
      <c r="M503" s="21">
        <f ca="1">LEFT(Music_Data[[#This Row],[Duration_minutes]],3)/60</f>
        <v>4.1833333333333336</v>
      </c>
      <c r="N503" s="17">
        <v>0.65100000000000002</v>
      </c>
      <c r="O503" s="17" t="str">
        <f ca="1">PROPER(Music_Data[[#This Row],[Playlist_subgenre2]])</f>
        <v>Chill</v>
      </c>
    </row>
    <row r="504" spans="1:15">
      <c r="A504" s="17">
        <v>0.76400000000000001</v>
      </c>
      <c r="B504" s="21">
        <v>140</v>
      </c>
      <c r="C504" s="16">
        <v>0.88200000000000001</v>
      </c>
      <c r="D504" s="16" t="str">
        <f ca="1">PROPER(Music_Data[[#This Row],[Playlist_genre2]])</f>
        <v>Hip-Hop</v>
      </c>
      <c r="E504" s="17">
        <v>0.88600000000000001</v>
      </c>
      <c r="F504" t="s">
        <v>2212</v>
      </c>
      <c r="G504">
        <v>81</v>
      </c>
      <c r="H504" t="s">
        <v>2202</v>
      </c>
      <c r="I504" t="s">
        <v>2215</v>
      </c>
      <c r="J504" s="22">
        <v>45435</v>
      </c>
      <c r="K504">
        <v>1</v>
      </c>
      <c r="L504">
        <v>11</v>
      </c>
      <c r="M504" s="21">
        <f ca="1">LEFT(Music_Data[[#This Row],[Duration_minutes]],3)/60</f>
        <v>2.3333333333333335</v>
      </c>
      <c r="N504" s="17">
        <v>0.35899999999999999</v>
      </c>
      <c r="O504" s="17" t="str">
        <f ca="1">PROPER(Music_Data[[#This Row],[Playlist_subgenre2]])</f>
        <v>Gangster</v>
      </c>
    </row>
    <row r="505" spans="1:15">
      <c r="A505" s="17">
        <v>0.77500000000000002</v>
      </c>
      <c r="B505" s="21">
        <v>934</v>
      </c>
      <c r="C505" s="16">
        <v>0.81599999999999995</v>
      </c>
      <c r="D505" s="16" t="str">
        <f ca="1">PROPER(Music_Data[[#This Row],[Playlist_genre2]])</f>
        <v>Hip-Hop</v>
      </c>
      <c r="E505" s="17">
        <v>0.52700000000000002</v>
      </c>
      <c r="F505" t="s">
        <v>5785</v>
      </c>
      <c r="G505">
        <v>81</v>
      </c>
      <c r="H505" t="s">
        <v>5837</v>
      </c>
      <c r="I505" t="s">
        <v>5840</v>
      </c>
      <c r="J505" s="22">
        <v>36480</v>
      </c>
      <c r="K505">
        <v>1</v>
      </c>
      <c r="L505">
        <v>11</v>
      </c>
      <c r="M505" s="21">
        <f ca="1">LEFT(Music_Data[[#This Row],[Duration_minutes]],3)/60</f>
        <v>4.5</v>
      </c>
      <c r="N505" s="17">
        <v>0.16</v>
      </c>
      <c r="O505" s="17" t="str">
        <f ca="1">PROPER(Music_Data[[#This Row],[Playlist_subgenre2]])</f>
        <v>90S</v>
      </c>
    </row>
    <row r="506" spans="1:15">
      <c r="A506" s="17">
        <v>0.434</v>
      </c>
      <c r="B506" s="21">
        <v>150</v>
      </c>
      <c r="C506" s="16">
        <v>0.83299999999999996</v>
      </c>
      <c r="D506" s="16" t="str">
        <f ca="1">PROPER(Music_Data[[#This Row],[Playlist_genre2]])</f>
        <v>Hip-Hop</v>
      </c>
      <c r="E506" s="17">
        <v>0.28100000000000003</v>
      </c>
      <c r="F506" t="s">
        <v>1883</v>
      </c>
      <c r="G506">
        <v>81</v>
      </c>
      <c r="H506" t="s">
        <v>2202</v>
      </c>
      <c r="I506" t="s">
        <v>2565</v>
      </c>
      <c r="J506" s="22">
        <v>42916</v>
      </c>
      <c r="K506">
        <v>1</v>
      </c>
      <c r="L506">
        <v>2</v>
      </c>
      <c r="M506" s="21">
        <f ca="1">LEFT(Music_Data[[#This Row],[Duration_minutes]],3)/60</f>
        <v>3.4</v>
      </c>
      <c r="N506" s="17">
        <v>1.0200000000000001E-2</v>
      </c>
      <c r="O506" s="17" t="str">
        <f ca="1">PROPER(Music_Data[[#This Row],[Playlist_subgenre2]])</f>
        <v>Gangster</v>
      </c>
    </row>
    <row r="507" spans="1:15">
      <c r="A507" s="17">
        <v>0.434</v>
      </c>
      <c r="B507" s="21">
        <v>150</v>
      </c>
      <c r="C507" s="16">
        <v>0.83299999999999996</v>
      </c>
      <c r="D507" s="16" t="str">
        <f ca="1">PROPER(Music_Data[[#This Row],[Playlist_genre2]])</f>
        <v>Hip-Hop</v>
      </c>
      <c r="E507" s="17">
        <v>0.28100000000000003</v>
      </c>
      <c r="F507" t="s">
        <v>1883</v>
      </c>
      <c r="G507">
        <v>81</v>
      </c>
      <c r="H507" t="s">
        <v>2607</v>
      </c>
      <c r="I507" t="s">
        <v>2565</v>
      </c>
      <c r="J507" s="22">
        <v>42916</v>
      </c>
      <c r="K507">
        <v>1</v>
      </c>
      <c r="L507">
        <v>2</v>
      </c>
      <c r="M507" s="21">
        <f ca="1">LEFT(Music_Data[[#This Row],[Duration_minutes]],3)/60</f>
        <v>3.4</v>
      </c>
      <c r="N507" s="17">
        <v>1.0200000000000001E-2</v>
      </c>
      <c r="O507" s="17" t="str">
        <f ca="1">PROPER(Music_Data[[#This Row],[Playlist_subgenre2]])</f>
        <v>Trap</v>
      </c>
    </row>
    <row r="508" spans="1:15">
      <c r="A508" s="17">
        <v>0.75</v>
      </c>
      <c r="B508" s="21">
        <v>155</v>
      </c>
      <c r="C508" s="16">
        <v>0.73199999999999998</v>
      </c>
      <c r="D508" s="16" t="str">
        <f ca="1">PROPER(Music_Data[[#This Row],[Playlist_genre2]])</f>
        <v>Hip-Hop</v>
      </c>
      <c r="E508" s="17">
        <v>0.40100000000000002</v>
      </c>
      <c r="F508" t="s">
        <v>2003</v>
      </c>
      <c r="G508">
        <v>81</v>
      </c>
      <c r="H508" t="s">
        <v>12170</v>
      </c>
      <c r="I508" t="s">
        <v>5079</v>
      </c>
      <c r="J508" s="22">
        <v>42972</v>
      </c>
      <c r="K508">
        <v>0</v>
      </c>
      <c r="L508">
        <v>11</v>
      </c>
      <c r="M508" s="21">
        <f ca="1">LEFT(Music_Data[[#This Row],[Duration_minutes]],3)/60</f>
        <v>3.0333333333333332</v>
      </c>
      <c r="N508" s="17">
        <v>2.64E-3</v>
      </c>
      <c r="O508" s="17" t="str">
        <f ca="1">PROPER(Music_Data[[#This Row],[Playlist_subgenre2]])</f>
        <v>Melodic</v>
      </c>
    </row>
    <row r="509" spans="1:15">
      <c r="A509" s="17">
        <v>0.66300000000000003</v>
      </c>
      <c r="B509" s="21">
        <v>143</v>
      </c>
      <c r="C509" s="16">
        <v>0.76</v>
      </c>
      <c r="D509" s="16" t="str">
        <f ca="1">PROPER(Music_Data[[#This Row],[Playlist_genre2]])</f>
        <v>Hip-Hop</v>
      </c>
      <c r="E509" s="17">
        <v>0.20899999999999999</v>
      </c>
      <c r="F509" t="s">
        <v>1981</v>
      </c>
      <c r="G509">
        <v>81</v>
      </c>
      <c r="H509" t="s">
        <v>1852</v>
      </c>
      <c r="I509" t="s">
        <v>1985</v>
      </c>
      <c r="J509" s="22">
        <v>45548</v>
      </c>
      <c r="K509">
        <v>0</v>
      </c>
      <c r="L509">
        <v>9</v>
      </c>
      <c r="M509" s="21">
        <f ca="1">LEFT(Music_Data[[#This Row],[Duration_minutes]],3)/60</f>
        <v>2.4666666666666668</v>
      </c>
      <c r="N509" s="17">
        <v>0.109</v>
      </c>
      <c r="O509" s="17" t="str">
        <f ca="1">PROPER(Music_Data[[#This Row],[Playlist_subgenre2]])</f>
        <v>Modern</v>
      </c>
    </row>
    <row r="510" spans="1:15">
      <c r="A510" s="17">
        <v>0.73</v>
      </c>
      <c r="B510" s="21">
        <v>155</v>
      </c>
      <c r="C510" s="16">
        <v>0.83399999999999996</v>
      </c>
      <c r="D510" s="16" t="str">
        <f ca="1">PROPER(Music_Data[[#This Row],[Playlist_genre2]])</f>
        <v>Hip-Hop</v>
      </c>
      <c r="E510" s="17">
        <v>0.44600000000000001</v>
      </c>
      <c r="F510" t="s">
        <v>2919</v>
      </c>
      <c r="G510">
        <v>81</v>
      </c>
      <c r="H510" t="s">
        <v>2607</v>
      </c>
      <c r="I510" t="s">
        <v>2926</v>
      </c>
      <c r="J510" s="22">
        <v>43315</v>
      </c>
      <c r="K510">
        <v>1</v>
      </c>
      <c r="L510">
        <v>8</v>
      </c>
      <c r="M510" s="21">
        <f ca="1">LEFT(Music_Data[[#This Row],[Duration_minutes]],3)/60</f>
        <v>5.2</v>
      </c>
      <c r="N510" s="17">
        <v>5.13E-3</v>
      </c>
      <c r="O510" s="17" t="str">
        <f ca="1">PROPER(Music_Data[[#This Row],[Playlist_subgenre2]])</f>
        <v>Trap</v>
      </c>
    </row>
    <row r="511" spans="1:15">
      <c r="A511" s="17">
        <v>0.56999999999999995</v>
      </c>
      <c r="B511" s="21">
        <v>129</v>
      </c>
      <c r="C511" s="16">
        <v>0.73399999999999999</v>
      </c>
      <c r="D511" s="16" t="str">
        <f ca="1">PROPER(Music_Data[[#This Row],[Playlist_genre2]])</f>
        <v>Hip-Hop</v>
      </c>
      <c r="E511" s="17">
        <v>0.68899999999999995</v>
      </c>
      <c r="F511" t="s">
        <v>4940</v>
      </c>
      <c r="G511">
        <v>81</v>
      </c>
      <c r="H511" t="s">
        <v>11488</v>
      </c>
      <c r="I511" t="s">
        <v>11611</v>
      </c>
      <c r="J511" s="22">
        <v>42972</v>
      </c>
      <c r="K511">
        <v>0</v>
      </c>
      <c r="L511">
        <v>7</v>
      </c>
      <c r="M511" s="21">
        <f ca="1">LEFT(Music_Data[[#This Row],[Duration_minutes]],3)/60</f>
        <v>15.9</v>
      </c>
      <c r="N511" s="17">
        <v>0.84699999999999998</v>
      </c>
      <c r="O511" s="17" t="str">
        <f ca="1">PROPER(Music_Data[[#This Row],[Playlist_subgenre2]])</f>
        <v>Chill</v>
      </c>
    </row>
    <row r="512" spans="1:15">
      <c r="A512" s="17">
        <v>0.73299999999999998</v>
      </c>
      <c r="B512" s="21">
        <v>130</v>
      </c>
      <c r="C512" s="16">
        <v>0.84699999999999998</v>
      </c>
      <c r="D512" s="16" t="str">
        <f ca="1">PROPER(Music_Data[[#This Row],[Playlist_genre2]])</f>
        <v>Hip-Hop</v>
      </c>
      <c r="E512" s="17">
        <v>0.20200000000000001</v>
      </c>
      <c r="F512" t="s">
        <v>2391</v>
      </c>
      <c r="G512">
        <v>80</v>
      </c>
      <c r="H512" t="s">
        <v>2202</v>
      </c>
      <c r="I512" t="s">
        <v>2515</v>
      </c>
      <c r="J512" s="22">
        <v>44106</v>
      </c>
      <c r="K512">
        <v>0</v>
      </c>
      <c r="L512">
        <v>10</v>
      </c>
      <c r="M512" s="21">
        <f ca="1">LEFT(Music_Data[[#This Row],[Duration_minutes]],3)/60</f>
        <v>3.2166666666666668</v>
      </c>
      <c r="N512" s="17">
        <v>5.7400000000000003E-3</v>
      </c>
      <c r="O512" s="17" t="str">
        <f ca="1">PROPER(Music_Data[[#This Row],[Playlist_subgenre2]])</f>
        <v>Gangster</v>
      </c>
    </row>
    <row r="513" spans="1:15">
      <c r="A513" s="17">
        <v>0.46300000000000002</v>
      </c>
      <c r="B513" s="21">
        <v>111</v>
      </c>
      <c r="C513" s="16">
        <v>0.80900000000000005</v>
      </c>
      <c r="D513" s="16" t="str">
        <f ca="1">PROPER(Music_Data[[#This Row],[Playlist_genre2]])</f>
        <v>Hip-Hop</v>
      </c>
      <c r="E513" s="17">
        <v>0.36399999999999999</v>
      </c>
      <c r="F513" t="s">
        <v>1940</v>
      </c>
      <c r="G513">
        <v>80</v>
      </c>
      <c r="H513" t="s">
        <v>11488</v>
      </c>
      <c r="I513" t="s">
        <v>11667</v>
      </c>
      <c r="J513" s="22">
        <v>42812</v>
      </c>
      <c r="K513">
        <v>1</v>
      </c>
      <c r="L513">
        <v>11</v>
      </c>
      <c r="M513" s="21">
        <f ca="1">LEFT(Music_Data[[#This Row],[Duration_minutes]],3)/60</f>
        <v>4.9666666666666668</v>
      </c>
      <c r="N513" s="17">
        <v>0.25600000000000001</v>
      </c>
      <c r="O513" s="17" t="str">
        <f ca="1">PROPER(Music_Data[[#This Row],[Playlist_subgenre2]])</f>
        <v>Chill</v>
      </c>
    </row>
    <row r="514" spans="1:15">
      <c r="A514" s="17">
        <v>0.67300000000000004</v>
      </c>
      <c r="B514" s="21">
        <v>165</v>
      </c>
      <c r="C514" s="16">
        <v>0.52900000000000003</v>
      </c>
      <c r="D514" s="16" t="str">
        <f ca="1">PROPER(Music_Data[[#This Row],[Playlist_genre2]])</f>
        <v>Hip-Hop</v>
      </c>
      <c r="E514" s="17">
        <v>0.36599999999999999</v>
      </c>
      <c r="F514" t="s">
        <v>2456</v>
      </c>
      <c r="G514">
        <v>80</v>
      </c>
      <c r="H514" t="s">
        <v>2202</v>
      </c>
      <c r="I514" t="s">
        <v>2463</v>
      </c>
      <c r="J514" s="22">
        <v>44729</v>
      </c>
      <c r="K514">
        <v>1</v>
      </c>
      <c r="L514">
        <v>0</v>
      </c>
      <c r="M514" s="21">
        <f ca="1">LEFT(Music_Data[[#This Row],[Duration_minutes]],3)/60</f>
        <v>3.6333333333333333</v>
      </c>
      <c r="N514" s="17">
        <v>3.0699999999999998E-4</v>
      </c>
      <c r="O514" s="17" t="str">
        <f ca="1">PROPER(Music_Data[[#This Row],[Playlist_subgenre2]])</f>
        <v>Gangster</v>
      </c>
    </row>
    <row r="515" spans="1:15">
      <c r="A515" s="17">
        <v>0.48599999999999999</v>
      </c>
      <c r="B515" s="21">
        <v>110</v>
      </c>
      <c r="C515" s="16">
        <v>0.78400000000000003</v>
      </c>
      <c r="D515" s="16" t="str">
        <f ca="1">PROPER(Music_Data[[#This Row],[Playlist_genre2]])</f>
        <v>Hip-Hop</v>
      </c>
      <c r="E515" s="17">
        <v>8.9399999999999993E-2</v>
      </c>
      <c r="F515" t="s">
        <v>1883</v>
      </c>
      <c r="G515">
        <v>80</v>
      </c>
      <c r="H515" t="s">
        <v>2607</v>
      </c>
      <c r="I515" t="s">
        <v>2872</v>
      </c>
      <c r="J515" s="22">
        <v>42943</v>
      </c>
      <c r="K515">
        <v>0</v>
      </c>
      <c r="L515">
        <v>5</v>
      </c>
      <c r="M515" s="21">
        <f ca="1">LEFT(Music_Data[[#This Row],[Duration_minutes]],3)/60</f>
        <v>4.416666666666667</v>
      </c>
      <c r="N515" s="17">
        <v>5.3800000000000001E-2</v>
      </c>
      <c r="O515" s="17" t="str">
        <f ca="1">PROPER(Music_Data[[#This Row],[Playlist_subgenre2]])</f>
        <v>Trap</v>
      </c>
    </row>
    <row r="516" spans="1:15">
      <c r="A516" s="17">
        <v>0.61099999999999999</v>
      </c>
      <c r="B516" s="21">
        <v>134</v>
      </c>
      <c r="C516" s="16">
        <v>0.71099999999999997</v>
      </c>
      <c r="D516" s="16" t="str">
        <f ca="1">PROPER(Music_Data[[#This Row],[Playlist_genre2]])</f>
        <v>Hip-Hop</v>
      </c>
      <c r="E516" s="17">
        <v>0.14399999999999999</v>
      </c>
      <c r="F516" t="s">
        <v>2499</v>
      </c>
      <c r="G516">
        <v>79</v>
      </c>
      <c r="H516" t="s">
        <v>2202</v>
      </c>
      <c r="I516" t="s">
        <v>2506</v>
      </c>
      <c r="J516" s="22">
        <v>44449</v>
      </c>
      <c r="K516">
        <v>1</v>
      </c>
      <c r="L516">
        <v>1</v>
      </c>
      <c r="M516" s="21">
        <f ca="1">LEFT(Music_Data[[#This Row],[Duration_minutes]],3)/60</f>
        <v>4.2</v>
      </c>
      <c r="N516" s="17">
        <v>5.8799999999999998E-3</v>
      </c>
      <c r="O516" s="17" t="str">
        <f ca="1">PROPER(Music_Data[[#This Row],[Playlist_subgenre2]])</f>
        <v>Gangster</v>
      </c>
    </row>
    <row r="517" spans="1:15">
      <c r="A517" s="17">
        <v>0.57399999999999995</v>
      </c>
      <c r="B517" s="21">
        <v>146</v>
      </c>
      <c r="C517" s="16">
        <v>0.69399999999999995</v>
      </c>
      <c r="D517" s="16" t="str">
        <f ca="1">PROPER(Music_Data[[#This Row],[Playlist_genre2]])</f>
        <v>Hip-Hop</v>
      </c>
      <c r="E517" s="17">
        <v>0.28599999999999998</v>
      </c>
      <c r="F517" t="s">
        <v>1940</v>
      </c>
      <c r="G517">
        <v>79</v>
      </c>
      <c r="H517" t="s">
        <v>1852</v>
      </c>
      <c r="I517" t="s">
        <v>2115</v>
      </c>
      <c r="J517" s="22">
        <v>45534</v>
      </c>
      <c r="K517">
        <v>0</v>
      </c>
      <c r="L517">
        <v>1</v>
      </c>
      <c r="M517" s="21">
        <f ca="1">LEFT(Music_Data[[#This Row],[Duration_minutes]],3)/60</f>
        <v>2.1</v>
      </c>
      <c r="N517" s="17">
        <v>0.193</v>
      </c>
      <c r="O517" s="17" t="str">
        <f ca="1">PROPER(Music_Data[[#This Row],[Playlist_subgenre2]])</f>
        <v>Modern</v>
      </c>
    </row>
    <row r="518" spans="1:15">
      <c r="A518" s="17">
        <v>0.747</v>
      </c>
      <c r="B518" s="21">
        <v>869</v>
      </c>
      <c r="C518" s="16">
        <v>0.67</v>
      </c>
      <c r="D518" s="16" t="str">
        <f ca="1">PROPER(Music_Data[[#This Row],[Playlist_genre2]])</f>
        <v>Hip-Hop</v>
      </c>
      <c r="E518" s="17">
        <v>0.91800000000000004</v>
      </c>
      <c r="F518" t="s">
        <v>11698</v>
      </c>
      <c r="G518">
        <v>79</v>
      </c>
      <c r="H518" t="s">
        <v>11488</v>
      </c>
      <c r="I518" t="s">
        <v>11703</v>
      </c>
      <c r="J518" s="22">
        <v>39336</v>
      </c>
      <c r="K518">
        <v>1</v>
      </c>
      <c r="L518">
        <v>1</v>
      </c>
      <c r="M518" s="21">
        <f ca="1">LEFT(Music_Data[[#This Row],[Duration_minutes]],3)/60</f>
        <v>3.3833333333333333</v>
      </c>
      <c r="N518" s="17">
        <v>0.33700000000000002</v>
      </c>
      <c r="O518" s="17" t="str">
        <f ca="1">PROPER(Music_Data[[#This Row],[Playlist_subgenre2]])</f>
        <v>Chill</v>
      </c>
    </row>
    <row r="519" spans="1:15">
      <c r="A519" s="17">
        <v>0.66200000000000003</v>
      </c>
      <c r="B519" s="21">
        <v>112</v>
      </c>
      <c r="C519" s="16">
        <v>0.89700000000000002</v>
      </c>
      <c r="D519" s="16" t="str">
        <f ca="1">PROPER(Music_Data[[#This Row],[Playlist_genre2]])</f>
        <v>Hip-Hop</v>
      </c>
      <c r="E519" s="17">
        <v>0.39</v>
      </c>
      <c r="F519" t="s">
        <v>2427</v>
      </c>
      <c r="G519">
        <v>79</v>
      </c>
      <c r="H519" t="s">
        <v>12170</v>
      </c>
      <c r="I519" t="s">
        <v>6876</v>
      </c>
      <c r="J519" s="22">
        <v>43378</v>
      </c>
      <c r="K519">
        <v>0</v>
      </c>
      <c r="L519">
        <v>1</v>
      </c>
      <c r="M519" s="21">
        <f ca="1">LEFT(Music_Data[[#This Row],[Duration_minutes]],3)/60</f>
        <v>2.4166666666666665</v>
      </c>
      <c r="N519" s="17">
        <v>8.5199999999999998E-2</v>
      </c>
      <c r="O519" s="17" t="str">
        <f ca="1">PROPER(Music_Data[[#This Row],[Playlist_subgenre2]])</f>
        <v>Melodic</v>
      </c>
    </row>
    <row r="520" spans="1:15">
      <c r="A520" s="17">
        <v>0.58299999999999996</v>
      </c>
      <c r="B520" s="21">
        <v>116</v>
      </c>
      <c r="C520" s="16">
        <v>0.70899999999999996</v>
      </c>
      <c r="D520" s="16" t="str">
        <f ca="1">PROPER(Music_Data[[#This Row],[Playlist_genre2]])</f>
        <v>Hip-Hop</v>
      </c>
      <c r="E520" s="17">
        <v>0.53300000000000003</v>
      </c>
      <c r="F520" t="s">
        <v>2271</v>
      </c>
      <c r="G520">
        <v>79</v>
      </c>
      <c r="H520" t="s">
        <v>2202</v>
      </c>
      <c r="I520" t="s">
        <v>2277</v>
      </c>
      <c r="J520" s="22">
        <v>44897</v>
      </c>
      <c r="K520">
        <v>0</v>
      </c>
      <c r="L520">
        <v>5</v>
      </c>
      <c r="M520" s="21">
        <f ca="1">LEFT(Music_Data[[#This Row],[Duration_minutes]],3)/60</f>
        <v>3.0333333333333332</v>
      </c>
      <c r="N520" s="17">
        <v>0.13800000000000001</v>
      </c>
      <c r="O520" s="17" t="str">
        <f ca="1">PROPER(Music_Data[[#This Row],[Playlist_subgenre2]])</f>
        <v>Gangster</v>
      </c>
    </row>
    <row r="521" spans="1:15">
      <c r="A521" s="17">
        <v>0.58299999999999996</v>
      </c>
      <c r="B521" s="21">
        <v>116</v>
      </c>
      <c r="C521" s="16">
        <v>0.70899999999999996</v>
      </c>
      <c r="D521" s="16" t="str">
        <f ca="1">PROPER(Music_Data[[#This Row],[Playlist_genre2]])</f>
        <v>Hip-Hop</v>
      </c>
      <c r="E521" s="17">
        <v>0.53300000000000003</v>
      </c>
      <c r="F521" t="s">
        <v>2271</v>
      </c>
      <c r="G521">
        <v>79</v>
      </c>
      <c r="H521" t="s">
        <v>2607</v>
      </c>
      <c r="I521" t="s">
        <v>2277</v>
      </c>
      <c r="J521" s="22">
        <v>44897</v>
      </c>
      <c r="K521">
        <v>0</v>
      </c>
      <c r="L521">
        <v>5</v>
      </c>
      <c r="M521" s="21">
        <f ca="1">LEFT(Music_Data[[#This Row],[Duration_minutes]],3)/60</f>
        <v>3.0333333333333332</v>
      </c>
      <c r="N521" s="17">
        <v>0.13800000000000001</v>
      </c>
      <c r="O521" s="17" t="str">
        <f ca="1">PROPER(Music_Data[[#This Row],[Playlist_subgenre2]])</f>
        <v>Trap</v>
      </c>
    </row>
    <row r="522" spans="1:15">
      <c r="A522" s="17">
        <v>0.626</v>
      </c>
      <c r="B522" s="21">
        <v>143</v>
      </c>
      <c r="C522" s="16">
        <v>0.81899999999999995</v>
      </c>
      <c r="D522" s="16" t="str">
        <f ca="1">PROPER(Music_Data[[#This Row],[Playlist_genre2]])</f>
        <v>Hip-Hop</v>
      </c>
      <c r="E522" s="17">
        <v>0.41499999999999998</v>
      </c>
      <c r="F522" t="s">
        <v>2391</v>
      </c>
      <c r="G522">
        <v>78</v>
      </c>
      <c r="H522" t="s">
        <v>2202</v>
      </c>
      <c r="I522" t="s">
        <v>2398</v>
      </c>
      <c r="J522" s="22">
        <v>44106</v>
      </c>
      <c r="K522">
        <v>0</v>
      </c>
      <c r="L522">
        <v>10</v>
      </c>
      <c r="M522" s="21">
        <f ca="1">LEFT(Music_Data[[#This Row],[Duration_minutes]],3)/60</f>
        <v>3.25</v>
      </c>
      <c r="N522" s="17">
        <v>7.4799999999999997E-3</v>
      </c>
      <c r="O522" s="17" t="str">
        <f ca="1">PROPER(Music_Data[[#This Row],[Playlist_subgenre2]])</f>
        <v>Gangster</v>
      </c>
    </row>
    <row r="523" spans="1:15">
      <c r="A523" s="17">
        <v>0.35399999999999998</v>
      </c>
      <c r="B523" s="21">
        <v>160</v>
      </c>
      <c r="C523" s="16">
        <v>0.74099999999999999</v>
      </c>
      <c r="D523" s="16" t="str">
        <f ca="1">PROPER(Music_Data[[#This Row],[Playlist_genre2]])</f>
        <v>Hip-Hop</v>
      </c>
      <c r="E523" s="17">
        <v>0.58299999999999996</v>
      </c>
      <c r="F523" t="s">
        <v>11652</v>
      </c>
      <c r="G523">
        <v>78</v>
      </c>
      <c r="H523" t="s">
        <v>11488</v>
      </c>
      <c r="I523" t="s">
        <v>11658</v>
      </c>
      <c r="J523" s="22">
        <v>42706</v>
      </c>
      <c r="K523">
        <v>1</v>
      </c>
      <c r="L523">
        <v>1</v>
      </c>
      <c r="M523" s="21">
        <f ca="1">LEFT(Music_Data[[#This Row],[Duration_minutes]],3)/60</f>
        <v>5.4333333333333336</v>
      </c>
      <c r="N523" s="17">
        <v>0.18099999999999999</v>
      </c>
      <c r="O523" s="17" t="str">
        <f ca="1">PROPER(Music_Data[[#This Row],[Playlist_subgenre2]])</f>
        <v>Chill</v>
      </c>
    </row>
    <row r="524" spans="1:15">
      <c r="A524" s="17">
        <v>0.69</v>
      </c>
      <c r="B524" s="21">
        <v>125</v>
      </c>
      <c r="C524" s="16">
        <v>0.85299999999999998</v>
      </c>
      <c r="D524" s="16" t="str">
        <f ca="1">PROPER(Music_Data[[#This Row],[Playlist_genre2]])</f>
        <v>Hip-Hop</v>
      </c>
      <c r="E524" s="17">
        <v>0.47099999999999997</v>
      </c>
      <c r="F524" t="s">
        <v>1940</v>
      </c>
      <c r="G524">
        <v>78</v>
      </c>
      <c r="H524" t="s">
        <v>1852</v>
      </c>
      <c r="I524" t="s">
        <v>1944</v>
      </c>
      <c r="J524" s="22">
        <v>45535</v>
      </c>
      <c r="K524">
        <v>1</v>
      </c>
      <c r="L524">
        <v>10</v>
      </c>
      <c r="M524" s="21">
        <f ca="1">LEFT(Music_Data[[#This Row],[Duration_minutes]],3)/60</f>
        <v>2.2833333333333332</v>
      </c>
      <c r="N524" s="17">
        <v>7.7100000000000002E-2</v>
      </c>
      <c r="O524" s="17" t="str">
        <f ca="1">PROPER(Music_Data[[#This Row],[Playlist_subgenre2]])</f>
        <v>Modern</v>
      </c>
    </row>
    <row r="525" spans="1:15">
      <c r="A525" s="17">
        <v>0.68400000000000005</v>
      </c>
      <c r="B525" s="21">
        <v>166</v>
      </c>
      <c r="C525" s="16">
        <v>0.83199999999999996</v>
      </c>
      <c r="D525" s="16" t="str">
        <f ca="1">PROPER(Music_Data[[#This Row],[Playlist_genre2]])</f>
        <v>Hip-Hop</v>
      </c>
      <c r="E525" s="17">
        <v>0.68</v>
      </c>
      <c r="F525" t="s">
        <v>451</v>
      </c>
      <c r="G525">
        <v>78</v>
      </c>
      <c r="H525" t="s">
        <v>1852</v>
      </c>
      <c r="I525" t="s">
        <v>1902</v>
      </c>
      <c r="J525" s="22">
        <v>45576</v>
      </c>
      <c r="K525">
        <v>1</v>
      </c>
      <c r="L525">
        <v>1</v>
      </c>
      <c r="M525" s="21">
        <f ca="1">LEFT(Music_Data[[#This Row],[Duration_minutes]],3)/60</f>
        <v>2.4833333333333334</v>
      </c>
      <c r="N525" s="17">
        <v>4.4900000000000001E-3</v>
      </c>
      <c r="O525" s="17" t="str">
        <f ca="1">PROPER(Music_Data[[#This Row],[Playlist_subgenre2]])</f>
        <v>Modern</v>
      </c>
    </row>
    <row r="526" spans="1:15">
      <c r="A526" s="17">
        <v>0.74399999999999999</v>
      </c>
      <c r="B526" s="21">
        <v>823</v>
      </c>
      <c r="C526" s="16">
        <v>0.79800000000000004</v>
      </c>
      <c r="D526" s="16" t="str">
        <f ca="1">PROPER(Music_Data[[#This Row],[Playlist_genre2]])</f>
        <v>Hip-Hop</v>
      </c>
      <c r="E526" s="17">
        <v>0.79400000000000004</v>
      </c>
      <c r="F526" t="s">
        <v>11613</v>
      </c>
      <c r="G526">
        <v>78</v>
      </c>
      <c r="H526" t="s">
        <v>11488</v>
      </c>
      <c r="I526" t="s">
        <v>11619</v>
      </c>
      <c r="J526" s="22">
        <v>33925</v>
      </c>
      <c r="K526">
        <v>0</v>
      </c>
      <c r="L526">
        <v>7</v>
      </c>
      <c r="M526" s="21">
        <f ca="1">LEFT(Music_Data[[#This Row],[Duration_minutes]],3)/60</f>
        <v>4.333333333333333</v>
      </c>
      <c r="N526" s="17">
        <v>0.33</v>
      </c>
      <c r="O526" s="17" t="str">
        <f ca="1">PROPER(Music_Data[[#This Row],[Playlist_subgenre2]])</f>
        <v>Chill</v>
      </c>
    </row>
    <row r="527" spans="1:15">
      <c r="A527" s="17">
        <v>0.56699999999999995</v>
      </c>
      <c r="B527" s="21">
        <v>759</v>
      </c>
      <c r="C527" s="16">
        <v>0.57399999999999995</v>
      </c>
      <c r="D527" s="16" t="str">
        <f ca="1">PROPER(Music_Data[[#This Row],[Playlist_genre2]])</f>
        <v>Hip-Hop</v>
      </c>
      <c r="E527" s="17">
        <v>0.52600000000000002</v>
      </c>
      <c r="F527" t="s">
        <v>2599</v>
      </c>
      <c r="G527">
        <v>78</v>
      </c>
      <c r="H527" t="s">
        <v>2202</v>
      </c>
      <c r="I527" t="s">
        <v>2605</v>
      </c>
      <c r="J527" s="22">
        <v>44865</v>
      </c>
      <c r="K527">
        <v>0</v>
      </c>
      <c r="L527">
        <v>7</v>
      </c>
      <c r="M527" s="21">
        <f ca="1">LEFT(Music_Data[[#This Row],[Duration_minutes]],3)/60</f>
        <v>3.8166666666666669</v>
      </c>
      <c r="N527" s="17">
        <v>0.16400000000000001</v>
      </c>
      <c r="O527" s="17" t="str">
        <f ca="1">PROPER(Music_Data[[#This Row],[Playlist_subgenre2]])</f>
        <v>Gangster</v>
      </c>
    </row>
    <row r="528" spans="1:15">
      <c r="A528" s="17">
        <v>0.59199999999999997</v>
      </c>
      <c r="B528" s="21">
        <v>159</v>
      </c>
      <c r="C528" s="16">
        <v>0.82</v>
      </c>
      <c r="D528" s="16" t="str">
        <f ca="1">PROPER(Music_Data[[#This Row],[Playlist_genre2]])</f>
        <v>Hip-Hop</v>
      </c>
      <c r="E528" s="17">
        <v>0.4</v>
      </c>
      <c r="F528" t="s">
        <v>2282</v>
      </c>
      <c r="G528">
        <v>78</v>
      </c>
      <c r="H528" t="s">
        <v>2202</v>
      </c>
      <c r="I528" t="s">
        <v>2289</v>
      </c>
      <c r="J528" s="22">
        <v>43896</v>
      </c>
      <c r="K528">
        <v>1</v>
      </c>
      <c r="L528">
        <v>1</v>
      </c>
      <c r="M528" s="21">
        <f ca="1">LEFT(Music_Data[[#This Row],[Duration_minutes]],3)/60</f>
        <v>3.2666666666666666</v>
      </c>
      <c r="N528" s="17">
        <v>1.49E-2</v>
      </c>
      <c r="O528" s="17" t="str">
        <f ca="1">PROPER(Music_Data[[#This Row],[Playlist_subgenre2]])</f>
        <v>Gangster</v>
      </c>
    </row>
    <row r="529" spans="1:15">
      <c r="A529" s="17">
        <v>0.77900000000000003</v>
      </c>
      <c r="B529" s="21">
        <v>123</v>
      </c>
      <c r="C529" s="16">
        <v>0.72399999999999998</v>
      </c>
      <c r="D529" s="16" t="str">
        <f ca="1">PROPER(Music_Data[[#This Row],[Playlist_genre2]])</f>
        <v>Hip-Hop</v>
      </c>
      <c r="E529" s="17">
        <v>0.53</v>
      </c>
      <c r="F529" t="s">
        <v>4879</v>
      </c>
      <c r="G529">
        <v>78</v>
      </c>
      <c r="H529" t="s">
        <v>12170</v>
      </c>
      <c r="I529" t="s">
        <v>12284</v>
      </c>
      <c r="J529" s="22">
        <v>45191</v>
      </c>
      <c r="K529">
        <v>0</v>
      </c>
      <c r="L529">
        <v>7</v>
      </c>
      <c r="M529" s="21">
        <f ca="1">LEFT(Music_Data[[#This Row],[Duration_minutes]],3)/60</f>
        <v>2.4</v>
      </c>
      <c r="N529" s="17">
        <v>9.8000000000000004E-2</v>
      </c>
      <c r="O529" s="17" t="str">
        <f ca="1">PROPER(Music_Data[[#This Row],[Playlist_subgenre2]])</f>
        <v>Melodic</v>
      </c>
    </row>
    <row r="530" spans="1:15">
      <c r="A530" s="17">
        <v>0.53400000000000003</v>
      </c>
      <c r="B530" s="21">
        <v>939</v>
      </c>
      <c r="C530" s="16">
        <v>0.83199999999999996</v>
      </c>
      <c r="D530" s="16" t="str">
        <f ca="1">PROPER(Music_Data[[#This Row],[Playlist_genre2]])</f>
        <v>Hip-Hop</v>
      </c>
      <c r="E530" s="17">
        <v>0.11600000000000001</v>
      </c>
      <c r="F530" t="s">
        <v>2366</v>
      </c>
      <c r="G530">
        <v>78</v>
      </c>
      <c r="H530" t="s">
        <v>12170</v>
      </c>
      <c r="I530" t="s">
        <v>6852</v>
      </c>
      <c r="J530" s="22">
        <v>43966</v>
      </c>
      <c r="K530">
        <v>0</v>
      </c>
      <c r="L530">
        <v>1</v>
      </c>
      <c r="M530" s="21">
        <f ca="1">LEFT(Music_Data[[#This Row],[Duration_minutes]],3)/60</f>
        <v>2.2000000000000002</v>
      </c>
      <c r="N530" s="17">
        <v>0.34499999999999997</v>
      </c>
      <c r="O530" s="17" t="str">
        <f ca="1">PROPER(Music_Data[[#This Row],[Playlist_subgenre2]])</f>
        <v>Melodic</v>
      </c>
    </row>
    <row r="531" spans="1:15">
      <c r="A531" s="17">
        <v>0.69699999999999995</v>
      </c>
      <c r="B531" s="21">
        <v>939</v>
      </c>
      <c r="C531" s="16">
        <v>0.90100000000000002</v>
      </c>
      <c r="D531" s="16" t="str">
        <f ca="1">PROPER(Music_Data[[#This Row],[Playlist_genre2]])</f>
        <v>Hip-Hop</v>
      </c>
      <c r="E531" s="17">
        <v>0.67</v>
      </c>
      <c r="F531" t="s">
        <v>5845</v>
      </c>
      <c r="G531">
        <v>78</v>
      </c>
      <c r="H531" t="s">
        <v>5837</v>
      </c>
      <c r="I531" t="s">
        <v>5852</v>
      </c>
      <c r="J531" s="22">
        <v>35493</v>
      </c>
      <c r="K531">
        <v>1</v>
      </c>
      <c r="L531">
        <v>9</v>
      </c>
      <c r="M531" s="21">
        <f ca="1">LEFT(Music_Data[[#This Row],[Duration_minutes]],3)/60</f>
        <v>3.8166666666666669</v>
      </c>
      <c r="N531" s="17">
        <v>0.14499999999999999</v>
      </c>
      <c r="O531" s="17" t="str">
        <f ca="1">PROPER(Music_Data[[#This Row],[Playlist_subgenre2]])</f>
        <v>90S</v>
      </c>
    </row>
    <row r="532" spans="1:15">
      <c r="A532" s="17">
        <v>0.63600000000000001</v>
      </c>
      <c r="B532" s="21">
        <v>145</v>
      </c>
      <c r="C532" s="16">
        <v>0.83699999999999997</v>
      </c>
      <c r="D532" s="16" t="str">
        <f ca="1">PROPER(Music_Data[[#This Row],[Playlist_genre2]])</f>
        <v>Hip-Hop</v>
      </c>
      <c r="E532" s="17">
        <v>0.27400000000000002</v>
      </c>
      <c r="F532" t="s">
        <v>4975</v>
      </c>
      <c r="G532">
        <v>77</v>
      </c>
      <c r="H532" t="s">
        <v>11488</v>
      </c>
      <c r="I532" t="s">
        <v>11642</v>
      </c>
      <c r="J532" s="22">
        <v>43455</v>
      </c>
      <c r="K532">
        <v>1</v>
      </c>
      <c r="L532">
        <v>1</v>
      </c>
      <c r="M532" s="21">
        <f ca="1">LEFT(Music_Data[[#This Row],[Duration_minutes]],3)/60</f>
        <v>4.8</v>
      </c>
      <c r="N532" s="17">
        <v>3.95E-2</v>
      </c>
      <c r="O532" s="17" t="str">
        <f ca="1">PROPER(Music_Data[[#This Row],[Playlist_subgenre2]])</f>
        <v>Chill</v>
      </c>
    </row>
    <row r="533" spans="1:15">
      <c r="A533" s="17">
        <v>0.78200000000000003</v>
      </c>
      <c r="B533" s="21">
        <v>940</v>
      </c>
      <c r="C533" s="16">
        <v>0.70099999999999996</v>
      </c>
      <c r="D533" s="16" t="str">
        <f ca="1">PROPER(Music_Data[[#This Row],[Playlist_genre2]])</f>
        <v>Hip-Hop</v>
      </c>
      <c r="E533" s="17">
        <v>0.56999999999999995</v>
      </c>
      <c r="F533" t="s">
        <v>12287</v>
      </c>
      <c r="G533">
        <v>77</v>
      </c>
      <c r="H533" t="s">
        <v>12170</v>
      </c>
      <c r="I533" s="46">
        <v>16</v>
      </c>
      <c r="J533" s="22">
        <v>44449</v>
      </c>
      <c r="K533">
        <v>1</v>
      </c>
      <c r="L533">
        <v>1</v>
      </c>
      <c r="M533" s="21">
        <f ca="1">LEFT(Music_Data[[#This Row],[Duration_minutes]],3)/60</f>
        <v>2.6</v>
      </c>
      <c r="N533" s="17">
        <v>9.1800000000000007E-2</v>
      </c>
      <c r="O533" s="17" t="str">
        <f ca="1">PROPER(Music_Data[[#This Row],[Playlist_subgenre2]])</f>
        <v>Melodic</v>
      </c>
    </row>
    <row r="534" spans="1:15">
      <c r="A534" s="17">
        <v>0.57299999999999995</v>
      </c>
      <c r="B534" s="21">
        <v>140</v>
      </c>
      <c r="C534" s="16">
        <v>0.91100000000000003</v>
      </c>
      <c r="D534" s="16" t="str">
        <f ca="1">PROPER(Music_Data[[#This Row],[Playlist_genre2]])</f>
        <v>Hip-Hop</v>
      </c>
      <c r="E534" s="17">
        <v>0.97199999999999998</v>
      </c>
      <c r="F534" t="s">
        <v>2296</v>
      </c>
      <c r="G534">
        <v>77</v>
      </c>
      <c r="H534" t="s">
        <v>12720</v>
      </c>
      <c r="I534" t="s">
        <v>5251</v>
      </c>
      <c r="J534" s="22">
        <v>44763</v>
      </c>
      <c r="K534">
        <v>1</v>
      </c>
      <c r="L534">
        <v>6</v>
      </c>
      <c r="M534" s="21">
        <f ca="1">LEFT(Music_Data[[#This Row],[Duration_minutes]],3)/60</f>
        <v>16.216666666666665</v>
      </c>
      <c r="N534" s="17">
        <v>0.38</v>
      </c>
      <c r="O534" s="17" t="str">
        <f ca="1">PROPER(Music_Data[[#This Row],[Playlist_subgenre2]])</f>
        <v>Drill</v>
      </c>
    </row>
    <row r="535" spans="1:15">
      <c r="A535" s="17">
        <v>0.41299999999999998</v>
      </c>
      <c r="B535" s="21">
        <v>131</v>
      </c>
      <c r="C535" s="16">
        <v>0.77200000000000002</v>
      </c>
      <c r="D535" s="16" t="str">
        <f ca="1">PROPER(Music_Data[[#This Row],[Playlist_genre2]])</f>
        <v>Hip-Hop</v>
      </c>
      <c r="E535" s="17">
        <v>0.21099999999999999</v>
      </c>
      <c r="F535" t="s">
        <v>2315</v>
      </c>
      <c r="G535">
        <v>77</v>
      </c>
      <c r="H535" t="s">
        <v>2202</v>
      </c>
      <c r="I535" t="s">
        <v>2322</v>
      </c>
      <c r="J535" s="22">
        <v>40909</v>
      </c>
      <c r="K535">
        <v>0</v>
      </c>
      <c r="L535">
        <v>0</v>
      </c>
      <c r="M535" s="21">
        <f ca="1">LEFT(Music_Data[[#This Row],[Duration_minutes]],3)/60</f>
        <v>4.0999999999999996</v>
      </c>
      <c r="N535" s="17">
        <v>3.61E-2</v>
      </c>
      <c r="O535" s="17" t="str">
        <f ca="1">PROPER(Music_Data[[#This Row],[Playlist_subgenre2]])</f>
        <v>Gangster</v>
      </c>
    </row>
    <row r="536" spans="1:15">
      <c r="A536" s="17">
        <v>0.41299999999999998</v>
      </c>
      <c r="B536" s="21">
        <v>131</v>
      </c>
      <c r="C536" s="16">
        <v>0.77200000000000002</v>
      </c>
      <c r="D536" s="16" t="str">
        <f ca="1">PROPER(Music_Data[[#This Row],[Playlist_genre2]])</f>
        <v>Hip-Hop</v>
      </c>
      <c r="E536" s="17">
        <v>0.21099999999999999</v>
      </c>
      <c r="F536" t="s">
        <v>2315</v>
      </c>
      <c r="G536">
        <v>77</v>
      </c>
      <c r="H536" t="s">
        <v>2607</v>
      </c>
      <c r="I536" t="s">
        <v>2322</v>
      </c>
      <c r="J536" s="22">
        <v>40909</v>
      </c>
      <c r="K536">
        <v>0</v>
      </c>
      <c r="L536">
        <v>0</v>
      </c>
      <c r="M536" s="21">
        <f ca="1">LEFT(Music_Data[[#This Row],[Duration_minutes]],3)/60</f>
        <v>4.0999999999999996</v>
      </c>
      <c r="N536" s="17">
        <v>3.61E-2</v>
      </c>
      <c r="O536" s="17" t="str">
        <f ca="1">PROPER(Music_Data[[#This Row],[Playlist_subgenre2]])</f>
        <v>Trap</v>
      </c>
    </row>
    <row r="537" spans="1:15">
      <c r="A537" s="17">
        <v>0.28299999999999997</v>
      </c>
      <c r="B537" s="21">
        <v>970</v>
      </c>
      <c r="C537" s="16">
        <v>0.76600000000000001</v>
      </c>
      <c r="D537" s="16" t="str">
        <f ca="1">PROPER(Music_Data[[#This Row],[Playlist_genre2]])</f>
        <v>Hip-Hop</v>
      </c>
      <c r="E537" s="17">
        <v>0.14399999999999999</v>
      </c>
      <c r="F537" t="s">
        <v>1940</v>
      </c>
      <c r="G537">
        <v>77</v>
      </c>
      <c r="H537" t="s">
        <v>11488</v>
      </c>
      <c r="I537" t="s">
        <v>11758</v>
      </c>
      <c r="J537" s="22">
        <v>42812</v>
      </c>
      <c r="K537">
        <v>0</v>
      </c>
      <c r="L537">
        <v>8</v>
      </c>
      <c r="M537" s="21">
        <f ca="1">LEFT(Music_Data[[#This Row],[Duration_minutes]],3)/60</f>
        <v>3.65</v>
      </c>
      <c r="N537" s="17">
        <v>0.111</v>
      </c>
      <c r="O537" s="17" t="str">
        <f ca="1">PROPER(Music_Data[[#This Row],[Playlist_subgenre2]])</f>
        <v>Chill</v>
      </c>
    </row>
    <row r="538" spans="1:15">
      <c r="A538" s="17">
        <v>0.754</v>
      </c>
      <c r="B538" s="21">
        <v>131</v>
      </c>
      <c r="C538" s="16">
        <v>0.86299999999999999</v>
      </c>
      <c r="D538" s="16" t="str">
        <f ca="1">PROPER(Music_Data[[#This Row],[Playlist_genre2]])</f>
        <v>Hip-Hop</v>
      </c>
      <c r="E538" s="17">
        <v>0.30099999999999999</v>
      </c>
      <c r="F538" t="s">
        <v>1883</v>
      </c>
      <c r="G538">
        <v>77</v>
      </c>
      <c r="H538" t="s">
        <v>1852</v>
      </c>
      <c r="I538" t="s">
        <v>1957</v>
      </c>
      <c r="J538" s="22">
        <v>45555</v>
      </c>
      <c r="K538">
        <v>1</v>
      </c>
      <c r="L538">
        <v>11</v>
      </c>
      <c r="M538" s="21">
        <f ca="1">LEFT(Music_Data[[#This Row],[Duration_minutes]],3)/60</f>
        <v>2.3166666666666669</v>
      </c>
      <c r="N538" s="17">
        <v>1.25E-3</v>
      </c>
      <c r="O538" s="17" t="str">
        <f ca="1">PROPER(Music_Data[[#This Row],[Playlist_subgenre2]])</f>
        <v>Modern</v>
      </c>
    </row>
    <row r="539" spans="1:15">
      <c r="A539" s="17">
        <v>0.65700000000000003</v>
      </c>
      <c r="B539" s="21">
        <v>124</v>
      </c>
      <c r="C539" s="16">
        <v>0.88300000000000001</v>
      </c>
      <c r="D539" s="16" t="str">
        <f ca="1">PROPER(Music_Data[[#This Row],[Playlist_genre2]])</f>
        <v>Hip-Hop</v>
      </c>
      <c r="E539" s="17">
        <v>0.28399999999999997</v>
      </c>
      <c r="F539" t="s">
        <v>1883</v>
      </c>
      <c r="G539">
        <v>77</v>
      </c>
      <c r="H539" t="s">
        <v>2607</v>
      </c>
      <c r="I539" t="s">
        <v>2792</v>
      </c>
      <c r="J539" s="22">
        <v>44680</v>
      </c>
      <c r="K539">
        <v>1</v>
      </c>
      <c r="L539">
        <v>8</v>
      </c>
      <c r="M539" s="21">
        <f ca="1">LEFT(Music_Data[[#This Row],[Duration_minutes]],3)/60</f>
        <v>2.8666666666666667</v>
      </c>
      <c r="N539" s="17">
        <v>6.0299999999999999E-2</v>
      </c>
      <c r="O539" s="17" t="str">
        <f ca="1">PROPER(Music_Data[[#This Row],[Playlist_subgenre2]])</f>
        <v>Trap</v>
      </c>
    </row>
    <row r="540" spans="1:15">
      <c r="A540" s="17">
        <v>0.65100000000000002</v>
      </c>
      <c r="B540" s="21">
        <v>163</v>
      </c>
      <c r="C540" s="16">
        <v>0.66500000000000004</v>
      </c>
      <c r="D540" s="16" t="str">
        <f ca="1">PROPER(Music_Data[[#This Row],[Playlist_genre2]])</f>
        <v>Hip-Hop</v>
      </c>
      <c r="E540" s="17">
        <v>0.23699999999999999</v>
      </c>
      <c r="F540" t="s">
        <v>2153</v>
      </c>
      <c r="G540">
        <v>77</v>
      </c>
      <c r="H540" t="s">
        <v>12170</v>
      </c>
      <c r="I540" t="s">
        <v>6978</v>
      </c>
      <c r="J540" s="22">
        <v>43444</v>
      </c>
      <c r="K540">
        <v>1</v>
      </c>
      <c r="L540">
        <v>1</v>
      </c>
      <c r="M540" s="21">
        <f ca="1">LEFT(Music_Data[[#This Row],[Duration_minutes]],3)/60</f>
        <v>2.9166666666666665</v>
      </c>
      <c r="N540" s="17">
        <v>4.1399999999999999E-2</v>
      </c>
      <c r="O540" s="17" t="str">
        <f ca="1">PROPER(Music_Data[[#This Row],[Playlist_subgenre2]])</f>
        <v>Melodic</v>
      </c>
    </row>
    <row r="541" spans="1:15">
      <c r="A541" s="17">
        <v>0.48699999999999999</v>
      </c>
      <c r="B541" s="21">
        <v>127</v>
      </c>
      <c r="C541" s="16">
        <v>0.96399999999999997</v>
      </c>
      <c r="D541" s="16" t="str">
        <f ca="1">PROPER(Music_Data[[#This Row],[Playlist_genre2]])</f>
        <v>Hip-Hop</v>
      </c>
      <c r="E541" s="17">
        <v>0.108</v>
      </c>
      <c r="F541" t="s">
        <v>1909</v>
      </c>
      <c r="G541">
        <v>77</v>
      </c>
      <c r="H541" t="s">
        <v>2202</v>
      </c>
      <c r="I541" t="s">
        <v>2484</v>
      </c>
      <c r="J541" s="22">
        <v>43434</v>
      </c>
      <c r="K541">
        <v>0</v>
      </c>
      <c r="L541">
        <v>10</v>
      </c>
      <c r="M541" s="21">
        <f ca="1">LEFT(Music_Data[[#This Row],[Duration_minutes]],3)/60</f>
        <v>2.5666666666666669</v>
      </c>
      <c r="N541" s="17">
        <v>1.2700000000000001E-3</v>
      </c>
      <c r="O541" s="17" t="str">
        <f ca="1">PROPER(Music_Data[[#This Row],[Playlist_subgenre2]])</f>
        <v>Gangster</v>
      </c>
    </row>
    <row r="542" spans="1:15">
      <c r="A542" s="17">
        <v>0.58599999999999997</v>
      </c>
      <c r="B542" s="21">
        <v>125</v>
      </c>
      <c r="C542" s="16">
        <v>0.73099999999999998</v>
      </c>
      <c r="D542" s="16" t="str">
        <f ca="1">PROPER(Music_Data[[#This Row],[Playlist_genre2]])</f>
        <v>Hip-Hop</v>
      </c>
      <c r="E542" s="17">
        <v>0.14699999999999999</v>
      </c>
      <c r="F542" t="s">
        <v>2062</v>
      </c>
      <c r="G542">
        <v>77</v>
      </c>
      <c r="H542" t="s">
        <v>1852</v>
      </c>
      <c r="I542" t="s">
        <v>2066</v>
      </c>
      <c r="J542" s="22">
        <v>45541</v>
      </c>
      <c r="K542">
        <v>0</v>
      </c>
      <c r="L542">
        <v>1</v>
      </c>
      <c r="M542" s="21">
        <f ca="1">LEFT(Music_Data[[#This Row],[Duration_minutes]],3)/60</f>
        <v>3.3166666666666669</v>
      </c>
      <c r="N542" s="17">
        <v>0.11600000000000001</v>
      </c>
      <c r="O542" s="17" t="str">
        <f ca="1">PROPER(Music_Data[[#This Row],[Playlist_subgenre2]])</f>
        <v>Modern</v>
      </c>
    </row>
    <row r="543" spans="1:15">
      <c r="A543" s="17">
        <v>0.53800000000000003</v>
      </c>
      <c r="B543" s="21">
        <v>999</v>
      </c>
      <c r="C543" s="16">
        <v>0.82899999999999996</v>
      </c>
      <c r="D543" s="16" t="str">
        <f ca="1">PROPER(Music_Data[[#This Row],[Playlist_genre2]])</f>
        <v>Hip-Hop</v>
      </c>
      <c r="E543" s="17">
        <v>0.38900000000000001</v>
      </c>
      <c r="F543" t="s">
        <v>7220</v>
      </c>
      <c r="G543">
        <v>77</v>
      </c>
      <c r="H543" t="s">
        <v>12170</v>
      </c>
      <c r="I543" t="s">
        <v>12256</v>
      </c>
      <c r="J543" s="22">
        <v>43714</v>
      </c>
      <c r="K543">
        <v>0</v>
      </c>
      <c r="L543">
        <v>11</v>
      </c>
      <c r="M543" s="21">
        <f ca="1">LEFT(Music_Data[[#This Row],[Duration_minutes]],3)/60</f>
        <v>2.4833333333333334</v>
      </c>
      <c r="N543" s="17">
        <v>0.13700000000000001</v>
      </c>
      <c r="O543" s="17" t="str">
        <f ca="1">PROPER(Music_Data[[#This Row],[Playlist_subgenre2]])</f>
        <v>Melodic</v>
      </c>
    </row>
    <row r="544" spans="1:15">
      <c r="A544" s="17">
        <v>0.82099999999999995</v>
      </c>
      <c r="B544" s="21">
        <v>948</v>
      </c>
      <c r="C544" s="16">
        <v>0.66900000000000004</v>
      </c>
      <c r="D544" s="16" t="str">
        <f ca="1">PROPER(Music_Data[[#This Row],[Playlist_genre2]])</f>
        <v>Hip-Hop</v>
      </c>
      <c r="E544" s="17">
        <v>0.68400000000000005</v>
      </c>
      <c r="F544" t="s">
        <v>5785</v>
      </c>
      <c r="G544">
        <v>76</v>
      </c>
      <c r="H544" t="s">
        <v>5789</v>
      </c>
      <c r="I544" t="s">
        <v>5792</v>
      </c>
      <c r="J544" s="22">
        <v>33953</v>
      </c>
      <c r="K544">
        <v>0</v>
      </c>
      <c r="L544">
        <v>11</v>
      </c>
      <c r="M544" s="21">
        <f ca="1">LEFT(Music_Data[[#This Row],[Duration_minutes]],3)/60</f>
        <v>3.95</v>
      </c>
      <c r="N544" s="17">
        <v>1.82E-3</v>
      </c>
      <c r="O544" s="17" t="str">
        <f ca="1">PROPER(Music_Data[[#This Row],[Playlist_subgenre2]])</f>
        <v>Modern</v>
      </c>
    </row>
    <row r="545" spans="1:15">
      <c r="A545" s="17">
        <v>0.82099999999999995</v>
      </c>
      <c r="B545" s="21">
        <v>948</v>
      </c>
      <c r="C545" s="16">
        <v>0.66900000000000004</v>
      </c>
      <c r="D545" s="16" t="str">
        <f ca="1">PROPER(Music_Data[[#This Row],[Playlist_genre2]])</f>
        <v>Hip-Hop</v>
      </c>
      <c r="E545" s="17">
        <v>0.68400000000000005</v>
      </c>
      <c r="F545" t="s">
        <v>5785</v>
      </c>
      <c r="G545">
        <v>76</v>
      </c>
      <c r="H545" t="s">
        <v>5837</v>
      </c>
      <c r="I545" t="s">
        <v>5792</v>
      </c>
      <c r="J545" s="22">
        <v>33953</v>
      </c>
      <c r="K545">
        <v>0</v>
      </c>
      <c r="L545">
        <v>11</v>
      </c>
      <c r="M545" s="21">
        <f ca="1">LEFT(Music_Data[[#This Row],[Duration_minutes]],3)/60</f>
        <v>3.95</v>
      </c>
      <c r="N545" s="17">
        <v>1.82E-3</v>
      </c>
      <c r="O545" s="17" t="str">
        <f ca="1">PROPER(Music_Data[[#This Row],[Playlist_subgenre2]])</f>
        <v>90S</v>
      </c>
    </row>
    <row r="546" spans="1:15">
      <c r="A546" s="17">
        <v>0.72299999999999998</v>
      </c>
      <c r="B546" s="21">
        <v>139</v>
      </c>
      <c r="C546" s="16">
        <v>0.78300000000000003</v>
      </c>
      <c r="D546" s="16" t="str">
        <f ca="1">PROPER(Music_Data[[#This Row],[Playlist_genre2]])</f>
        <v>Hip-Hop</v>
      </c>
      <c r="E546" s="17">
        <v>0.29399999999999998</v>
      </c>
      <c r="F546" t="s">
        <v>2021</v>
      </c>
      <c r="G546">
        <v>76</v>
      </c>
      <c r="H546" t="s">
        <v>1852</v>
      </c>
      <c r="I546" t="s">
        <v>2028</v>
      </c>
      <c r="J546" s="22">
        <v>45534</v>
      </c>
      <c r="K546">
        <v>1</v>
      </c>
      <c r="L546">
        <v>1</v>
      </c>
      <c r="M546" s="21">
        <f ca="1">LEFT(Music_Data[[#This Row],[Duration_minutes]],3)/60</f>
        <v>4.6333333333333337</v>
      </c>
      <c r="N546" s="17">
        <v>2.64E-2</v>
      </c>
      <c r="O546" s="17" t="str">
        <f ca="1">PROPER(Music_Data[[#This Row],[Playlist_subgenre2]])</f>
        <v>Modern</v>
      </c>
    </row>
    <row r="547" spans="1:15">
      <c r="A547" s="17">
        <v>0.50700000000000001</v>
      </c>
      <c r="B547" s="21">
        <v>130</v>
      </c>
      <c r="C547" s="16">
        <v>0.872</v>
      </c>
      <c r="D547" s="16" t="str">
        <f ca="1">PROPER(Music_Data[[#This Row],[Playlist_genre2]])</f>
        <v>Hip-Hop</v>
      </c>
      <c r="E547" s="17">
        <v>0.50600000000000001</v>
      </c>
      <c r="F547" t="s">
        <v>1856</v>
      </c>
      <c r="G547">
        <v>76</v>
      </c>
      <c r="H547" t="s">
        <v>1852</v>
      </c>
      <c r="I547" t="s">
        <v>1860</v>
      </c>
      <c r="J547" s="22">
        <v>45583</v>
      </c>
      <c r="K547">
        <v>0</v>
      </c>
      <c r="L547">
        <v>4</v>
      </c>
      <c r="M547" s="21">
        <f ca="1">LEFT(Music_Data[[#This Row],[Duration_minutes]],3)/60</f>
        <v>2.6333333333333333</v>
      </c>
      <c r="N547" s="17">
        <v>0.19500000000000001</v>
      </c>
      <c r="O547" s="17" t="str">
        <f ca="1">PROPER(Music_Data[[#This Row],[Playlist_subgenre2]])</f>
        <v>Modern</v>
      </c>
    </row>
    <row r="548" spans="1:15">
      <c r="A548" s="17">
        <v>0.50700000000000001</v>
      </c>
      <c r="B548" s="21">
        <v>130</v>
      </c>
      <c r="C548" s="16">
        <v>0.872</v>
      </c>
      <c r="D548" s="16" t="str">
        <f ca="1">PROPER(Music_Data[[#This Row],[Playlist_genre2]])</f>
        <v>Hip-Hop</v>
      </c>
      <c r="E548" s="17">
        <v>0.50600000000000001</v>
      </c>
      <c r="F548" t="s">
        <v>1856</v>
      </c>
      <c r="G548">
        <v>76</v>
      </c>
      <c r="H548" t="s">
        <v>12170</v>
      </c>
      <c r="I548" t="s">
        <v>1860</v>
      </c>
      <c r="J548" s="22">
        <v>45583</v>
      </c>
      <c r="K548">
        <v>0</v>
      </c>
      <c r="L548">
        <v>4</v>
      </c>
      <c r="M548" s="21">
        <f ca="1">LEFT(Music_Data[[#This Row],[Duration_minutes]],3)/60</f>
        <v>2.6333333333333333</v>
      </c>
      <c r="N548" s="17">
        <v>0.19500000000000001</v>
      </c>
      <c r="O548" s="17" t="str">
        <f ca="1">PROPER(Music_Data[[#This Row],[Playlist_subgenre2]])</f>
        <v>Melodic</v>
      </c>
    </row>
    <row r="549" spans="1:15">
      <c r="A549" s="17">
        <v>0.52</v>
      </c>
      <c r="B549" s="21">
        <v>928</v>
      </c>
      <c r="C549" s="16">
        <v>0.747</v>
      </c>
      <c r="D549" s="16" t="str">
        <f ca="1">PROPER(Music_Data[[#This Row],[Playlist_genre2]])</f>
        <v>Hip-Hop</v>
      </c>
      <c r="E549" s="17">
        <v>0.60099999999999998</v>
      </c>
      <c r="F549" t="s">
        <v>11613</v>
      </c>
      <c r="G549">
        <v>76</v>
      </c>
      <c r="H549" t="s">
        <v>11488</v>
      </c>
      <c r="I549" t="s">
        <v>11718</v>
      </c>
      <c r="J549" s="22">
        <v>34310</v>
      </c>
      <c r="K549">
        <v>0</v>
      </c>
      <c r="L549">
        <v>10</v>
      </c>
      <c r="M549" s="21">
        <f ca="1">LEFT(Music_Data[[#This Row],[Duration_minutes]],3)/60</f>
        <v>3.8666666666666667</v>
      </c>
      <c r="N549" s="17">
        <v>9.7699999999999995E-2</v>
      </c>
      <c r="O549" s="17" t="str">
        <f ca="1">PROPER(Music_Data[[#This Row],[Playlist_subgenre2]])</f>
        <v>Chill</v>
      </c>
    </row>
    <row r="550" spans="1:15">
      <c r="A550" s="17">
        <v>0.76</v>
      </c>
      <c r="B550" s="21">
        <v>800</v>
      </c>
      <c r="C550" s="16">
        <v>0.435</v>
      </c>
      <c r="D550" s="16" t="str">
        <f ca="1">PROPER(Music_Data[[#This Row],[Playlist_genre2]])</f>
        <v>Hip-Hop</v>
      </c>
      <c r="E550" s="17">
        <v>0.20599999999999999</v>
      </c>
      <c r="F550" t="s">
        <v>11544</v>
      </c>
      <c r="G550">
        <v>76</v>
      </c>
      <c r="H550" t="s">
        <v>11488</v>
      </c>
      <c r="I550" t="s">
        <v>11550</v>
      </c>
      <c r="J550" s="22">
        <v>40504</v>
      </c>
      <c r="K550">
        <v>0</v>
      </c>
      <c r="L550">
        <v>8</v>
      </c>
      <c r="M550" s="21">
        <f ca="1">LEFT(Music_Data[[#This Row],[Duration_minutes]],3)/60</f>
        <v>5.85</v>
      </c>
      <c r="N550" s="17">
        <v>1.7500000000000002E-2</v>
      </c>
      <c r="O550" s="17" t="str">
        <f ca="1">PROPER(Music_Data[[#This Row],[Playlist_subgenre2]])</f>
        <v>Chill</v>
      </c>
    </row>
    <row r="551" spans="1:15">
      <c r="A551" s="17">
        <v>0.66300000000000003</v>
      </c>
      <c r="B551" s="21">
        <v>184</v>
      </c>
      <c r="C551" s="16">
        <v>0.67200000000000004</v>
      </c>
      <c r="D551" s="16" t="str">
        <f ca="1">PROPER(Music_Data[[#This Row],[Playlist_genre2]])</f>
        <v>Hip-Hop</v>
      </c>
      <c r="E551" s="17">
        <v>0.38100000000000001</v>
      </c>
      <c r="F551" t="s">
        <v>2003</v>
      </c>
      <c r="G551">
        <v>76</v>
      </c>
      <c r="H551" t="s">
        <v>1852</v>
      </c>
      <c r="I551" t="s">
        <v>2009</v>
      </c>
      <c r="J551" s="22">
        <v>45597</v>
      </c>
      <c r="K551">
        <v>1</v>
      </c>
      <c r="L551">
        <v>3</v>
      </c>
      <c r="M551" s="21">
        <f ca="1">LEFT(Music_Data[[#This Row],[Duration_minutes]],3)/60</f>
        <v>2.2999999999999998</v>
      </c>
      <c r="N551" s="17">
        <v>0.112</v>
      </c>
      <c r="O551" s="17" t="str">
        <f ca="1">PROPER(Music_Data[[#This Row],[Playlist_subgenre2]])</f>
        <v>Modern</v>
      </c>
    </row>
    <row r="552" spans="1:15">
      <c r="A552" s="17">
        <v>0.66300000000000003</v>
      </c>
      <c r="B552" s="21">
        <v>184</v>
      </c>
      <c r="C552" s="16">
        <v>0.67200000000000004</v>
      </c>
      <c r="D552" s="16" t="str">
        <f ca="1">PROPER(Music_Data[[#This Row],[Playlist_genre2]])</f>
        <v>Hip-Hop</v>
      </c>
      <c r="E552" s="17">
        <v>0.38100000000000001</v>
      </c>
      <c r="F552" t="s">
        <v>2003</v>
      </c>
      <c r="G552">
        <v>76</v>
      </c>
      <c r="H552" t="s">
        <v>12170</v>
      </c>
      <c r="I552" t="s">
        <v>2009</v>
      </c>
      <c r="J552" s="22">
        <v>45597</v>
      </c>
      <c r="K552">
        <v>1</v>
      </c>
      <c r="L552">
        <v>3</v>
      </c>
      <c r="M552" s="21">
        <f ca="1">LEFT(Music_Data[[#This Row],[Duration_minutes]],3)/60</f>
        <v>2.2999999999999998</v>
      </c>
      <c r="N552" s="17">
        <v>0.112</v>
      </c>
      <c r="O552" s="17" t="str">
        <f ca="1">PROPER(Music_Data[[#This Row],[Playlist_subgenre2]])</f>
        <v>Melodic</v>
      </c>
    </row>
    <row r="553" spans="1:15">
      <c r="A553" s="17">
        <v>0.80500000000000005</v>
      </c>
      <c r="B553" s="21">
        <v>142</v>
      </c>
      <c r="C553" s="16">
        <v>0.54800000000000004</v>
      </c>
      <c r="D553" s="16" t="str">
        <f ca="1">PROPER(Music_Data[[#This Row],[Playlist_genre2]])</f>
        <v>Hip-Hop</v>
      </c>
      <c r="E553" s="17">
        <v>0.64900000000000002</v>
      </c>
      <c r="F553" t="s">
        <v>2230</v>
      </c>
      <c r="G553">
        <v>76</v>
      </c>
      <c r="H553" t="s">
        <v>2202</v>
      </c>
      <c r="I553" t="s">
        <v>2237</v>
      </c>
      <c r="J553" s="22">
        <v>43672</v>
      </c>
      <c r="K553">
        <v>1</v>
      </c>
      <c r="L553">
        <v>7</v>
      </c>
      <c r="M553" s="21">
        <f ca="1">LEFT(Music_Data[[#This Row],[Duration_minutes]],3)/60</f>
        <v>3.6</v>
      </c>
      <c r="N553" s="17">
        <v>0.21199999999999999</v>
      </c>
      <c r="O553" s="17" t="str">
        <f ca="1">PROPER(Music_Data[[#This Row],[Playlist_subgenre2]])</f>
        <v>Gangster</v>
      </c>
    </row>
    <row r="554" spans="1:15">
      <c r="A554" s="17">
        <v>0.5</v>
      </c>
      <c r="B554" s="21">
        <v>639</v>
      </c>
      <c r="C554" s="16">
        <v>0.42699999999999999</v>
      </c>
      <c r="D554" s="16" t="str">
        <f ca="1">PROPER(Music_Data[[#This Row],[Playlist_genre2]])</f>
        <v>Hip-Hop</v>
      </c>
      <c r="E554" s="17">
        <v>0.26900000000000002</v>
      </c>
      <c r="F554" t="s">
        <v>2053</v>
      </c>
      <c r="G554">
        <v>76</v>
      </c>
      <c r="H554" t="s">
        <v>1852</v>
      </c>
      <c r="I554" s="46">
        <v>25</v>
      </c>
      <c r="J554" s="22">
        <v>45576</v>
      </c>
      <c r="K554">
        <v>1</v>
      </c>
      <c r="L554">
        <v>0</v>
      </c>
      <c r="M554" s="21">
        <f ca="1">LEFT(Music_Data[[#This Row],[Duration_minutes]],3)/60</f>
        <v>3</v>
      </c>
      <c r="N554" s="17">
        <v>0.28599999999999998</v>
      </c>
      <c r="O554" s="17" t="str">
        <f ca="1">PROPER(Music_Data[[#This Row],[Playlist_subgenre2]])</f>
        <v>Modern</v>
      </c>
    </row>
    <row r="555" spans="1:15">
      <c r="A555" s="17">
        <v>0.73299999999999998</v>
      </c>
      <c r="B555" s="21">
        <v>979</v>
      </c>
      <c r="C555" s="16">
        <v>0.82499999999999996</v>
      </c>
      <c r="D555" s="16" t="str">
        <f ca="1">PROPER(Music_Data[[#This Row],[Playlist_genre2]])</f>
        <v>Hip-Hop</v>
      </c>
      <c r="E555" s="17">
        <v>0.62</v>
      </c>
      <c r="F555" t="s">
        <v>2591</v>
      </c>
      <c r="G555">
        <v>75</v>
      </c>
      <c r="H555" t="s">
        <v>2202</v>
      </c>
      <c r="I555" t="s">
        <v>2597</v>
      </c>
      <c r="J555" s="22">
        <v>44106</v>
      </c>
      <c r="K555">
        <v>0</v>
      </c>
      <c r="L555">
        <v>1</v>
      </c>
      <c r="M555" s="21">
        <f ca="1">LEFT(Music_Data[[#This Row],[Duration_minutes]],3)/60</f>
        <v>3.1666666666666665</v>
      </c>
      <c r="N555" s="17">
        <v>0.34899999999999998</v>
      </c>
      <c r="O555" s="17" t="str">
        <f ca="1">PROPER(Music_Data[[#This Row],[Playlist_subgenre2]])</f>
        <v>Gangster</v>
      </c>
    </row>
    <row r="556" spans="1:15">
      <c r="A556" s="17">
        <v>0.58599999999999997</v>
      </c>
      <c r="B556" s="21">
        <v>130</v>
      </c>
      <c r="C556" s="16">
        <v>0.89100000000000001</v>
      </c>
      <c r="D556" s="16" t="str">
        <f ca="1">PROPER(Music_Data[[#This Row],[Playlist_genre2]])</f>
        <v>Hip-Hop</v>
      </c>
      <c r="E556" s="17">
        <v>0.95399999999999996</v>
      </c>
      <c r="F556" t="s">
        <v>11494</v>
      </c>
      <c r="G556">
        <v>75</v>
      </c>
      <c r="H556" t="s">
        <v>11488</v>
      </c>
      <c r="I556" t="s">
        <v>11500</v>
      </c>
      <c r="J556" s="22">
        <v>43524</v>
      </c>
      <c r="K556">
        <v>1</v>
      </c>
      <c r="L556">
        <v>11</v>
      </c>
      <c r="M556" s="21">
        <f ca="1">LEFT(Music_Data[[#This Row],[Duration_minutes]],3)/60</f>
        <v>2.2333333333333334</v>
      </c>
      <c r="N556" s="17">
        <v>8.3299999999999999E-2</v>
      </c>
      <c r="O556" s="17" t="str">
        <f ca="1">PROPER(Music_Data[[#This Row],[Playlist_subgenre2]])</f>
        <v>Chill</v>
      </c>
    </row>
    <row r="557" spans="1:15">
      <c r="A557" s="17">
        <v>0.35599999999999998</v>
      </c>
      <c r="B557" s="21">
        <v>836</v>
      </c>
      <c r="C557" s="16">
        <v>0.70799999999999996</v>
      </c>
      <c r="D557" s="16" t="str">
        <f ca="1">PROPER(Music_Data[[#This Row],[Playlist_genre2]])</f>
        <v>Hip-Hop</v>
      </c>
      <c r="E557" s="17">
        <v>0.56899999999999995</v>
      </c>
      <c r="F557" t="s">
        <v>12518</v>
      </c>
      <c r="G557">
        <v>75</v>
      </c>
      <c r="H557" t="s">
        <v>12411</v>
      </c>
      <c r="I557" t="s">
        <v>12521</v>
      </c>
      <c r="J557" s="22">
        <v>45215</v>
      </c>
      <c r="K557">
        <v>1</v>
      </c>
      <c r="L557">
        <v>1</v>
      </c>
      <c r="M557" s="21">
        <f ca="1">LEFT(Music_Data[[#This Row],[Duration_minutes]],3)/60</f>
        <v>4.3833333333333337</v>
      </c>
      <c r="N557" s="17">
        <v>0.437</v>
      </c>
      <c r="O557" s="17" t="str">
        <f ca="1">PROPER(Music_Data[[#This Row],[Playlist_subgenre2]])</f>
        <v>Desi</v>
      </c>
    </row>
    <row r="558" spans="1:15">
      <c r="A558" s="17">
        <v>0.81399999999999995</v>
      </c>
      <c r="B558" s="21">
        <v>144</v>
      </c>
      <c r="C558" s="16">
        <v>0.625</v>
      </c>
      <c r="D558" s="16" t="str">
        <f ca="1">PROPER(Music_Data[[#This Row],[Playlist_genre2]])</f>
        <v>Hip-Hop</v>
      </c>
      <c r="E558" s="17">
        <v>0.53500000000000003</v>
      </c>
      <c r="F558" t="s">
        <v>12273</v>
      </c>
      <c r="G558">
        <v>75</v>
      </c>
      <c r="H558" t="s">
        <v>12170</v>
      </c>
      <c r="I558" t="s">
        <v>12278</v>
      </c>
      <c r="J558" s="22">
        <v>44022</v>
      </c>
      <c r="K558">
        <v>1</v>
      </c>
      <c r="L558">
        <v>0</v>
      </c>
      <c r="M558" s="21">
        <f ca="1">LEFT(Music_Data[[#This Row],[Duration_minutes]],3)/60</f>
        <v>3.4166666666666665</v>
      </c>
      <c r="N558" s="17">
        <v>1.72E-2</v>
      </c>
      <c r="O558" s="17" t="str">
        <f ca="1">PROPER(Music_Data[[#This Row],[Playlist_subgenre2]])</f>
        <v>Melodic</v>
      </c>
    </row>
    <row r="559" spans="1:15">
      <c r="A559" s="17">
        <v>0.78</v>
      </c>
      <c r="B559" s="21">
        <v>171</v>
      </c>
      <c r="C559" s="16">
        <v>0.46100000000000002</v>
      </c>
      <c r="D559" s="16" t="str">
        <f ca="1">PROPER(Music_Data[[#This Row],[Playlist_genre2]])</f>
        <v>Hip-Hop</v>
      </c>
      <c r="E559" s="17">
        <v>0.44800000000000001</v>
      </c>
      <c r="F559" t="s">
        <v>12440</v>
      </c>
      <c r="G559">
        <v>75</v>
      </c>
      <c r="H559" t="s">
        <v>12411</v>
      </c>
      <c r="I559" t="s">
        <v>12443</v>
      </c>
      <c r="J559" s="22">
        <v>45428</v>
      </c>
      <c r="K559">
        <v>0</v>
      </c>
      <c r="L559">
        <v>11</v>
      </c>
      <c r="M559" s="21">
        <f ca="1">LEFT(Music_Data[[#This Row],[Duration_minutes]],3)/60</f>
        <v>3.7833333333333332</v>
      </c>
      <c r="N559" s="17">
        <v>0.128</v>
      </c>
      <c r="O559" s="17" t="str">
        <f ca="1">PROPER(Music_Data[[#This Row],[Playlist_subgenre2]])</f>
        <v>Desi</v>
      </c>
    </row>
    <row r="560" spans="1:15">
      <c r="A560" s="17">
        <v>0.67</v>
      </c>
      <c r="B560" s="21">
        <v>139</v>
      </c>
      <c r="C560" s="16">
        <v>0.79</v>
      </c>
      <c r="D560" s="16" t="str">
        <f ca="1">PROPER(Music_Data[[#This Row],[Playlist_genre2]])</f>
        <v>Hip-Hop</v>
      </c>
      <c r="E560" s="17">
        <v>0.40799999999999997</v>
      </c>
      <c r="F560" t="s">
        <v>596</v>
      </c>
      <c r="G560">
        <v>75</v>
      </c>
      <c r="H560" t="s">
        <v>2202</v>
      </c>
      <c r="I560" t="s">
        <v>2586</v>
      </c>
      <c r="J560" s="22">
        <v>44694</v>
      </c>
      <c r="K560">
        <v>1</v>
      </c>
      <c r="L560">
        <v>1</v>
      </c>
      <c r="M560" s="21">
        <f ca="1">LEFT(Music_Data[[#This Row],[Duration_minutes]],3)/60</f>
        <v>3.25</v>
      </c>
      <c r="N560" s="17">
        <v>0.377</v>
      </c>
      <c r="O560" s="17" t="str">
        <f ca="1">PROPER(Music_Data[[#This Row],[Playlist_subgenre2]])</f>
        <v>Gangster</v>
      </c>
    </row>
    <row r="561" spans="1:15">
      <c r="A561" s="17">
        <v>0.73</v>
      </c>
      <c r="B561" s="21">
        <v>156</v>
      </c>
      <c r="C561" s="16">
        <v>0.72899999999999998</v>
      </c>
      <c r="D561" s="16" t="str">
        <f ca="1">PROPER(Music_Data[[#This Row],[Playlist_genre2]])</f>
        <v>Hip-Hop</v>
      </c>
      <c r="E561" s="17">
        <v>0.41</v>
      </c>
      <c r="F561" t="s">
        <v>2282</v>
      </c>
      <c r="G561">
        <v>75</v>
      </c>
      <c r="H561" t="s">
        <v>2202</v>
      </c>
      <c r="I561" t="s">
        <v>2476</v>
      </c>
      <c r="J561" s="22">
        <v>43728</v>
      </c>
      <c r="K561">
        <v>0</v>
      </c>
      <c r="L561">
        <v>11</v>
      </c>
      <c r="M561" s="21">
        <f ca="1">LEFT(Music_Data[[#This Row],[Duration_minutes]],3)/60</f>
        <v>3.1833333333333331</v>
      </c>
      <c r="N561" s="17">
        <v>1.65E-3</v>
      </c>
      <c r="O561" s="17" t="str">
        <f ca="1">PROPER(Music_Data[[#This Row],[Playlist_subgenre2]])</f>
        <v>Gangster</v>
      </c>
    </row>
    <row r="562" spans="1:15">
      <c r="A562" s="17">
        <v>0.34599999999999997</v>
      </c>
      <c r="B562" s="21">
        <v>119</v>
      </c>
      <c r="C562" s="16">
        <v>0.96299999999999997</v>
      </c>
      <c r="D562" s="16" t="str">
        <f ca="1">PROPER(Music_Data[[#This Row],[Playlist_genre2]])</f>
        <v>Hip-Hop</v>
      </c>
      <c r="E562" s="17">
        <v>0.56200000000000006</v>
      </c>
      <c r="F562" t="s">
        <v>2622</v>
      </c>
      <c r="G562">
        <v>75</v>
      </c>
      <c r="H562" t="s">
        <v>2607</v>
      </c>
      <c r="I562" t="s">
        <v>2628</v>
      </c>
      <c r="J562" s="22">
        <v>43238</v>
      </c>
      <c r="K562">
        <v>0</v>
      </c>
      <c r="L562">
        <v>5</v>
      </c>
      <c r="M562" s="21">
        <f ca="1">LEFT(Music_Data[[#This Row],[Duration_minutes]],3)/60</f>
        <v>2.3666666666666667</v>
      </c>
      <c r="N562" s="17">
        <v>3.5499999999999997E-2</v>
      </c>
      <c r="O562" s="17" t="str">
        <f ca="1">PROPER(Music_Data[[#This Row],[Playlist_subgenre2]])</f>
        <v>Trap</v>
      </c>
    </row>
    <row r="563" spans="1:15">
      <c r="A563" s="17">
        <v>0.66500000000000004</v>
      </c>
      <c r="B563" s="21">
        <v>943</v>
      </c>
      <c r="C563" s="16">
        <v>0.58299999999999996</v>
      </c>
      <c r="D563" s="16" t="str">
        <f ca="1">PROPER(Music_Data[[#This Row],[Playlist_genre2]])</f>
        <v>Hip-Hop</v>
      </c>
      <c r="E563" s="17">
        <v>0.46300000000000002</v>
      </c>
      <c r="F563" t="s">
        <v>13161</v>
      </c>
      <c r="G563">
        <v>75</v>
      </c>
      <c r="H563" t="s">
        <v>2607</v>
      </c>
      <c r="I563" t="s">
        <v>2618</v>
      </c>
      <c r="J563" s="22">
        <v>45544</v>
      </c>
      <c r="K563">
        <v>1</v>
      </c>
      <c r="L563">
        <v>1</v>
      </c>
      <c r="M563" s="21">
        <f ca="1">LEFT(Music_Data[[#This Row],[Duration_minutes]],3)/60</f>
        <v>2.5833333333333335</v>
      </c>
      <c r="N563" s="17">
        <v>0.314</v>
      </c>
      <c r="O563" s="17" t="str">
        <f ca="1">PROPER(Music_Data[[#This Row],[Playlist_subgenre2]])</f>
        <v>Trap</v>
      </c>
    </row>
    <row r="564" spans="1:15">
      <c r="A564" s="17">
        <v>0.88</v>
      </c>
      <c r="B564" s="21">
        <v>169</v>
      </c>
      <c r="C564" s="16">
        <v>0.49</v>
      </c>
      <c r="D564" s="16" t="str">
        <f ca="1">PROPER(Music_Data[[#This Row],[Playlist_genre2]])</f>
        <v>Hip-Hop</v>
      </c>
      <c r="E564" s="17">
        <v>0.39200000000000002</v>
      </c>
      <c r="F564" t="s">
        <v>7220</v>
      </c>
      <c r="G564">
        <v>75</v>
      </c>
      <c r="H564" t="s">
        <v>12170</v>
      </c>
      <c r="I564" t="s">
        <v>12294</v>
      </c>
      <c r="J564" s="22">
        <v>45030</v>
      </c>
      <c r="K564">
        <v>1</v>
      </c>
      <c r="L564">
        <v>2</v>
      </c>
      <c r="M564" s="21">
        <f ca="1">LEFT(Music_Data[[#This Row],[Duration_minutes]],3)/60</f>
        <v>3.0666666666666669</v>
      </c>
      <c r="N564" s="17">
        <v>1.5399999999999999E-3</v>
      </c>
      <c r="O564" s="17" t="str">
        <f ca="1">PROPER(Music_Data[[#This Row],[Playlist_subgenre2]])</f>
        <v>Melodic</v>
      </c>
    </row>
    <row r="565" spans="1:15">
      <c r="A565" s="17">
        <v>0.627</v>
      </c>
      <c r="B565" s="21">
        <v>899</v>
      </c>
      <c r="C565" s="16">
        <v>0.74199999999999999</v>
      </c>
      <c r="D565" s="16" t="str">
        <f ca="1">PROPER(Music_Data[[#This Row],[Playlist_genre2]])</f>
        <v>Hip-Hop</v>
      </c>
      <c r="E565" s="17">
        <v>0.35599999999999998</v>
      </c>
      <c r="F565" t="s">
        <v>12448</v>
      </c>
      <c r="G565">
        <v>75</v>
      </c>
      <c r="H565" t="s">
        <v>12411</v>
      </c>
      <c r="I565" t="s">
        <v>12472</v>
      </c>
      <c r="J565" s="22">
        <v>45065</v>
      </c>
      <c r="K565">
        <v>0</v>
      </c>
      <c r="L565">
        <v>4</v>
      </c>
      <c r="M565" s="21">
        <f ca="1">LEFT(Music_Data[[#This Row],[Duration_minutes]],3)/60</f>
        <v>3.05</v>
      </c>
      <c r="N565" s="17">
        <v>0.26200000000000001</v>
      </c>
      <c r="O565" s="17" t="str">
        <f ca="1">PROPER(Music_Data[[#This Row],[Playlist_subgenre2]])</f>
        <v>Desi</v>
      </c>
    </row>
    <row r="566" spans="1:15">
      <c r="A566" s="17">
        <v>0.51200000000000001</v>
      </c>
      <c r="B566" s="21">
        <v>144</v>
      </c>
      <c r="C566" s="16">
        <v>0.84799999999999998</v>
      </c>
      <c r="D566" s="16" t="str">
        <f ca="1">PROPER(Music_Data[[#This Row],[Playlist_genre2]])</f>
        <v>Hip-Hop</v>
      </c>
      <c r="E566" s="17">
        <v>0.88100000000000001</v>
      </c>
      <c r="F566" t="s">
        <v>12448</v>
      </c>
      <c r="G566">
        <v>75</v>
      </c>
      <c r="H566" t="s">
        <v>12411</v>
      </c>
      <c r="I566" t="s">
        <v>12498</v>
      </c>
      <c r="J566" s="22">
        <v>45156</v>
      </c>
      <c r="K566">
        <v>1</v>
      </c>
      <c r="L566">
        <v>7</v>
      </c>
      <c r="M566" s="21">
        <f ca="1">LEFT(Music_Data[[#This Row],[Duration_minutes]],3)/60</f>
        <v>2.65</v>
      </c>
      <c r="N566" s="17">
        <v>0.28399999999999997</v>
      </c>
      <c r="O566" s="17" t="str">
        <f ca="1">PROPER(Music_Data[[#This Row],[Playlist_subgenre2]])</f>
        <v>Desi</v>
      </c>
    </row>
    <row r="567" spans="1:15">
      <c r="A567" s="17">
        <v>0.63</v>
      </c>
      <c r="B567" s="21">
        <v>950</v>
      </c>
      <c r="C567" s="16">
        <v>0.874</v>
      </c>
      <c r="D567" s="16" t="str">
        <f ca="1">PROPER(Music_Data[[#This Row],[Playlist_genre2]])</f>
        <v>Hip-Hop</v>
      </c>
      <c r="E567" s="17">
        <v>0.71699999999999997</v>
      </c>
      <c r="F567" t="s">
        <v>5863</v>
      </c>
      <c r="G567">
        <v>74</v>
      </c>
      <c r="H567" t="s">
        <v>5837</v>
      </c>
      <c r="I567" t="s">
        <v>5869</v>
      </c>
      <c r="J567" s="22">
        <v>35431</v>
      </c>
      <c r="K567">
        <v>1</v>
      </c>
      <c r="L567">
        <v>1</v>
      </c>
      <c r="M567" s="21">
        <f ca="1">LEFT(Music_Data[[#This Row],[Duration_minutes]],3)/60</f>
        <v>4.6833333333333336</v>
      </c>
      <c r="N567" s="17">
        <v>5.7799999999999997E-2</v>
      </c>
      <c r="O567" s="17" t="str">
        <f ca="1">PROPER(Music_Data[[#This Row],[Playlist_subgenre2]])</f>
        <v>90S</v>
      </c>
    </row>
    <row r="568" spans="1:15">
      <c r="A568" s="17">
        <v>0.63</v>
      </c>
      <c r="B568" s="21">
        <v>950</v>
      </c>
      <c r="C568" s="16">
        <v>0.874</v>
      </c>
      <c r="D568" s="16" t="str">
        <f ca="1">PROPER(Music_Data[[#This Row],[Playlist_genre2]])</f>
        <v>Hip-Hop</v>
      </c>
      <c r="E568" s="17">
        <v>0.71699999999999997</v>
      </c>
      <c r="F568" t="s">
        <v>5863</v>
      </c>
      <c r="G568">
        <v>74</v>
      </c>
      <c r="H568" t="s">
        <v>11488</v>
      </c>
      <c r="I568" t="s">
        <v>5869</v>
      </c>
      <c r="J568" s="22">
        <v>35431</v>
      </c>
      <c r="K568">
        <v>1</v>
      </c>
      <c r="L568">
        <v>1</v>
      </c>
      <c r="M568" s="21">
        <f ca="1">LEFT(Music_Data[[#This Row],[Duration_minutes]],3)/60</f>
        <v>4.6833333333333336</v>
      </c>
      <c r="N568" s="17">
        <v>5.7799999999999997E-2</v>
      </c>
      <c r="O568" s="17" t="str">
        <f ca="1">PROPER(Music_Data[[#This Row],[Playlist_subgenre2]])</f>
        <v>Chill</v>
      </c>
    </row>
    <row r="569" spans="1:15">
      <c r="A569" s="17">
        <v>0.52700000000000002</v>
      </c>
      <c r="B569" s="21">
        <v>774</v>
      </c>
      <c r="C569" s="16">
        <v>0.82399999999999995</v>
      </c>
      <c r="D569" s="16" t="str">
        <f ca="1">PROPER(Music_Data[[#This Row],[Playlist_genre2]])</f>
        <v>Hip-Hop</v>
      </c>
      <c r="E569" s="17">
        <v>0.21199999999999999</v>
      </c>
      <c r="F569" t="s">
        <v>2175</v>
      </c>
      <c r="G569">
        <v>74</v>
      </c>
      <c r="H569" t="s">
        <v>1852</v>
      </c>
      <c r="I569" t="s">
        <v>2178</v>
      </c>
      <c r="J569" s="22">
        <v>45534</v>
      </c>
      <c r="K569">
        <v>1</v>
      </c>
      <c r="L569">
        <v>8</v>
      </c>
      <c r="M569" s="21">
        <f ca="1">LEFT(Music_Data[[#This Row],[Duration_minutes]],3)/60</f>
        <v>2.5833333333333335</v>
      </c>
      <c r="N569" s="17">
        <v>0.14899999999999999</v>
      </c>
      <c r="O569" s="17" t="str">
        <f ca="1">PROPER(Music_Data[[#This Row],[Playlist_subgenre2]])</f>
        <v>Modern</v>
      </c>
    </row>
    <row r="570" spans="1:15">
      <c r="A570" s="17">
        <v>0.61499999999999999</v>
      </c>
      <c r="B570" s="21">
        <v>840</v>
      </c>
      <c r="C570" s="16">
        <v>0.77500000000000002</v>
      </c>
      <c r="D570" s="16" t="str">
        <f ca="1">PROPER(Music_Data[[#This Row],[Playlist_genre2]])</f>
        <v>Hip-Hop</v>
      </c>
      <c r="E570" s="17">
        <v>0.91800000000000004</v>
      </c>
      <c r="F570" t="s">
        <v>12407</v>
      </c>
      <c r="G570">
        <v>74</v>
      </c>
      <c r="H570" t="s">
        <v>12411</v>
      </c>
      <c r="I570" t="s">
        <v>12410</v>
      </c>
      <c r="J570" s="22">
        <v>45547</v>
      </c>
      <c r="K570">
        <v>0</v>
      </c>
      <c r="L570">
        <v>1</v>
      </c>
      <c r="M570" s="21">
        <f ca="1">LEFT(Music_Data[[#This Row],[Duration_minutes]],3)/60</f>
        <v>3.2833333333333332</v>
      </c>
      <c r="N570" s="17">
        <v>0.30399999999999999</v>
      </c>
      <c r="O570" s="17" t="str">
        <f ca="1">PROPER(Music_Data[[#This Row],[Playlist_subgenre2]])</f>
        <v>Desi</v>
      </c>
    </row>
    <row r="571" spans="1:15">
      <c r="A571" s="17">
        <v>0.57799999999999996</v>
      </c>
      <c r="B571" s="21">
        <v>124</v>
      </c>
      <c r="C571" s="16">
        <v>0.91600000000000004</v>
      </c>
      <c r="D571" s="16" t="str">
        <f ca="1">PROPER(Music_Data[[#This Row],[Playlist_genre2]])</f>
        <v>Hip-Hop</v>
      </c>
      <c r="E571" s="17">
        <v>0.192</v>
      </c>
      <c r="F571" t="s">
        <v>1883</v>
      </c>
      <c r="G571">
        <v>74</v>
      </c>
      <c r="H571" t="s">
        <v>1852</v>
      </c>
      <c r="I571" t="s">
        <v>2106</v>
      </c>
      <c r="J571" s="22">
        <v>45555</v>
      </c>
      <c r="K571">
        <v>1</v>
      </c>
      <c r="L571">
        <v>11</v>
      </c>
      <c r="M571" s="21">
        <f ca="1">LEFT(Music_Data[[#This Row],[Duration_minutes]],3)/60</f>
        <v>2.65</v>
      </c>
      <c r="N571" s="17">
        <v>3.49E-3</v>
      </c>
      <c r="O571" s="17" t="str">
        <f ca="1">PROPER(Music_Data[[#This Row],[Playlist_subgenre2]])</f>
        <v>Modern</v>
      </c>
    </row>
    <row r="572" spans="1:15">
      <c r="A572" s="17">
        <v>0.69099999999999995</v>
      </c>
      <c r="B572" s="21">
        <v>119</v>
      </c>
      <c r="C572" s="16">
        <v>0.82299999999999995</v>
      </c>
      <c r="D572" s="16" t="str">
        <f ca="1">PROPER(Music_Data[[#This Row],[Playlist_genre2]])</f>
        <v>Hip-Hop</v>
      </c>
      <c r="E572" s="17">
        <v>0.70699999999999996</v>
      </c>
      <c r="F572" t="s">
        <v>6243</v>
      </c>
      <c r="G572">
        <v>74</v>
      </c>
      <c r="H572" t="s">
        <v>6248</v>
      </c>
      <c r="I572" t="s">
        <v>6247</v>
      </c>
      <c r="J572" s="22">
        <v>45422</v>
      </c>
      <c r="K572">
        <v>0</v>
      </c>
      <c r="L572">
        <v>9</v>
      </c>
      <c r="M572" s="21">
        <f ca="1">LEFT(Music_Data[[#This Row],[Duration_minutes]],3)/60</f>
        <v>3.1333333333333333</v>
      </c>
      <c r="N572" s="17">
        <v>7.7399999999999997E-2</v>
      </c>
      <c r="O572" s="17" t="str">
        <f ca="1">PROPER(Music_Data[[#This Row],[Playlist_subgenre2]])</f>
        <v>French</v>
      </c>
    </row>
    <row r="573" spans="1:15">
      <c r="A573" s="17">
        <v>0.496</v>
      </c>
      <c r="B573" s="21">
        <v>860</v>
      </c>
      <c r="C573" s="16">
        <v>0.88900000000000001</v>
      </c>
      <c r="D573" s="16" t="str">
        <f ca="1">PROPER(Music_Data[[#This Row],[Playlist_genre2]])</f>
        <v>Hip-Hop</v>
      </c>
      <c r="E573" s="17">
        <v>0.54400000000000004</v>
      </c>
      <c r="F573" t="s">
        <v>2804</v>
      </c>
      <c r="G573">
        <v>74</v>
      </c>
      <c r="H573" t="s">
        <v>2607</v>
      </c>
      <c r="I573" t="s">
        <v>2811</v>
      </c>
      <c r="J573" s="22">
        <v>43434</v>
      </c>
      <c r="K573">
        <v>0</v>
      </c>
      <c r="L573">
        <v>4</v>
      </c>
      <c r="M573" s="21">
        <f ca="1">LEFT(Music_Data[[#This Row],[Duration_minutes]],3)/60</f>
        <v>3</v>
      </c>
      <c r="N573" s="17">
        <v>0.25900000000000001</v>
      </c>
      <c r="O573" s="17" t="str">
        <f ca="1">PROPER(Music_Data[[#This Row],[Playlist_subgenre2]])</f>
        <v>Trap</v>
      </c>
    </row>
    <row r="574" spans="1:15">
      <c r="A574" s="17">
        <v>0.78600000000000003</v>
      </c>
      <c r="B574" s="21">
        <v>938</v>
      </c>
      <c r="C574" s="16">
        <v>0.76300000000000001</v>
      </c>
      <c r="D574" s="16" t="str">
        <f ca="1">PROPER(Music_Data[[#This Row],[Playlist_genre2]])</f>
        <v>Hip-Hop</v>
      </c>
      <c r="E574" s="17">
        <v>0.504</v>
      </c>
      <c r="F574" t="s">
        <v>5873</v>
      </c>
      <c r="G574">
        <v>74</v>
      </c>
      <c r="H574" t="s">
        <v>5837</v>
      </c>
      <c r="I574" t="s">
        <v>5879</v>
      </c>
      <c r="J574" s="22">
        <v>34814</v>
      </c>
      <c r="K574">
        <v>0</v>
      </c>
      <c r="L574">
        <v>10</v>
      </c>
      <c r="M574" s="21">
        <f ca="1">LEFT(Music_Data[[#This Row],[Duration_minutes]],3)/60</f>
        <v>5.416666666666667</v>
      </c>
      <c r="N574" s="17">
        <v>1.46E-2</v>
      </c>
      <c r="O574" s="17" t="str">
        <f ca="1">PROPER(Music_Data[[#This Row],[Playlist_subgenre2]])</f>
        <v>90S</v>
      </c>
    </row>
    <row r="575" spans="1:15">
      <c r="A575" s="17">
        <v>0.505</v>
      </c>
      <c r="B575" s="21">
        <v>999</v>
      </c>
      <c r="C575" s="16">
        <v>0.53500000000000003</v>
      </c>
      <c r="D575" s="16" t="str">
        <f ca="1">PROPER(Music_Data[[#This Row],[Playlist_genre2]])</f>
        <v>Hip-Hop</v>
      </c>
      <c r="E575" s="17">
        <v>0.495</v>
      </c>
      <c r="F575" t="s">
        <v>5854</v>
      </c>
      <c r="G575">
        <v>74</v>
      </c>
      <c r="H575" t="s">
        <v>5837</v>
      </c>
      <c r="I575" t="s">
        <v>5860</v>
      </c>
      <c r="J575" s="22">
        <v>36032</v>
      </c>
      <c r="K575">
        <v>0</v>
      </c>
      <c r="L575">
        <v>2</v>
      </c>
      <c r="M575" s="21">
        <f ca="1">LEFT(Music_Data[[#This Row],[Duration_minutes]],3)/60</f>
        <v>5.333333333333333</v>
      </c>
      <c r="N575" s="17">
        <v>3.9300000000000002E-2</v>
      </c>
      <c r="O575" s="17" t="str">
        <f ca="1">PROPER(Music_Data[[#This Row],[Playlist_subgenre2]])</f>
        <v>90S</v>
      </c>
    </row>
    <row r="576" spans="1:15">
      <c r="A576" s="17">
        <v>0.65300000000000002</v>
      </c>
      <c r="B576" s="21">
        <v>150</v>
      </c>
      <c r="C576" s="16">
        <v>0.54700000000000004</v>
      </c>
      <c r="D576" s="16" t="str">
        <f ca="1">PROPER(Music_Data[[#This Row],[Playlist_genre2]])</f>
        <v>Hip-Hop</v>
      </c>
      <c r="E576" s="17">
        <v>0.16300000000000001</v>
      </c>
      <c r="F576" t="s">
        <v>7027</v>
      </c>
      <c r="G576">
        <v>74</v>
      </c>
      <c r="H576" t="s">
        <v>12170</v>
      </c>
      <c r="I576" t="s">
        <v>7032</v>
      </c>
      <c r="J576" s="22">
        <v>43714</v>
      </c>
      <c r="K576">
        <v>1</v>
      </c>
      <c r="L576">
        <v>5</v>
      </c>
      <c r="M576" s="21">
        <f ca="1">LEFT(Music_Data[[#This Row],[Duration_minutes]],3)/60</f>
        <v>2.9</v>
      </c>
      <c r="N576" s="17">
        <v>0.45600000000000002</v>
      </c>
      <c r="O576" s="17" t="str">
        <f ca="1">PROPER(Music_Data[[#This Row],[Playlist_subgenre2]])</f>
        <v>Melodic</v>
      </c>
    </row>
    <row r="577" spans="1:15">
      <c r="A577" s="17">
        <v>0.75800000000000001</v>
      </c>
      <c r="B577" s="21">
        <v>165</v>
      </c>
      <c r="C577" s="16">
        <v>0.68100000000000005</v>
      </c>
      <c r="D577" s="16" t="str">
        <f ca="1">PROPER(Music_Data[[#This Row],[Playlist_genre2]])</f>
        <v>Hip-Hop</v>
      </c>
      <c r="E577" s="17">
        <v>0.33100000000000002</v>
      </c>
      <c r="F577" t="s">
        <v>2305</v>
      </c>
      <c r="G577">
        <v>73</v>
      </c>
      <c r="H577" t="s">
        <v>2202</v>
      </c>
      <c r="I577" t="s">
        <v>2311</v>
      </c>
      <c r="J577" s="22">
        <v>45303</v>
      </c>
      <c r="K577">
        <v>1</v>
      </c>
      <c r="L577">
        <v>1</v>
      </c>
      <c r="M577" s="21">
        <f ca="1">LEFT(Music_Data[[#This Row],[Duration_minutes]],3)/60</f>
        <v>3.6666666666666665</v>
      </c>
      <c r="N577" s="17">
        <v>4.6499999999999996E-3</v>
      </c>
      <c r="O577" s="17" t="str">
        <f ca="1">PROPER(Music_Data[[#This Row],[Playlist_subgenre2]])</f>
        <v>Gangster</v>
      </c>
    </row>
    <row r="578" spans="1:15">
      <c r="A578" s="17">
        <v>0.64600000000000002</v>
      </c>
      <c r="B578" s="21">
        <v>127</v>
      </c>
      <c r="C578" s="16">
        <v>0.94599999999999995</v>
      </c>
      <c r="D578" s="16" t="str">
        <f ca="1">PROPER(Music_Data[[#This Row],[Playlist_genre2]])</f>
        <v>Hip-Hop</v>
      </c>
      <c r="E578" s="17">
        <v>0.96099999999999997</v>
      </c>
      <c r="F578" t="s">
        <v>12265</v>
      </c>
      <c r="G578">
        <v>73</v>
      </c>
      <c r="H578" t="s">
        <v>12170</v>
      </c>
      <c r="I578" t="s">
        <v>12271</v>
      </c>
      <c r="J578" s="22">
        <v>42629</v>
      </c>
      <c r="K578">
        <v>1</v>
      </c>
      <c r="L578">
        <v>5</v>
      </c>
      <c r="M578" s="21">
        <f ca="1">LEFT(Music_Data[[#This Row],[Duration_minutes]],3)/60</f>
        <v>4.0999999999999996</v>
      </c>
      <c r="N578" s="17">
        <v>0.219</v>
      </c>
      <c r="O578" s="17" t="str">
        <f ca="1">PROPER(Music_Data[[#This Row],[Playlist_subgenre2]])</f>
        <v>Melodic</v>
      </c>
    </row>
    <row r="579" spans="1:15">
      <c r="A579" s="17">
        <v>0.44900000000000001</v>
      </c>
      <c r="B579" s="21">
        <v>136</v>
      </c>
      <c r="C579" s="16">
        <v>0.57799999999999996</v>
      </c>
      <c r="D579" s="16" t="str">
        <f ca="1">PROPER(Music_Data[[#This Row],[Playlist_genre2]])</f>
        <v>Hip-Hop</v>
      </c>
      <c r="E579" s="17">
        <v>0.1</v>
      </c>
      <c r="F579" t="s">
        <v>2445</v>
      </c>
      <c r="G579">
        <v>73</v>
      </c>
      <c r="H579" t="s">
        <v>2202</v>
      </c>
      <c r="I579" t="s">
        <v>2451</v>
      </c>
      <c r="J579" s="22">
        <v>44260</v>
      </c>
      <c r="K579">
        <v>1</v>
      </c>
      <c r="L579">
        <v>1</v>
      </c>
      <c r="M579" s="21">
        <f ca="1">LEFT(Music_Data[[#This Row],[Duration_minutes]],3)/60</f>
        <v>3.2</v>
      </c>
      <c r="N579" s="17">
        <v>6.1800000000000001E-2</v>
      </c>
      <c r="O579" s="17" t="str">
        <f ca="1">PROPER(Music_Data[[#This Row],[Playlist_subgenre2]])</f>
        <v>Gangster</v>
      </c>
    </row>
    <row r="580" spans="1:15">
      <c r="A580" s="17">
        <v>0.63700000000000001</v>
      </c>
      <c r="B580" s="21">
        <v>135</v>
      </c>
      <c r="C580" s="16">
        <v>0.85099999999999998</v>
      </c>
      <c r="D580" s="16" t="str">
        <f ca="1">PROPER(Music_Data[[#This Row],[Playlist_genre2]])</f>
        <v>Hip-Hop</v>
      </c>
      <c r="E580" s="17">
        <v>0.61599999999999999</v>
      </c>
      <c r="F580" t="s">
        <v>2734</v>
      </c>
      <c r="G580">
        <v>73</v>
      </c>
      <c r="H580" t="s">
        <v>2607</v>
      </c>
      <c r="I580" t="s">
        <v>2739</v>
      </c>
      <c r="J580" s="22">
        <v>45596</v>
      </c>
      <c r="K580">
        <v>1</v>
      </c>
      <c r="L580">
        <v>0</v>
      </c>
      <c r="M580" s="21">
        <f ca="1">LEFT(Music_Data[[#This Row],[Duration_minutes]],3)/60</f>
        <v>2.9833333333333334</v>
      </c>
      <c r="N580" s="17">
        <v>0.22500000000000001</v>
      </c>
      <c r="O580" s="17" t="str">
        <f ca="1">PROPER(Music_Data[[#This Row],[Playlist_subgenre2]])</f>
        <v>Trap</v>
      </c>
    </row>
    <row r="581" spans="1:15">
      <c r="A581" s="17">
        <v>0.53300000000000003</v>
      </c>
      <c r="B581" s="21">
        <v>120</v>
      </c>
      <c r="C581" s="16">
        <v>0.79400000000000004</v>
      </c>
      <c r="D581" s="16" t="str">
        <f ca="1">PROPER(Music_Data[[#This Row],[Playlist_genre2]])</f>
        <v>Hip-Hop</v>
      </c>
      <c r="E581" s="17">
        <v>0.15</v>
      </c>
      <c r="F581" t="s">
        <v>1883</v>
      </c>
      <c r="G581">
        <v>73</v>
      </c>
      <c r="H581" t="s">
        <v>1852</v>
      </c>
      <c r="I581" t="s">
        <v>1890</v>
      </c>
      <c r="J581" s="22">
        <v>45555</v>
      </c>
      <c r="K581">
        <v>1</v>
      </c>
      <c r="L581">
        <v>9</v>
      </c>
      <c r="M581" s="21">
        <f ca="1">LEFT(Music_Data[[#This Row],[Duration_minutes]],3)/60</f>
        <v>2.9833333333333334</v>
      </c>
      <c r="N581" s="17">
        <v>0.14000000000000001</v>
      </c>
      <c r="O581" s="17" t="str">
        <f ca="1">PROPER(Music_Data[[#This Row],[Playlist_subgenre2]])</f>
        <v>Modern</v>
      </c>
    </row>
    <row r="582" spans="1:15">
      <c r="A582" s="17">
        <v>0.63800000000000001</v>
      </c>
      <c r="B582" s="21">
        <v>828</v>
      </c>
      <c r="C582" s="16">
        <v>0.67700000000000005</v>
      </c>
      <c r="D582" s="16" t="str">
        <f ca="1">PROPER(Music_Data[[#This Row],[Playlist_genre2]])</f>
        <v>Hip-Hop</v>
      </c>
      <c r="E582" s="17">
        <v>0.435</v>
      </c>
      <c r="F582" t="s">
        <v>11554</v>
      </c>
      <c r="G582">
        <v>73</v>
      </c>
      <c r="H582" t="s">
        <v>11488</v>
      </c>
      <c r="I582" t="s">
        <v>11560</v>
      </c>
      <c r="J582" s="22">
        <v>41982</v>
      </c>
      <c r="K582">
        <v>1</v>
      </c>
      <c r="L582">
        <v>8</v>
      </c>
      <c r="M582" s="21">
        <f ca="1">LEFT(Music_Data[[#This Row],[Duration_minutes]],3)/60</f>
        <v>3.5166666666666666</v>
      </c>
      <c r="N582" s="17">
        <v>0.58899999999999997</v>
      </c>
      <c r="O582" s="17" t="str">
        <f ca="1">PROPER(Music_Data[[#This Row],[Playlist_subgenre2]])</f>
        <v>Chill</v>
      </c>
    </row>
    <row r="583" spans="1:15">
      <c r="A583" s="17">
        <v>0.39600000000000002</v>
      </c>
      <c r="B583" s="21">
        <v>780</v>
      </c>
      <c r="C583" s="16">
        <v>0.72599999999999998</v>
      </c>
      <c r="D583" s="16" t="str">
        <f ca="1">PROPER(Music_Data[[#This Row],[Playlist_genre2]])</f>
        <v>Hip-Hop</v>
      </c>
      <c r="E583" s="17">
        <v>0.41299999999999998</v>
      </c>
      <c r="F583" t="s">
        <v>2153</v>
      </c>
      <c r="G583">
        <v>73</v>
      </c>
      <c r="H583" t="s">
        <v>1852</v>
      </c>
      <c r="I583" t="s">
        <v>2159</v>
      </c>
      <c r="J583" s="22">
        <v>45579</v>
      </c>
      <c r="K583">
        <v>0</v>
      </c>
      <c r="L583">
        <v>5</v>
      </c>
      <c r="M583" s="21">
        <f ca="1">LEFT(Music_Data[[#This Row],[Duration_minutes]],3)/60</f>
        <v>3.2833333333333332</v>
      </c>
      <c r="N583" s="17">
        <v>0.26900000000000002</v>
      </c>
      <c r="O583" s="17" t="str">
        <f ca="1">PROPER(Music_Data[[#This Row],[Playlist_subgenre2]])</f>
        <v>Modern</v>
      </c>
    </row>
    <row r="584" spans="1:15">
      <c r="A584" s="17">
        <v>0.42099999999999999</v>
      </c>
      <c r="B584" s="21">
        <v>959</v>
      </c>
      <c r="C584" s="16">
        <v>0.85199999999999998</v>
      </c>
      <c r="D584" s="16" t="str">
        <f ca="1">PROPER(Music_Data[[#This Row],[Playlist_genre2]])</f>
        <v>Hip-Hop</v>
      </c>
      <c r="E584" s="17">
        <v>0.45700000000000002</v>
      </c>
      <c r="F584" t="s">
        <v>596</v>
      </c>
      <c r="G584">
        <v>73</v>
      </c>
      <c r="H584" t="s">
        <v>11488</v>
      </c>
      <c r="I584" t="s">
        <v>11582</v>
      </c>
      <c r="J584" s="22">
        <v>44694</v>
      </c>
      <c r="K584">
        <v>0</v>
      </c>
      <c r="L584">
        <v>10</v>
      </c>
      <c r="M584" s="21">
        <f ca="1">LEFT(Music_Data[[#This Row],[Duration_minutes]],3)/60</f>
        <v>3.3666666666666667</v>
      </c>
      <c r="N584" s="17">
        <v>0.42799999999999999</v>
      </c>
      <c r="O584" s="17" t="str">
        <f ca="1">PROPER(Music_Data[[#This Row],[Playlist_subgenre2]])</f>
        <v>Chill</v>
      </c>
    </row>
    <row r="585" spans="1:15">
      <c r="A585" s="17">
        <v>0.73199999999999998</v>
      </c>
      <c r="B585" s="21">
        <v>149</v>
      </c>
      <c r="C585" s="16">
        <v>0.84099999999999997</v>
      </c>
      <c r="D585" s="16" t="str">
        <f ca="1">PROPER(Music_Data[[#This Row],[Playlist_genre2]])</f>
        <v>Hip-Hop</v>
      </c>
      <c r="E585" s="17">
        <v>0.57599999999999996</v>
      </c>
      <c r="F585" t="s">
        <v>2376</v>
      </c>
      <c r="G585">
        <v>73</v>
      </c>
      <c r="H585" t="s">
        <v>2202</v>
      </c>
      <c r="I585" t="s">
        <v>2494</v>
      </c>
      <c r="J585" s="22">
        <v>44505</v>
      </c>
      <c r="K585">
        <v>0</v>
      </c>
      <c r="L585">
        <v>7</v>
      </c>
      <c r="M585" s="21">
        <f ca="1">LEFT(Music_Data[[#This Row],[Duration_minutes]],3)/60</f>
        <v>2.3833333333333333</v>
      </c>
      <c r="N585" s="17">
        <v>1.15E-2</v>
      </c>
      <c r="O585" s="17" t="str">
        <f ca="1">PROPER(Music_Data[[#This Row],[Playlist_subgenre2]])</f>
        <v>Gangster</v>
      </c>
    </row>
    <row r="586" spans="1:15">
      <c r="A586" s="17">
        <v>0.73499999999999999</v>
      </c>
      <c r="B586" s="21">
        <v>998</v>
      </c>
      <c r="C586" s="16">
        <v>0.69699999999999995</v>
      </c>
      <c r="D586" s="16" t="str">
        <f ca="1">PROPER(Music_Data[[#This Row],[Playlist_genre2]])</f>
        <v>Hip-Hop</v>
      </c>
      <c r="E586" s="17">
        <v>0.40300000000000002</v>
      </c>
      <c r="F586" t="s">
        <v>2845</v>
      </c>
      <c r="G586">
        <v>73</v>
      </c>
      <c r="H586" t="s">
        <v>2607</v>
      </c>
      <c r="I586" t="s">
        <v>2851</v>
      </c>
      <c r="J586" s="22">
        <v>45554</v>
      </c>
      <c r="K586">
        <v>0</v>
      </c>
      <c r="L586">
        <v>10</v>
      </c>
      <c r="M586" s="21">
        <f ca="1">LEFT(Music_Data[[#This Row],[Duration_minutes]],3)/60</f>
        <v>2.7</v>
      </c>
      <c r="N586" s="17">
        <v>0.17199999999999999</v>
      </c>
      <c r="O586" s="17" t="str">
        <f ca="1">PROPER(Music_Data[[#This Row],[Playlist_subgenre2]])</f>
        <v>Trap</v>
      </c>
    </row>
    <row r="587" spans="1:15">
      <c r="A587" s="17">
        <v>0.76100000000000001</v>
      </c>
      <c r="B587" s="21">
        <v>147</v>
      </c>
      <c r="C587" s="16">
        <v>0.64900000000000002</v>
      </c>
      <c r="D587" s="16" t="str">
        <f ca="1">PROPER(Music_Data[[#This Row],[Playlist_genre2]])</f>
        <v>Hip-Hop</v>
      </c>
      <c r="E587" s="17">
        <v>0.313</v>
      </c>
      <c r="F587" t="s">
        <v>1992</v>
      </c>
      <c r="G587">
        <v>73</v>
      </c>
      <c r="H587" t="s">
        <v>1852</v>
      </c>
      <c r="I587" t="s">
        <v>1998</v>
      </c>
      <c r="J587" s="22">
        <v>45555</v>
      </c>
      <c r="K587">
        <v>1</v>
      </c>
      <c r="L587">
        <v>8</v>
      </c>
      <c r="M587" s="21">
        <f ca="1">LEFT(Music_Data[[#This Row],[Duration_minutes]],3)/60</f>
        <v>2.5</v>
      </c>
      <c r="N587" s="17">
        <v>6.94E-3</v>
      </c>
      <c r="O587" s="17" t="str">
        <f ca="1">PROPER(Music_Data[[#This Row],[Playlist_subgenre2]])</f>
        <v>Modern</v>
      </c>
    </row>
    <row r="588" spans="1:15">
      <c r="A588" s="17">
        <v>0.67100000000000004</v>
      </c>
      <c r="B588" s="21">
        <v>179</v>
      </c>
      <c r="C588" s="16">
        <v>0.68400000000000005</v>
      </c>
      <c r="D588" s="16" t="str">
        <f ca="1">PROPER(Music_Data[[#This Row],[Playlist_genre2]])</f>
        <v>Hip-Hop</v>
      </c>
      <c r="E588" s="17">
        <v>0.45</v>
      </c>
      <c r="F588" t="s">
        <v>12200</v>
      </c>
      <c r="G588">
        <v>73</v>
      </c>
      <c r="H588" t="s">
        <v>12170</v>
      </c>
      <c r="I588" t="s">
        <v>12205</v>
      </c>
      <c r="J588" s="22">
        <v>43707</v>
      </c>
      <c r="K588">
        <v>0</v>
      </c>
      <c r="L588">
        <v>2</v>
      </c>
      <c r="M588" s="21">
        <f ca="1">LEFT(Music_Data[[#This Row],[Duration_minutes]],3)/60</f>
        <v>2.85</v>
      </c>
      <c r="N588" s="17">
        <v>1.1900000000000001E-2</v>
      </c>
      <c r="O588" s="17" t="str">
        <f ca="1">PROPER(Music_Data[[#This Row],[Playlist_subgenre2]])</f>
        <v>Melodic</v>
      </c>
    </row>
    <row r="589" spans="1:15">
      <c r="A589" s="17">
        <v>0.51500000000000001</v>
      </c>
      <c r="B589" s="21">
        <v>120</v>
      </c>
      <c r="C589" s="16">
        <v>0.56699999999999995</v>
      </c>
      <c r="D589" s="16" t="str">
        <f ca="1">PROPER(Music_Data[[#This Row],[Playlist_genre2]])</f>
        <v>Hip-Hop</v>
      </c>
      <c r="E589" s="17">
        <v>0.32100000000000001</v>
      </c>
      <c r="F589" t="s">
        <v>6939</v>
      </c>
      <c r="G589">
        <v>73</v>
      </c>
      <c r="H589" t="s">
        <v>12170</v>
      </c>
      <c r="I589" t="s">
        <v>6945</v>
      </c>
      <c r="J589" s="22">
        <v>43749</v>
      </c>
      <c r="K589">
        <v>0</v>
      </c>
      <c r="L589">
        <v>6</v>
      </c>
      <c r="M589" s="21">
        <f ca="1">LEFT(Music_Data[[#This Row],[Duration_minutes]],3)/60</f>
        <v>3.7333333333333334</v>
      </c>
      <c r="N589" s="17">
        <v>0.35399999999999998</v>
      </c>
      <c r="O589" s="17" t="str">
        <f ca="1">PROPER(Music_Data[[#This Row],[Playlist_subgenre2]])</f>
        <v>Melodic</v>
      </c>
    </row>
    <row r="590" spans="1:15">
      <c r="A590" s="17">
        <v>0.69199999999999995</v>
      </c>
      <c r="B590" s="21">
        <v>140</v>
      </c>
      <c r="C590" s="16">
        <v>0.63700000000000001</v>
      </c>
      <c r="D590" s="16" t="str">
        <f ca="1">PROPER(Music_Data[[#This Row],[Playlist_genre2]])</f>
        <v>Hip-Hop</v>
      </c>
      <c r="E590" s="17">
        <v>0.42699999999999999</v>
      </c>
      <c r="F590" t="s">
        <v>2003</v>
      </c>
      <c r="G590">
        <v>73</v>
      </c>
      <c r="H590" t="s">
        <v>1852</v>
      </c>
      <c r="I590" t="s">
        <v>2130</v>
      </c>
      <c r="J590" s="22">
        <v>45597</v>
      </c>
      <c r="K590">
        <v>0</v>
      </c>
      <c r="L590">
        <v>1</v>
      </c>
      <c r="M590" s="21">
        <f ca="1">LEFT(Music_Data[[#This Row],[Duration_minutes]],3)/60</f>
        <v>2.7333333333333334</v>
      </c>
      <c r="N590" s="17">
        <v>1.5299999999999999E-2</v>
      </c>
      <c r="O590" s="17" t="str">
        <f ca="1">PROPER(Music_Data[[#This Row],[Playlist_subgenre2]])</f>
        <v>Modern</v>
      </c>
    </row>
    <row r="591" spans="1:15">
      <c r="A591" s="17">
        <v>0.70599999999999996</v>
      </c>
      <c r="B591" s="21">
        <v>174</v>
      </c>
      <c r="C591" s="16">
        <v>0.58399999999999996</v>
      </c>
      <c r="D591" s="16" t="str">
        <f ca="1">PROPER(Music_Data[[#This Row],[Playlist_genre2]])</f>
        <v>Hip-Hop</v>
      </c>
      <c r="E591" s="17">
        <v>0.57899999999999996</v>
      </c>
      <c r="F591" t="s">
        <v>5881</v>
      </c>
      <c r="G591">
        <v>73</v>
      </c>
      <c r="H591" t="s">
        <v>5837</v>
      </c>
      <c r="I591" t="s">
        <v>5887</v>
      </c>
      <c r="J591" s="22">
        <v>34884</v>
      </c>
      <c r="K591">
        <v>0</v>
      </c>
      <c r="L591">
        <v>10</v>
      </c>
      <c r="M591" s="21">
        <f ca="1">LEFT(Music_Data[[#This Row],[Duration_minutes]],3)/60</f>
        <v>4.2166666666666668</v>
      </c>
      <c r="N591" s="17">
        <v>0.20899999999999999</v>
      </c>
      <c r="O591" s="17" t="str">
        <f ca="1">PROPER(Music_Data[[#This Row],[Playlist_subgenre2]])</f>
        <v>90S</v>
      </c>
    </row>
    <row r="592" spans="1:15">
      <c r="A592" s="17">
        <v>0.53800000000000003</v>
      </c>
      <c r="B592" s="21">
        <v>141</v>
      </c>
      <c r="C592" s="16">
        <v>0.52</v>
      </c>
      <c r="D592" s="16" t="str">
        <f ca="1">PROPER(Music_Data[[#This Row],[Playlist_genre2]])</f>
        <v>Hip-Hop</v>
      </c>
      <c r="E592" s="17">
        <v>0.17699999999999999</v>
      </c>
      <c r="F592" t="s">
        <v>11484</v>
      </c>
      <c r="G592">
        <v>73</v>
      </c>
      <c r="H592" t="s">
        <v>11488</v>
      </c>
      <c r="I592" t="s">
        <v>11491</v>
      </c>
      <c r="J592" s="22">
        <v>43315</v>
      </c>
      <c r="K592">
        <v>1</v>
      </c>
      <c r="L592">
        <v>1</v>
      </c>
      <c r="M592" s="21">
        <f ca="1">LEFT(Music_Data[[#This Row],[Duration_minutes]],3)/60</f>
        <v>5.75</v>
      </c>
      <c r="N592" s="17">
        <v>0.36699999999999999</v>
      </c>
      <c r="O592" s="17" t="str">
        <f ca="1">PROPER(Music_Data[[#This Row],[Playlist_subgenre2]])</f>
        <v>Chill</v>
      </c>
    </row>
    <row r="593" spans="1:15">
      <c r="A593" s="17">
        <v>0.88</v>
      </c>
      <c r="B593" s="21">
        <v>920</v>
      </c>
      <c r="C593" s="16">
        <v>0.753</v>
      </c>
      <c r="D593" s="16" t="str">
        <f ca="1">PROPER(Music_Data[[#This Row],[Playlist_genre2]])</f>
        <v>Hip-Hop</v>
      </c>
      <c r="E593" s="17">
        <v>0.58199999999999996</v>
      </c>
      <c r="F593" t="s">
        <v>13163</v>
      </c>
      <c r="G593">
        <v>73</v>
      </c>
      <c r="H593" t="s">
        <v>2607</v>
      </c>
      <c r="I593" s="46">
        <v>1993</v>
      </c>
      <c r="J593" s="22">
        <v>45544</v>
      </c>
      <c r="K593">
        <v>1</v>
      </c>
      <c r="L593">
        <v>11</v>
      </c>
      <c r="M593" s="21">
        <f ca="1">LEFT(Music_Data[[#This Row],[Duration_minutes]],3)/60</f>
        <v>2.1166666666666667</v>
      </c>
      <c r="N593" s="17">
        <v>0.45500000000000002</v>
      </c>
      <c r="O593" s="17" t="str">
        <f ca="1">PROPER(Music_Data[[#This Row],[Playlist_subgenre2]])</f>
        <v>Trap</v>
      </c>
    </row>
    <row r="594" spans="1:15">
      <c r="A594" s="17">
        <v>0.54500000000000004</v>
      </c>
      <c r="B594" s="21">
        <v>970</v>
      </c>
      <c r="C594" s="16">
        <v>0.80900000000000005</v>
      </c>
      <c r="D594" s="16" t="str">
        <f ca="1">PROPER(Music_Data[[#This Row],[Playlist_genre2]])</f>
        <v>Hip-Hop</v>
      </c>
      <c r="E594" s="17">
        <v>0.24399999999999999</v>
      </c>
      <c r="F594" t="s">
        <v>12221</v>
      </c>
      <c r="G594">
        <v>73</v>
      </c>
      <c r="H594" t="s">
        <v>12170</v>
      </c>
      <c r="I594" t="s">
        <v>12227</v>
      </c>
      <c r="J594" s="22">
        <v>43644</v>
      </c>
      <c r="K594">
        <v>1</v>
      </c>
      <c r="L594">
        <v>7</v>
      </c>
      <c r="M594" s="21">
        <f ca="1">LEFT(Music_Data[[#This Row],[Duration_minutes]],3)/60</f>
        <v>3</v>
      </c>
      <c r="N594" s="17">
        <v>0.39200000000000002</v>
      </c>
      <c r="O594" s="17" t="str">
        <f ca="1">PROPER(Music_Data[[#This Row],[Playlist_subgenre2]])</f>
        <v>Melodic</v>
      </c>
    </row>
    <row r="595" spans="1:15">
      <c r="A595" s="17">
        <v>0.53100000000000003</v>
      </c>
      <c r="B595" s="21">
        <v>118</v>
      </c>
      <c r="C595" s="16">
        <v>0.56599999999999995</v>
      </c>
      <c r="D595" s="16" t="str">
        <f ca="1">PROPER(Music_Data[[#This Row],[Playlist_genre2]])</f>
        <v>Hip-Hop</v>
      </c>
      <c r="E595" s="17">
        <v>0.36699999999999999</v>
      </c>
      <c r="F595" t="s">
        <v>13166</v>
      </c>
      <c r="G595">
        <v>73</v>
      </c>
      <c r="H595" t="s">
        <v>2607</v>
      </c>
      <c r="I595" t="s">
        <v>2784</v>
      </c>
      <c r="J595" s="22">
        <v>43608</v>
      </c>
      <c r="K595">
        <v>1</v>
      </c>
      <c r="L595">
        <v>6</v>
      </c>
      <c r="M595" s="21">
        <f ca="1">LEFT(Music_Data[[#This Row],[Duration_minutes]],3)/60</f>
        <v>3.7833333333333332</v>
      </c>
      <c r="N595" s="17">
        <v>0.192</v>
      </c>
      <c r="O595" s="17" t="str">
        <f ca="1">PROPER(Music_Data[[#This Row],[Playlist_subgenre2]])</f>
        <v>Trap</v>
      </c>
    </row>
    <row r="596" spans="1:15">
      <c r="A596" s="17">
        <v>0.8</v>
      </c>
      <c r="B596" s="21">
        <v>139</v>
      </c>
      <c r="C596" s="16">
        <v>0.498</v>
      </c>
      <c r="D596" s="16" t="str">
        <f ca="1">PROPER(Music_Data[[#This Row],[Playlist_genre2]])</f>
        <v>Hip-Hop</v>
      </c>
      <c r="E596" s="17">
        <v>0.27200000000000002</v>
      </c>
      <c r="F596" t="s">
        <v>12206</v>
      </c>
      <c r="G596">
        <v>73</v>
      </c>
      <c r="H596" t="s">
        <v>12170</v>
      </c>
      <c r="I596" t="s">
        <v>12212</v>
      </c>
      <c r="J596" s="22">
        <v>43714</v>
      </c>
      <c r="K596">
        <v>0</v>
      </c>
      <c r="L596">
        <v>1</v>
      </c>
      <c r="M596" s="21">
        <f ca="1">LEFT(Music_Data[[#This Row],[Duration_minutes]],3)/60</f>
        <v>3.8166666666666669</v>
      </c>
      <c r="N596" s="17">
        <v>9.0300000000000005E-2</v>
      </c>
      <c r="O596" s="17" t="str">
        <f ca="1">PROPER(Music_Data[[#This Row],[Playlist_subgenre2]])</f>
        <v>Melodic</v>
      </c>
    </row>
    <row r="597" spans="1:15">
      <c r="A597" s="17">
        <v>0.70899999999999996</v>
      </c>
      <c r="B597" s="21">
        <v>785</v>
      </c>
      <c r="C597" s="16">
        <v>0.749</v>
      </c>
      <c r="D597" s="16" t="str">
        <f ca="1">PROPER(Music_Data[[#This Row],[Playlist_genre2]])</f>
        <v>Hip-Hop</v>
      </c>
      <c r="E597" s="17">
        <v>0.56399999999999995</v>
      </c>
      <c r="F597" t="s">
        <v>1930</v>
      </c>
      <c r="G597">
        <v>73</v>
      </c>
      <c r="H597" t="s">
        <v>1852</v>
      </c>
      <c r="I597" t="s">
        <v>1933</v>
      </c>
      <c r="J597" s="22">
        <v>45443</v>
      </c>
      <c r="K597">
        <v>1</v>
      </c>
      <c r="L597">
        <v>6</v>
      </c>
      <c r="M597" s="21">
        <f ca="1">LEFT(Music_Data[[#This Row],[Duration_minutes]],3)/60</f>
        <v>3.0166666666666666</v>
      </c>
      <c r="N597" s="17">
        <v>0.155</v>
      </c>
      <c r="O597" s="17" t="str">
        <f ca="1">PROPER(Music_Data[[#This Row],[Playlist_subgenre2]])</f>
        <v>Modern</v>
      </c>
    </row>
    <row r="598" spans="1:15">
      <c r="A598" s="17">
        <v>0.71799999999999997</v>
      </c>
      <c r="B598" s="21">
        <v>899</v>
      </c>
      <c r="C598" s="16">
        <v>0.71599999999999997</v>
      </c>
      <c r="D598" s="16" t="str">
        <f ca="1">PROPER(Music_Data[[#This Row],[Playlist_genre2]])</f>
        <v>Hip-Hop</v>
      </c>
      <c r="E598" s="17">
        <v>0.91</v>
      </c>
      <c r="F598" t="s">
        <v>12448</v>
      </c>
      <c r="G598">
        <v>73</v>
      </c>
      <c r="H598" t="s">
        <v>12411</v>
      </c>
      <c r="I598" t="s">
        <v>12527</v>
      </c>
      <c r="J598" s="22">
        <v>45380</v>
      </c>
      <c r="K598">
        <v>0</v>
      </c>
      <c r="L598">
        <v>6</v>
      </c>
      <c r="M598" s="21">
        <f ca="1">LEFT(Music_Data[[#This Row],[Duration_minutes]],3)/60</f>
        <v>2.5666666666666669</v>
      </c>
      <c r="N598" s="17">
        <v>4.5199999999999997E-2</v>
      </c>
      <c r="O598" s="17" t="str">
        <f ca="1">PROPER(Music_Data[[#This Row],[Playlist_subgenre2]])</f>
        <v>Desi</v>
      </c>
    </row>
    <row r="599" spans="1:15">
      <c r="A599" s="17">
        <v>0.81799999999999995</v>
      </c>
      <c r="B599" s="21">
        <v>960</v>
      </c>
      <c r="C599" s="16">
        <v>0.88900000000000001</v>
      </c>
      <c r="D599" s="16" t="str">
        <f ca="1">PROPER(Music_Data[[#This Row],[Playlist_genre2]])</f>
        <v>Hip-Hop</v>
      </c>
      <c r="E599" s="17">
        <v>0.78200000000000003</v>
      </c>
      <c r="F599" t="s">
        <v>5845</v>
      </c>
      <c r="G599">
        <v>73</v>
      </c>
      <c r="H599" t="s">
        <v>5837</v>
      </c>
      <c r="I599" t="s">
        <v>5903</v>
      </c>
      <c r="J599" s="22">
        <v>34590</v>
      </c>
      <c r="K599">
        <v>1</v>
      </c>
      <c r="L599">
        <v>9</v>
      </c>
      <c r="M599" s="21">
        <f ca="1">LEFT(Music_Data[[#This Row],[Duration_minutes]],3)/60</f>
        <v>5.0333333333333332</v>
      </c>
      <c r="N599" s="17">
        <v>0.47</v>
      </c>
      <c r="O599" s="17" t="str">
        <f ca="1">PROPER(Music_Data[[#This Row],[Playlist_subgenre2]])</f>
        <v>90S</v>
      </c>
    </row>
    <row r="600" spans="1:15">
      <c r="A600" s="17">
        <v>0.65300000000000002</v>
      </c>
      <c r="B600" s="21">
        <v>142</v>
      </c>
      <c r="C600" s="16">
        <v>0.49299999999999999</v>
      </c>
      <c r="D600" s="16" t="str">
        <f ca="1">PROPER(Music_Data[[#This Row],[Playlist_genre2]])</f>
        <v>Hip-Hop</v>
      </c>
      <c r="E600" s="17">
        <v>0.85199999999999998</v>
      </c>
      <c r="F600" t="s">
        <v>11621</v>
      </c>
      <c r="G600">
        <v>73</v>
      </c>
      <c r="H600" t="s">
        <v>11488</v>
      </c>
      <c r="I600" t="s">
        <v>11627</v>
      </c>
      <c r="J600" s="22">
        <v>44372</v>
      </c>
      <c r="K600">
        <v>0</v>
      </c>
      <c r="L600">
        <v>0</v>
      </c>
      <c r="M600" s="21">
        <f ca="1">LEFT(Music_Data[[#This Row],[Duration_minutes]],3)/60</f>
        <v>2.0166666666666666</v>
      </c>
      <c r="N600" s="17">
        <v>0.26900000000000002</v>
      </c>
      <c r="O600" s="17" t="str">
        <f ca="1">PROPER(Music_Data[[#This Row],[Playlist_subgenre2]])</f>
        <v>Chill</v>
      </c>
    </row>
    <row r="601" spans="1:15">
      <c r="A601" s="17">
        <v>0.36899999999999999</v>
      </c>
      <c r="B601" s="21">
        <v>140</v>
      </c>
      <c r="C601" s="16">
        <v>0.73499999999999999</v>
      </c>
      <c r="D601" s="16" t="str">
        <f ca="1">PROPER(Music_Data[[#This Row],[Playlist_genre2]])</f>
        <v>Hip-Hop</v>
      </c>
      <c r="E601" s="17">
        <v>0.23499999999999999</v>
      </c>
      <c r="F601" t="s">
        <v>12229</v>
      </c>
      <c r="G601">
        <v>73</v>
      </c>
      <c r="H601" t="s">
        <v>12170</v>
      </c>
      <c r="I601" t="s">
        <v>12235</v>
      </c>
      <c r="J601" s="22">
        <v>43791</v>
      </c>
      <c r="K601">
        <v>0</v>
      </c>
      <c r="L601">
        <v>9</v>
      </c>
      <c r="M601" s="21">
        <f ca="1">LEFT(Music_Data[[#This Row],[Duration_minutes]],3)/60</f>
        <v>3.7</v>
      </c>
      <c r="N601" s="17">
        <v>0.33400000000000002</v>
      </c>
      <c r="O601" s="17" t="str">
        <f ca="1">PROPER(Music_Data[[#This Row],[Playlist_subgenre2]])</f>
        <v>Melodic</v>
      </c>
    </row>
    <row r="602" spans="1:15">
      <c r="A602" s="17">
        <v>0.80300000000000005</v>
      </c>
      <c r="B602" s="21">
        <v>675</v>
      </c>
      <c r="C602" s="16">
        <v>0.28399999999999997</v>
      </c>
      <c r="D602" s="16" t="str">
        <f ca="1">PROPER(Music_Data[[#This Row],[Playlist_genre2]])</f>
        <v>Hip-Hop</v>
      </c>
      <c r="E602" s="17">
        <v>0.55300000000000005</v>
      </c>
      <c r="F602" t="s">
        <v>11517</v>
      </c>
      <c r="G602">
        <v>72</v>
      </c>
      <c r="H602" t="s">
        <v>11488</v>
      </c>
      <c r="I602" t="s">
        <v>11523</v>
      </c>
      <c r="J602" s="22">
        <v>42150</v>
      </c>
      <c r="K602">
        <v>0</v>
      </c>
      <c r="L602">
        <v>2</v>
      </c>
      <c r="M602" s="21">
        <f ca="1">LEFT(Music_Data[[#This Row],[Duration_minutes]],3)/60</f>
        <v>5.3833333333333337</v>
      </c>
      <c r="N602" s="17">
        <v>0.30199999999999999</v>
      </c>
      <c r="O602" s="17" t="str">
        <f ca="1">PROPER(Music_Data[[#This Row],[Playlist_subgenre2]])</f>
        <v>Chill</v>
      </c>
    </row>
    <row r="603" spans="1:15">
      <c r="A603" s="17">
        <v>0.6</v>
      </c>
      <c r="B603" s="21">
        <v>113</v>
      </c>
      <c r="C603" s="16">
        <v>0.88300000000000001</v>
      </c>
      <c r="D603" s="16" t="str">
        <f ca="1">PROPER(Music_Data[[#This Row],[Playlist_genre2]])</f>
        <v>Hip-Hop</v>
      </c>
      <c r="E603" s="17">
        <v>0.69099999999999995</v>
      </c>
      <c r="F603" t="s">
        <v>2907</v>
      </c>
      <c r="G603">
        <v>72</v>
      </c>
      <c r="H603" t="s">
        <v>2607</v>
      </c>
      <c r="I603" t="s">
        <v>2914</v>
      </c>
      <c r="J603" s="22">
        <v>44162</v>
      </c>
      <c r="K603">
        <v>1</v>
      </c>
      <c r="L603">
        <v>7</v>
      </c>
      <c r="M603" s="21">
        <f ca="1">LEFT(Music_Data[[#This Row],[Duration_minutes]],3)/60</f>
        <v>2.6</v>
      </c>
      <c r="N603" s="17">
        <v>0.114</v>
      </c>
      <c r="O603" s="17" t="str">
        <f ca="1">PROPER(Music_Data[[#This Row],[Playlist_subgenre2]])</f>
        <v>Trap</v>
      </c>
    </row>
    <row r="604" spans="1:15">
      <c r="A604" s="17">
        <v>0.71799999999999997</v>
      </c>
      <c r="B604" s="21">
        <v>128</v>
      </c>
      <c r="C604" s="16">
        <v>0.76</v>
      </c>
      <c r="D604" s="16" t="str">
        <f ca="1">PROPER(Music_Data[[#This Row],[Playlist_genre2]])</f>
        <v>Hip-Hop</v>
      </c>
      <c r="E604" s="17">
        <v>0.55700000000000005</v>
      </c>
      <c r="F604" t="s">
        <v>2744</v>
      </c>
      <c r="G604">
        <v>72</v>
      </c>
      <c r="H604" t="s">
        <v>2607</v>
      </c>
      <c r="I604" t="s">
        <v>2747</v>
      </c>
      <c r="J604" s="22">
        <v>42737</v>
      </c>
      <c r="K604">
        <v>1</v>
      </c>
      <c r="L604">
        <v>1</v>
      </c>
      <c r="M604" s="21">
        <f ca="1">LEFT(Music_Data[[#This Row],[Duration_minutes]],3)/60</f>
        <v>3.1833333333333331</v>
      </c>
      <c r="N604" s="17">
        <v>0.34799999999999998</v>
      </c>
      <c r="O604" s="17" t="str">
        <f ca="1">PROPER(Music_Data[[#This Row],[Playlist_subgenre2]])</f>
        <v>Trap</v>
      </c>
    </row>
    <row r="605" spans="1:15">
      <c r="A605" s="17">
        <v>0.62</v>
      </c>
      <c r="B605" s="21">
        <v>941</v>
      </c>
      <c r="C605" s="16">
        <v>0.9</v>
      </c>
      <c r="D605" s="16" t="str">
        <f ca="1">PROPER(Music_Data[[#This Row],[Playlist_genre2]])</f>
        <v>Hip-Hop</v>
      </c>
      <c r="E605" s="17">
        <v>0.86699999999999999</v>
      </c>
      <c r="F605" t="s">
        <v>5889</v>
      </c>
      <c r="G605">
        <v>72</v>
      </c>
      <c r="H605" t="s">
        <v>5837</v>
      </c>
      <c r="I605" t="s">
        <v>5895</v>
      </c>
      <c r="J605" s="22">
        <v>35913</v>
      </c>
      <c r="K605">
        <v>0</v>
      </c>
      <c r="L605">
        <v>4</v>
      </c>
      <c r="M605" s="21">
        <f ca="1">LEFT(Music_Data[[#This Row],[Duration_minutes]],3)/60</f>
        <v>3.9333333333333331</v>
      </c>
      <c r="N605" s="17">
        <v>0.2</v>
      </c>
      <c r="O605" s="17" t="str">
        <f ca="1">PROPER(Music_Data[[#This Row],[Playlist_subgenre2]])</f>
        <v>90S</v>
      </c>
    </row>
    <row r="606" spans="1:15">
      <c r="A606" s="17">
        <v>0.41299999999999998</v>
      </c>
      <c r="B606" s="21">
        <v>146</v>
      </c>
      <c r="C606" s="16">
        <v>0.747</v>
      </c>
      <c r="D606" s="16" t="str">
        <f ca="1">PROPER(Music_Data[[#This Row],[Playlist_genre2]])</f>
        <v>Hip-Hop</v>
      </c>
      <c r="E606" s="17">
        <v>0.48099999999999998</v>
      </c>
      <c r="F606" t="s">
        <v>2296</v>
      </c>
      <c r="G606">
        <v>72</v>
      </c>
      <c r="H606" t="s">
        <v>12720</v>
      </c>
      <c r="I606" t="s">
        <v>12726</v>
      </c>
      <c r="J606" s="22">
        <v>44910</v>
      </c>
      <c r="K606">
        <v>0</v>
      </c>
      <c r="L606">
        <v>2</v>
      </c>
      <c r="M606" s="21">
        <f ca="1">LEFT(Music_Data[[#This Row],[Duration_minutes]],3)/60</f>
        <v>2.9</v>
      </c>
      <c r="N606" s="17">
        <v>0.84799999999999998</v>
      </c>
      <c r="O606" s="17" t="str">
        <f ca="1">PROPER(Music_Data[[#This Row],[Playlist_subgenre2]])</f>
        <v>Drill</v>
      </c>
    </row>
    <row r="607" spans="1:15">
      <c r="A607" s="17">
        <v>0.71099999999999997</v>
      </c>
      <c r="B607" s="21">
        <v>117</v>
      </c>
      <c r="C607" s="16">
        <v>0.97399999999999998</v>
      </c>
      <c r="D607" s="16" t="str">
        <f ca="1">PROPER(Music_Data[[#This Row],[Playlist_genre2]])</f>
        <v>Hip-Hop</v>
      </c>
      <c r="E607" s="17">
        <v>0.32800000000000001</v>
      </c>
      <c r="F607" t="s">
        <v>2163</v>
      </c>
      <c r="G607">
        <v>72</v>
      </c>
      <c r="H607" t="s">
        <v>1852</v>
      </c>
      <c r="I607" t="s">
        <v>2170</v>
      </c>
      <c r="J607" s="22">
        <v>45534</v>
      </c>
      <c r="K607">
        <v>0</v>
      </c>
      <c r="L607">
        <v>11</v>
      </c>
      <c r="M607" s="21">
        <f ca="1">LEFT(Music_Data[[#This Row],[Duration_minutes]],3)/60</f>
        <v>2.1</v>
      </c>
      <c r="N607" s="17">
        <v>9.8799999999999999E-2</v>
      </c>
      <c r="O607" s="17" t="str">
        <f ca="1">PROPER(Music_Data[[#This Row],[Playlist_subgenre2]])</f>
        <v>Modern</v>
      </c>
    </row>
    <row r="608" spans="1:15">
      <c r="A608" s="17">
        <v>0.57699999999999996</v>
      </c>
      <c r="B608" s="21">
        <v>148</v>
      </c>
      <c r="C608" s="16">
        <v>0.79700000000000004</v>
      </c>
      <c r="D608" s="16" t="str">
        <f ca="1">PROPER(Music_Data[[#This Row],[Playlist_genre2]])</f>
        <v>Hip-Hop</v>
      </c>
      <c r="E608" s="17">
        <v>0.17</v>
      </c>
      <c r="F608" t="s">
        <v>13164</v>
      </c>
      <c r="G608">
        <v>72</v>
      </c>
      <c r="H608" t="s">
        <v>2607</v>
      </c>
      <c r="I608" t="s">
        <v>2638</v>
      </c>
      <c r="J608" s="22">
        <v>45596</v>
      </c>
      <c r="K608">
        <v>1</v>
      </c>
      <c r="L608">
        <v>1</v>
      </c>
      <c r="M608" s="21">
        <f ca="1">LEFT(Music_Data[[#This Row],[Duration_minutes]],3)/60</f>
        <v>3.4333333333333331</v>
      </c>
      <c r="N608" s="17">
        <v>1.7399999999999999E-2</v>
      </c>
      <c r="O608" s="17" t="str">
        <f ca="1">PROPER(Music_Data[[#This Row],[Playlist_subgenre2]])</f>
        <v>Trap</v>
      </c>
    </row>
    <row r="609" spans="1:15">
      <c r="A609" s="17">
        <v>0.73099999999999998</v>
      </c>
      <c r="B609" s="21">
        <v>174</v>
      </c>
      <c r="C609" s="16">
        <v>0.55200000000000005</v>
      </c>
      <c r="D609" s="16" t="str">
        <f ca="1">PROPER(Music_Data[[#This Row],[Playlist_genre2]])</f>
        <v>Hip-Hop</v>
      </c>
      <c r="E609" s="17">
        <v>0.63200000000000001</v>
      </c>
      <c r="F609" t="s">
        <v>596</v>
      </c>
      <c r="G609">
        <v>72</v>
      </c>
      <c r="H609" t="s">
        <v>11488</v>
      </c>
      <c r="I609" t="s">
        <v>11734</v>
      </c>
      <c r="J609" s="22">
        <v>42839</v>
      </c>
      <c r="K609">
        <v>1</v>
      </c>
      <c r="L609">
        <v>7</v>
      </c>
      <c r="M609" s="21">
        <f ca="1">LEFT(Music_Data[[#This Row],[Duration_minutes]],3)/60</f>
        <v>4.1333333333333337</v>
      </c>
      <c r="N609" s="17">
        <v>5.3600000000000002E-2</v>
      </c>
      <c r="O609" s="17" t="str">
        <f ca="1">PROPER(Music_Data[[#This Row],[Playlist_subgenre2]])</f>
        <v>Chill</v>
      </c>
    </row>
    <row r="610" spans="1:15">
      <c r="A610" s="17">
        <v>0.59199999999999997</v>
      </c>
      <c r="B610" s="21">
        <v>188</v>
      </c>
      <c r="C610" s="16">
        <v>0.69599999999999995</v>
      </c>
      <c r="D610" s="16" t="str">
        <f ca="1">PROPER(Music_Data[[#This Row],[Playlist_genre2]])</f>
        <v>Hip-Hop</v>
      </c>
      <c r="E610" s="17">
        <v>0.23200000000000001</v>
      </c>
      <c r="F610" t="s">
        <v>2282</v>
      </c>
      <c r="G610">
        <v>72</v>
      </c>
      <c r="H610" t="s">
        <v>2202</v>
      </c>
      <c r="I610" t="s">
        <v>2409</v>
      </c>
      <c r="J610" s="22">
        <v>44134</v>
      </c>
      <c r="K610">
        <v>1</v>
      </c>
      <c r="L610">
        <v>1</v>
      </c>
      <c r="M610" s="21">
        <f ca="1">LEFT(Music_Data[[#This Row],[Duration_minutes]],3)/60</f>
        <v>2.0333333333333332</v>
      </c>
      <c r="N610" s="17">
        <v>0.152</v>
      </c>
      <c r="O610" s="17" t="str">
        <f ca="1">PROPER(Music_Data[[#This Row],[Playlist_subgenre2]])</f>
        <v>Gangster</v>
      </c>
    </row>
    <row r="611" spans="1:15">
      <c r="A611" s="17">
        <v>0.56100000000000005</v>
      </c>
      <c r="B611" s="21">
        <v>148</v>
      </c>
      <c r="C611" s="16">
        <v>0.68600000000000005</v>
      </c>
      <c r="D611" s="16" t="str">
        <f ca="1">PROPER(Music_Data[[#This Row],[Playlist_genre2]])</f>
        <v>Hip-Hop</v>
      </c>
      <c r="E611" s="17">
        <v>0.186</v>
      </c>
      <c r="F611" t="s">
        <v>4879</v>
      </c>
      <c r="G611">
        <v>72</v>
      </c>
      <c r="H611" t="s">
        <v>12170</v>
      </c>
      <c r="I611" t="s">
        <v>12177</v>
      </c>
      <c r="J611" s="22">
        <v>43707</v>
      </c>
      <c r="K611">
        <v>0</v>
      </c>
      <c r="L611">
        <v>10</v>
      </c>
      <c r="M611" s="21">
        <f ca="1">LEFT(Music_Data[[#This Row],[Duration_minutes]],3)/60</f>
        <v>1.9333333333333333</v>
      </c>
      <c r="N611" s="17">
        <v>0.185</v>
      </c>
      <c r="O611" s="17" t="str">
        <f ca="1">PROPER(Music_Data[[#This Row],[Playlist_subgenre2]])</f>
        <v>Melodic</v>
      </c>
    </row>
    <row r="612" spans="1:15">
      <c r="A612" s="17">
        <v>0.86</v>
      </c>
      <c r="B612" s="21">
        <v>765</v>
      </c>
      <c r="C612" s="16">
        <v>0.57499999999999996</v>
      </c>
      <c r="D612" s="16" t="str">
        <f ca="1">PROPER(Music_Data[[#This Row],[Playlist_genre2]])</f>
        <v>Hip-Hop</v>
      </c>
      <c r="E612" s="17">
        <v>0.83399999999999996</v>
      </c>
      <c r="F612" t="s">
        <v>2415</v>
      </c>
      <c r="G612">
        <v>72</v>
      </c>
      <c r="H612" t="s">
        <v>11488</v>
      </c>
      <c r="I612" t="s">
        <v>11528</v>
      </c>
      <c r="J612" s="22">
        <v>45324</v>
      </c>
      <c r="K612">
        <v>0</v>
      </c>
      <c r="L612">
        <v>9</v>
      </c>
      <c r="M612" s="21">
        <f ca="1">LEFT(Music_Data[[#This Row],[Duration_minutes]],3)/60</f>
        <v>1.7833333333333334</v>
      </c>
      <c r="N612" s="17">
        <v>0.29799999999999999</v>
      </c>
      <c r="O612" s="17" t="str">
        <f ca="1">PROPER(Music_Data[[#This Row],[Playlist_subgenre2]])</f>
        <v>Chill</v>
      </c>
    </row>
    <row r="613" spans="1:15">
      <c r="A613" s="17">
        <v>0.435</v>
      </c>
      <c r="B613" s="21">
        <v>120</v>
      </c>
      <c r="C613" s="16">
        <v>0.84299999999999997</v>
      </c>
      <c r="D613" s="16" t="str">
        <f ca="1">PROPER(Music_Data[[#This Row],[Playlist_genre2]])</f>
        <v>Hip-Hop</v>
      </c>
      <c r="E613" s="17">
        <v>0.19</v>
      </c>
      <c r="F613" t="s">
        <v>11629</v>
      </c>
      <c r="G613">
        <v>72</v>
      </c>
      <c r="H613" t="s">
        <v>11488</v>
      </c>
      <c r="I613" t="s">
        <v>11635</v>
      </c>
      <c r="J613" s="22">
        <v>42265</v>
      </c>
      <c r="K613">
        <v>1</v>
      </c>
      <c r="L613">
        <v>8</v>
      </c>
      <c r="M613" s="21">
        <f ca="1">LEFT(Music_Data[[#This Row],[Duration_minutes]],3)/60</f>
        <v>3.4666666666666668</v>
      </c>
      <c r="N613" s="17">
        <v>0.47</v>
      </c>
      <c r="O613" s="17" t="str">
        <f ca="1">PROPER(Music_Data[[#This Row],[Playlist_subgenre2]])</f>
        <v>Chill</v>
      </c>
    </row>
    <row r="614" spans="1:15">
      <c r="A614" s="17">
        <v>0.84</v>
      </c>
      <c r="B614" s="21">
        <v>954</v>
      </c>
      <c r="C614" s="16">
        <v>0.85599999999999998</v>
      </c>
      <c r="D614" s="16" t="str">
        <f ca="1">PROPER(Music_Data[[#This Row],[Playlist_genre2]])</f>
        <v>Hip-Hop</v>
      </c>
      <c r="E614" s="17">
        <v>0.79200000000000004</v>
      </c>
      <c r="F614" t="s">
        <v>11502</v>
      </c>
      <c r="G614">
        <v>72</v>
      </c>
      <c r="H614" t="s">
        <v>11488</v>
      </c>
      <c r="I614" t="s">
        <v>11508</v>
      </c>
      <c r="J614" s="22">
        <v>36452</v>
      </c>
      <c r="K614">
        <v>0</v>
      </c>
      <c r="L614">
        <v>6</v>
      </c>
      <c r="M614" s="21">
        <f ca="1">LEFT(Music_Data[[#This Row],[Duration_minutes]],3)/60</f>
        <v>4.9666666666666668</v>
      </c>
      <c r="N614" s="17">
        <v>9.7299999999999998E-2</v>
      </c>
      <c r="O614" s="17" t="str">
        <f ca="1">PROPER(Music_Data[[#This Row],[Playlist_subgenre2]])</f>
        <v>Chill</v>
      </c>
    </row>
    <row r="615" spans="1:15">
      <c r="A615" s="17">
        <v>0.69899999999999995</v>
      </c>
      <c r="B615" s="21">
        <v>129</v>
      </c>
      <c r="C615" s="16">
        <v>0.92</v>
      </c>
      <c r="D615" s="16" t="str">
        <f ca="1">PROPER(Music_Data[[#This Row],[Playlist_genre2]])</f>
        <v>Hip-Hop</v>
      </c>
      <c r="E615" s="17">
        <v>0.48399999999999999</v>
      </c>
      <c r="F615" t="s">
        <v>1920</v>
      </c>
      <c r="G615">
        <v>72</v>
      </c>
      <c r="H615" t="s">
        <v>1852</v>
      </c>
      <c r="I615" t="s">
        <v>1926</v>
      </c>
      <c r="J615" s="22">
        <v>45562</v>
      </c>
      <c r="K615">
        <v>1</v>
      </c>
      <c r="L615">
        <v>11</v>
      </c>
      <c r="M615" s="21">
        <f ca="1">LEFT(Music_Data[[#This Row],[Duration_minutes]],3)/60</f>
        <v>2.2999999999999998</v>
      </c>
      <c r="N615" s="17">
        <v>7.6800000000000002E-3</v>
      </c>
      <c r="O615" s="17" t="str">
        <f ca="1">PROPER(Music_Data[[#This Row],[Playlist_subgenre2]])</f>
        <v>Modern</v>
      </c>
    </row>
    <row r="616" spans="1:15">
      <c r="A616" s="17">
        <v>0.68500000000000005</v>
      </c>
      <c r="B616" s="21">
        <v>121</v>
      </c>
      <c r="C616" s="16">
        <v>0.73099999999999998</v>
      </c>
      <c r="D616" s="16" t="str">
        <f ca="1">PROPER(Music_Data[[#This Row],[Playlist_genre2]])</f>
        <v>Hip-Hop</v>
      </c>
      <c r="E616" s="17">
        <v>0.45800000000000002</v>
      </c>
      <c r="F616" t="s">
        <v>13160</v>
      </c>
      <c r="G616">
        <v>72</v>
      </c>
      <c r="H616" t="s">
        <v>1852</v>
      </c>
      <c r="I616" t="s">
        <v>2094</v>
      </c>
      <c r="J616" s="22">
        <v>45507</v>
      </c>
      <c r="K616">
        <v>0</v>
      </c>
      <c r="L616">
        <v>11</v>
      </c>
      <c r="M616" s="21">
        <f ca="1">LEFT(Music_Data[[#This Row],[Duration_minutes]],3)/60</f>
        <v>2.7833333333333332</v>
      </c>
      <c r="N616" s="17">
        <v>5.3999999999999999E-2</v>
      </c>
      <c r="O616" s="17" t="str">
        <f ca="1">PROPER(Music_Data[[#This Row],[Playlist_subgenre2]])</f>
        <v>Modern</v>
      </c>
    </row>
    <row r="617" spans="1:15">
      <c r="A617" s="17">
        <v>0.498</v>
      </c>
      <c r="B617" s="21">
        <v>819</v>
      </c>
      <c r="C617" s="16">
        <v>0.66500000000000004</v>
      </c>
      <c r="D617" s="16" t="str">
        <f ca="1">PROPER(Music_Data[[#This Row],[Playlist_genre2]])</f>
        <v>Hip-Hop</v>
      </c>
      <c r="E617" s="17">
        <v>0.127</v>
      </c>
      <c r="F617" t="s">
        <v>7220</v>
      </c>
      <c r="G617">
        <v>72</v>
      </c>
      <c r="H617" t="s">
        <v>11488</v>
      </c>
      <c r="I617" t="s">
        <v>11567</v>
      </c>
      <c r="J617" s="22">
        <v>42713</v>
      </c>
      <c r="K617">
        <v>1</v>
      </c>
      <c r="L617">
        <v>5</v>
      </c>
      <c r="M617" s="21">
        <f ca="1">LEFT(Music_Data[[#This Row],[Duration_minutes]],3)/60</f>
        <v>2.9833333333333334</v>
      </c>
      <c r="N617" s="17">
        <v>0.23</v>
      </c>
      <c r="O617" s="17" t="str">
        <f ca="1">PROPER(Music_Data[[#This Row],[Playlist_subgenre2]])</f>
        <v>Chill</v>
      </c>
    </row>
    <row r="618" spans="1:15">
      <c r="A618" s="17">
        <v>0.56599999999999995</v>
      </c>
      <c r="B618" s="21">
        <v>859</v>
      </c>
      <c r="C618" s="16">
        <v>0.79400000000000004</v>
      </c>
      <c r="D618" s="16" t="str">
        <f ca="1">PROPER(Music_Data[[#This Row],[Playlist_genre2]])</f>
        <v>Hip-Hop</v>
      </c>
      <c r="E618" s="17">
        <v>0.68</v>
      </c>
      <c r="F618" t="s">
        <v>12448</v>
      </c>
      <c r="G618">
        <v>72</v>
      </c>
      <c r="H618" t="s">
        <v>12411</v>
      </c>
      <c r="I618" t="s">
        <v>12494</v>
      </c>
      <c r="J618" s="22">
        <v>45296</v>
      </c>
      <c r="K618">
        <v>0</v>
      </c>
      <c r="L618">
        <v>11</v>
      </c>
      <c r="M618" s="21">
        <f ca="1">LEFT(Music_Data[[#This Row],[Duration_minutes]],3)/60</f>
        <v>3.7666666666666666</v>
      </c>
      <c r="N618" s="17">
        <v>0.30099999999999999</v>
      </c>
      <c r="O618" s="17" t="str">
        <f ca="1">PROPER(Music_Data[[#This Row],[Playlist_subgenre2]])</f>
        <v>Desi</v>
      </c>
    </row>
    <row r="619" spans="1:15">
      <c r="A619" s="17">
        <v>0.88400000000000001</v>
      </c>
      <c r="B619" s="21">
        <v>104</v>
      </c>
      <c r="C619" s="16">
        <v>0.84499999999999997</v>
      </c>
      <c r="D619" s="16" t="str">
        <f ca="1">PROPER(Music_Data[[#This Row],[Playlist_genre2]])</f>
        <v>Hip-Hop</v>
      </c>
      <c r="E619" s="17">
        <v>0.90400000000000003</v>
      </c>
      <c r="F619" t="s">
        <v>5965</v>
      </c>
      <c r="G619">
        <v>72</v>
      </c>
      <c r="H619" t="s">
        <v>5837</v>
      </c>
      <c r="I619" t="s">
        <v>5971</v>
      </c>
      <c r="J619" s="22">
        <v>35493</v>
      </c>
      <c r="K619">
        <v>0</v>
      </c>
      <c r="L619">
        <v>6</v>
      </c>
      <c r="M619" s="21">
        <f ca="1">LEFT(Music_Data[[#This Row],[Duration_minutes]],3)/60</f>
        <v>4.2833333333333332</v>
      </c>
      <c r="N619" s="17">
        <v>1.2800000000000001E-2</v>
      </c>
      <c r="O619" s="17" t="str">
        <f ca="1">PROPER(Music_Data[[#This Row],[Playlist_subgenre2]])</f>
        <v>90S</v>
      </c>
    </row>
    <row r="620" spans="1:15">
      <c r="A620" s="17">
        <v>0.51400000000000001</v>
      </c>
      <c r="B620" s="21">
        <v>181</v>
      </c>
      <c r="C620" s="16">
        <v>0.51200000000000001</v>
      </c>
      <c r="D620" s="16" t="str">
        <f ca="1">PROPER(Music_Data[[#This Row],[Playlist_genre2]])</f>
        <v>Hip-Hop</v>
      </c>
      <c r="E620" s="17">
        <v>0.56499999999999995</v>
      </c>
      <c r="F620" t="s">
        <v>5905</v>
      </c>
      <c r="G620">
        <v>72</v>
      </c>
      <c r="H620" t="s">
        <v>5837</v>
      </c>
      <c r="I620" t="s">
        <v>5911</v>
      </c>
      <c r="J620" s="22">
        <v>34282</v>
      </c>
      <c r="K620">
        <v>0</v>
      </c>
      <c r="L620">
        <v>11</v>
      </c>
      <c r="M620" s="21">
        <f ca="1">LEFT(Music_Data[[#This Row],[Duration_minutes]],3)/60</f>
        <v>4.2</v>
      </c>
      <c r="N620" s="17">
        <v>0.55500000000000005</v>
      </c>
      <c r="O620" s="17" t="str">
        <f ca="1">PROPER(Music_Data[[#This Row],[Playlist_subgenre2]])</f>
        <v>90S</v>
      </c>
    </row>
    <row r="621" spans="1:15">
      <c r="A621" s="17">
        <v>0.752</v>
      </c>
      <c r="B621" s="21">
        <v>158</v>
      </c>
      <c r="C621" s="16">
        <v>0.63800000000000001</v>
      </c>
      <c r="D621" s="16" t="str">
        <f ca="1">PROPER(Music_Data[[#This Row],[Playlist_genre2]])</f>
        <v>Hip-Hop</v>
      </c>
      <c r="E621" s="17">
        <v>0.24199999999999999</v>
      </c>
      <c r="F621" t="s">
        <v>2183</v>
      </c>
      <c r="G621">
        <v>72</v>
      </c>
      <c r="H621" t="s">
        <v>1852</v>
      </c>
      <c r="I621" t="s">
        <v>2190</v>
      </c>
      <c r="J621" s="22">
        <v>45583</v>
      </c>
      <c r="K621">
        <v>0</v>
      </c>
      <c r="L621">
        <v>1</v>
      </c>
      <c r="M621" s="21">
        <f ca="1">LEFT(Music_Data[[#This Row],[Duration_minutes]],3)/60</f>
        <v>2.8333333333333335</v>
      </c>
      <c r="N621" s="17">
        <v>6.6E-3</v>
      </c>
      <c r="O621" s="17" t="str">
        <f ca="1">PROPER(Music_Data[[#This Row],[Playlist_subgenre2]])</f>
        <v>Modern</v>
      </c>
    </row>
    <row r="622" spans="1:15">
      <c r="A622" s="17">
        <v>0.57499999999999996</v>
      </c>
      <c r="B622" s="21">
        <v>145</v>
      </c>
      <c r="C622" s="16">
        <v>0.71299999999999997</v>
      </c>
      <c r="D622" s="16" t="str">
        <f ca="1">PROPER(Music_Data[[#This Row],[Playlist_genre2]])</f>
        <v>Hip-Hop</v>
      </c>
      <c r="E622" s="17">
        <v>0.189</v>
      </c>
      <c r="F622" t="s">
        <v>2684</v>
      </c>
      <c r="G622">
        <v>72</v>
      </c>
      <c r="H622" t="s">
        <v>2607</v>
      </c>
      <c r="I622" t="s">
        <v>2690</v>
      </c>
      <c r="J622" s="22">
        <v>44302</v>
      </c>
      <c r="K622">
        <v>1</v>
      </c>
      <c r="L622">
        <v>1</v>
      </c>
      <c r="M622" s="21">
        <f ca="1">LEFT(Music_Data[[#This Row],[Duration_minutes]],3)/60</f>
        <v>3.7666666666666666</v>
      </c>
      <c r="N622" s="17">
        <v>6.6899999999999998E-3</v>
      </c>
      <c r="O622" s="17" t="str">
        <f ca="1">PROPER(Music_Data[[#This Row],[Playlist_subgenre2]])</f>
        <v>Trap</v>
      </c>
    </row>
    <row r="623" spans="1:15">
      <c r="A623" s="17">
        <v>0.82599999999999996</v>
      </c>
      <c r="B623" s="21">
        <v>108</v>
      </c>
      <c r="C623" s="16">
        <v>0.65400000000000003</v>
      </c>
      <c r="D623" s="16" t="str">
        <f ca="1">PROPER(Music_Data[[#This Row],[Playlist_genre2]])</f>
        <v>Hip-Hop</v>
      </c>
      <c r="E623" s="17">
        <v>0.41699999999999998</v>
      </c>
      <c r="F623" t="s">
        <v>2197</v>
      </c>
      <c r="G623">
        <v>71</v>
      </c>
      <c r="H623" t="s">
        <v>2202</v>
      </c>
      <c r="I623" t="s">
        <v>2205</v>
      </c>
      <c r="J623" s="22">
        <v>37658</v>
      </c>
      <c r="K623">
        <v>0</v>
      </c>
      <c r="L623">
        <v>6</v>
      </c>
      <c r="M623" s="21">
        <f ca="1">LEFT(Music_Data[[#This Row],[Duration_minutes]],3)/60</f>
        <v>4.2666666666666666</v>
      </c>
      <c r="N623" s="17">
        <v>1.5299999999999999E-2</v>
      </c>
      <c r="O623" s="17" t="str">
        <f ca="1">PROPER(Music_Data[[#This Row],[Playlist_subgenre2]])</f>
        <v>Gangster</v>
      </c>
    </row>
    <row r="624" spans="1:15">
      <c r="A624" s="17">
        <v>0.73299999999999998</v>
      </c>
      <c r="B624" s="21">
        <v>929</v>
      </c>
      <c r="C624" s="16">
        <v>0.86399999999999999</v>
      </c>
      <c r="D624" s="16" t="str">
        <f ca="1">PROPER(Music_Data[[#This Row],[Playlist_genre2]])</f>
        <v>Hip-Hop</v>
      </c>
      <c r="E624" s="17">
        <v>0.183</v>
      </c>
      <c r="F624" t="s">
        <v>12511</v>
      </c>
      <c r="G624">
        <v>71</v>
      </c>
      <c r="H624" t="s">
        <v>12411</v>
      </c>
      <c r="I624" t="s">
        <v>12514</v>
      </c>
      <c r="J624" s="22">
        <v>45513</v>
      </c>
      <c r="K624">
        <v>0</v>
      </c>
      <c r="L624">
        <v>4</v>
      </c>
      <c r="M624" s="21">
        <f ca="1">LEFT(Music_Data[[#This Row],[Duration_minutes]],3)/60</f>
        <v>2.1333333333333333</v>
      </c>
      <c r="N624" s="17">
        <v>0.14399999999999999</v>
      </c>
      <c r="O624" s="17" t="str">
        <f ca="1">PROPER(Music_Data[[#This Row],[Playlist_subgenre2]])</f>
        <v>Desi</v>
      </c>
    </row>
    <row r="625" spans="1:15">
      <c r="A625" s="17">
        <v>0.80200000000000005</v>
      </c>
      <c r="B625" s="21">
        <v>128</v>
      </c>
      <c r="C625" s="16">
        <v>0.83499999999999996</v>
      </c>
      <c r="D625" s="16" t="str">
        <f ca="1">PROPER(Music_Data[[#This Row],[Playlist_genre2]])</f>
        <v>Hip-Hop</v>
      </c>
      <c r="E625" s="17">
        <v>0.374</v>
      </c>
      <c r="F625" t="s">
        <v>1869</v>
      </c>
      <c r="G625">
        <v>71</v>
      </c>
      <c r="H625" t="s">
        <v>1852</v>
      </c>
      <c r="I625" t="s">
        <v>1876</v>
      </c>
      <c r="J625" s="22">
        <v>45576</v>
      </c>
      <c r="K625">
        <v>1</v>
      </c>
      <c r="L625">
        <v>7</v>
      </c>
      <c r="M625" s="21">
        <f ca="1">LEFT(Music_Data[[#This Row],[Duration_minutes]],3)/60</f>
        <v>2.3833333333333333</v>
      </c>
      <c r="N625" s="17">
        <v>3.1099999999999999E-2</v>
      </c>
      <c r="O625" s="17" t="str">
        <f ca="1">PROPER(Music_Data[[#This Row],[Playlist_subgenre2]])</f>
        <v>Modern</v>
      </c>
    </row>
    <row r="626" spans="1:15">
      <c r="A626" s="17">
        <v>0.81899999999999995</v>
      </c>
      <c r="B626" s="21">
        <v>940</v>
      </c>
      <c r="C626" s="16">
        <v>0.56499999999999995</v>
      </c>
      <c r="D626" s="16" t="str">
        <f ca="1">PROPER(Music_Data[[#This Row],[Playlist_genre2]])</f>
        <v>Hip-Hop</v>
      </c>
      <c r="E626" s="17">
        <v>0.68200000000000005</v>
      </c>
      <c r="F626" t="s">
        <v>12178</v>
      </c>
      <c r="G626">
        <v>71</v>
      </c>
      <c r="H626" t="s">
        <v>12170</v>
      </c>
      <c r="I626" t="s">
        <v>12184</v>
      </c>
      <c r="J626" s="22">
        <v>43322</v>
      </c>
      <c r="K626">
        <v>1</v>
      </c>
      <c r="L626">
        <v>9</v>
      </c>
      <c r="M626" s="21">
        <f ca="1">LEFT(Music_Data[[#This Row],[Duration_minutes]],3)/60</f>
        <v>2.9333333333333331</v>
      </c>
      <c r="N626" s="17">
        <v>0.23200000000000001</v>
      </c>
      <c r="O626" s="17" t="str">
        <f ca="1">PROPER(Music_Data[[#This Row],[Playlist_subgenre2]])</f>
        <v>Melodic</v>
      </c>
    </row>
    <row r="627" spans="1:15">
      <c r="A627" s="17">
        <v>0.70799999999999996</v>
      </c>
      <c r="B627" s="21">
        <v>969</v>
      </c>
      <c r="C627" s="16">
        <v>0.71199999999999997</v>
      </c>
      <c r="D627" s="16" t="str">
        <f ca="1">PROPER(Music_Data[[#This Row],[Playlist_genre2]])</f>
        <v>Hip-Hop</v>
      </c>
      <c r="E627" s="17">
        <v>0.63400000000000001</v>
      </c>
      <c r="F627" t="s">
        <v>2815</v>
      </c>
      <c r="G627">
        <v>71</v>
      </c>
      <c r="H627" t="s">
        <v>2607</v>
      </c>
      <c r="I627" t="s">
        <v>13237</v>
      </c>
      <c r="J627" s="22">
        <v>45596</v>
      </c>
      <c r="K627">
        <v>0</v>
      </c>
      <c r="L627">
        <v>10</v>
      </c>
      <c r="M627" s="21">
        <f ca="1">LEFT(Music_Data[[#This Row],[Duration_minutes]],3)/60</f>
        <v>2.75</v>
      </c>
      <c r="N627" s="17">
        <v>0.40400000000000003</v>
      </c>
      <c r="O627" s="17" t="str">
        <f ca="1">PROPER(Music_Data[[#This Row],[Playlist_subgenre2]])</f>
        <v>Trap</v>
      </c>
    </row>
    <row r="628" spans="1:15">
      <c r="A628" s="17">
        <v>0.54</v>
      </c>
      <c r="B628" s="21">
        <v>143</v>
      </c>
      <c r="C628" s="16">
        <v>0.63400000000000001</v>
      </c>
      <c r="D628" s="16" t="str">
        <f ca="1">PROPER(Music_Data[[#This Row],[Playlist_genre2]])</f>
        <v>Hip-Hop</v>
      </c>
      <c r="E628" s="17">
        <v>0.54300000000000004</v>
      </c>
      <c r="F628" t="s">
        <v>12213</v>
      </c>
      <c r="G628">
        <v>71</v>
      </c>
      <c r="H628" t="s">
        <v>12170</v>
      </c>
      <c r="I628" t="s">
        <v>12219</v>
      </c>
      <c r="J628" s="22">
        <v>42773</v>
      </c>
      <c r="K628">
        <v>1</v>
      </c>
      <c r="L628">
        <v>8</v>
      </c>
      <c r="M628" s="21">
        <f ca="1">LEFT(Music_Data[[#This Row],[Duration_minutes]],3)/60</f>
        <v>2.4833333333333334</v>
      </c>
      <c r="N628" s="17">
        <v>2.23E-2</v>
      </c>
      <c r="O628" s="17" t="str">
        <f ca="1">PROPER(Music_Data[[#This Row],[Playlist_subgenre2]])</f>
        <v>Melodic</v>
      </c>
    </row>
    <row r="629" spans="1:15">
      <c r="A629" s="17">
        <v>0.57499999999999996</v>
      </c>
      <c r="B629" s="21">
        <v>120</v>
      </c>
      <c r="C629" s="16">
        <v>0.88</v>
      </c>
      <c r="D629" s="16" t="str">
        <f ca="1">PROPER(Music_Data[[#This Row],[Playlist_genre2]])</f>
        <v>Hip-Hop</v>
      </c>
      <c r="E629" s="17">
        <v>0.67100000000000004</v>
      </c>
      <c r="F629" t="s">
        <v>2530</v>
      </c>
      <c r="G629">
        <v>71</v>
      </c>
      <c r="H629" t="s">
        <v>2202</v>
      </c>
      <c r="I629" t="s">
        <v>2536</v>
      </c>
      <c r="J629" s="22">
        <v>44288</v>
      </c>
      <c r="K629">
        <v>1</v>
      </c>
      <c r="L629">
        <v>6</v>
      </c>
      <c r="M629" s="21">
        <f ca="1">LEFT(Music_Data[[#This Row],[Duration_minutes]],3)/60</f>
        <v>3.8666666666666667</v>
      </c>
      <c r="N629" s="17">
        <v>0.41499999999999998</v>
      </c>
      <c r="O629" s="17" t="str">
        <f ca="1">PROPER(Music_Data[[#This Row],[Playlist_subgenre2]])</f>
        <v>Gangster</v>
      </c>
    </row>
    <row r="630" spans="1:15">
      <c r="A630" s="17">
        <v>0.73199999999999998</v>
      </c>
      <c r="B630" s="21">
        <v>142</v>
      </c>
      <c r="C630" s="16">
        <v>0.54800000000000004</v>
      </c>
      <c r="D630" s="16" t="str">
        <f ca="1">PROPER(Music_Data[[#This Row],[Playlist_genre2]])</f>
        <v>Hip-Hop</v>
      </c>
      <c r="E630" s="17">
        <v>0.61199999999999999</v>
      </c>
      <c r="F630" t="s">
        <v>2230</v>
      </c>
      <c r="G630">
        <v>71</v>
      </c>
      <c r="H630" t="s">
        <v>2202</v>
      </c>
      <c r="I630" t="s">
        <v>2340</v>
      </c>
      <c r="J630" s="22">
        <v>43868</v>
      </c>
      <c r="K630">
        <v>0</v>
      </c>
      <c r="L630">
        <v>11</v>
      </c>
      <c r="M630" s="21">
        <f ca="1">LEFT(Music_Data[[#This Row],[Duration_minutes]],3)/60</f>
        <v>2.1166666666666667</v>
      </c>
      <c r="N630" s="17">
        <v>0.125</v>
      </c>
      <c r="O630" s="17" t="str">
        <f ca="1">PROPER(Music_Data[[#This Row],[Playlist_subgenre2]])</f>
        <v>Gangster</v>
      </c>
    </row>
    <row r="631" spans="1:15">
      <c r="A631" s="17">
        <v>0.60299999999999998</v>
      </c>
      <c r="B631" s="21">
        <v>135</v>
      </c>
      <c r="C631" s="16">
        <v>0.73499999999999999</v>
      </c>
      <c r="D631" s="16" t="str">
        <f ca="1">PROPER(Music_Data[[#This Row],[Playlist_genre2]])</f>
        <v>Hip-Hop</v>
      </c>
      <c r="E631" s="17">
        <v>0.42899999999999999</v>
      </c>
      <c r="F631" t="s">
        <v>13168</v>
      </c>
      <c r="G631">
        <v>71</v>
      </c>
      <c r="H631" t="s">
        <v>2607</v>
      </c>
      <c r="I631" t="s">
        <v>2942</v>
      </c>
      <c r="J631" s="22">
        <v>42614</v>
      </c>
      <c r="K631">
        <v>0</v>
      </c>
      <c r="L631">
        <v>6</v>
      </c>
      <c r="M631" s="21">
        <f ca="1">LEFT(Music_Data[[#This Row],[Duration_minutes]],3)/60</f>
        <v>5.4333333333333336</v>
      </c>
      <c r="N631" s="17">
        <v>0.22600000000000001</v>
      </c>
      <c r="O631" s="17" t="str">
        <f ca="1">PROPER(Music_Data[[#This Row],[Playlist_subgenre2]])</f>
        <v>Trap</v>
      </c>
    </row>
    <row r="632" spans="1:15">
      <c r="A632" s="17">
        <v>0.43099999999999999</v>
      </c>
      <c r="B632" s="21">
        <v>940</v>
      </c>
      <c r="C632" s="16">
        <v>0.88100000000000001</v>
      </c>
      <c r="D632" s="16" t="str">
        <f ca="1">PROPER(Music_Data[[#This Row],[Playlist_genre2]])</f>
        <v>Hip-Hop</v>
      </c>
      <c r="E632" s="17">
        <v>0.246</v>
      </c>
      <c r="F632" t="s">
        <v>12448</v>
      </c>
      <c r="G632">
        <v>71</v>
      </c>
      <c r="H632" t="s">
        <v>12411</v>
      </c>
      <c r="I632" t="s">
        <v>12452</v>
      </c>
      <c r="J632" s="22">
        <v>45065</v>
      </c>
      <c r="K632">
        <v>0</v>
      </c>
      <c r="L632">
        <v>6</v>
      </c>
      <c r="M632" s="21">
        <f ca="1">LEFT(Music_Data[[#This Row],[Duration_minutes]],3)/60</f>
        <v>2.9</v>
      </c>
      <c r="N632" s="17">
        <v>0.182</v>
      </c>
      <c r="O632" s="17" t="str">
        <f ca="1">PROPER(Music_Data[[#This Row],[Playlist_subgenre2]])</f>
        <v>Desi</v>
      </c>
    </row>
    <row r="633" spans="1:15">
      <c r="A633" s="17">
        <v>0.63100000000000001</v>
      </c>
      <c r="B633" s="21">
        <v>105</v>
      </c>
      <c r="C633" s="16">
        <v>0.64800000000000002</v>
      </c>
      <c r="D633" s="16" t="str">
        <f ca="1">PROPER(Music_Data[[#This Row],[Playlist_genre2]])</f>
        <v>Hip-Hop</v>
      </c>
      <c r="E633" s="17">
        <v>0.14199999999999999</v>
      </c>
      <c r="F633" t="s">
        <v>12257</v>
      </c>
      <c r="G633">
        <v>71</v>
      </c>
      <c r="H633" t="s">
        <v>12170</v>
      </c>
      <c r="I633" t="s">
        <v>12263</v>
      </c>
      <c r="J633" s="22">
        <v>42251</v>
      </c>
      <c r="K633">
        <v>0</v>
      </c>
      <c r="L633">
        <v>4</v>
      </c>
      <c r="M633" s="21">
        <f ca="1">LEFT(Music_Data[[#This Row],[Duration_minutes]],3)/60</f>
        <v>5.8166666666666664</v>
      </c>
      <c r="N633" s="17">
        <v>0.38</v>
      </c>
      <c r="O633" s="17" t="str">
        <f ca="1">PROPER(Music_Data[[#This Row],[Playlist_subgenre2]])</f>
        <v>Melodic</v>
      </c>
    </row>
    <row r="634" spans="1:15">
      <c r="A634" s="17">
        <v>0.68</v>
      </c>
      <c r="B634" s="21">
        <v>144</v>
      </c>
      <c r="C634" s="16">
        <v>0.85</v>
      </c>
      <c r="D634" s="16" t="str">
        <f ca="1">PROPER(Music_Data[[#This Row],[Playlist_genre2]])</f>
        <v>Hip-Hop</v>
      </c>
      <c r="E634" s="17">
        <v>0.69399999999999995</v>
      </c>
      <c r="F634" t="s">
        <v>2296</v>
      </c>
      <c r="G634">
        <v>70</v>
      </c>
      <c r="H634" t="s">
        <v>2202</v>
      </c>
      <c r="I634" t="s">
        <v>2302</v>
      </c>
      <c r="J634" s="22">
        <v>44267</v>
      </c>
      <c r="K634">
        <v>0</v>
      </c>
      <c r="L634">
        <v>3</v>
      </c>
      <c r="M634" s="21">
        <f ca="1">LEFT(Music_Data[[#This Row],[Duration_minutes]],3)/60</f>
        <v>2.8833333333333333</v>
      </c>
      <c r="N634" s="17">
        <v>0.73199999999999998</v>
      </c>
      <c r="O634" s="17" t="str">
        <f ca="1">PROPER(Music_Data[[#This Row],[Playlist_subgenre2]])</f>
        <v>Gangster</v>
      </c>
    </row>
    <row r="635" spans="1:15">
      <c r="A635" s="17">
        <v>0.78</v>
      </c>
      <c r="B635" s="21">
        <v>134</v>
      </c>
      <c r="C635" s="16">
        <v>0.72399999999999998</v>
      </c>
      <c r="D635" s="16" t="str">
        <f ca="1">PROPER(Music_Data[[#This Row],[Playlist_genre2]])</f>
        <v>Hip-Hop</v>
      </c>
      <c r="E635" s="17">
        <v>0.72</v>
      </c>
      <c r="F635" t="s">
        <v>6255</v>
      </c>
      <c r="G635">
        <v>70</v>
      </c>
      <c r="H635" t="s">
        <v>6248</v>
      </c>
      <c r="I635" t="s">
        <v>6258</v>
      </c>
      <c r="J635" s="22">
        <v>45526</v>
      </c>
      <c r="K635">
        <v>0</v>
      </c>
      <c r="L635">
        <v>1</v>
      </c>
      <c r="M635" s="21">
        <f ca="1">LEFT(Music_Data[[#This Row],[Duration_minutes]],3)/60</f>
        <v>2.8333333333333335</v>
      </c>
      <c r="N635" s="17">
        <v>0.29399999999999998</v>
      </c>
      <c r="O635" s="17" t="str">
        <f ca="1">PROPER(Music_Data[[#This Row],[Playlist_subgenre2]])</f>
        <v>French</v>
      </c>
    </row>
    <row r="636" spans="1:15">
      <c r="A636" s="17">
        <v>0.61099999999999999</v>
      </c>
      <c r="B636" s="21">
        <v>102</v>
      </c>
      <c r="C636" s="16">
        <v>0.89700000000000002</v>
      </c>
      <c r="D636" s="16" t="str">
        <f ca="1">PROPER(Music_Data[[#This Row],[Playlist_genre2]])</f>
        <v>Hip-Hop</v>
      </c>
      <c r="E636" s="17">
        <v>0.76900000000000002</v>
      </c>
      <c r="F636" t="s">
        <v>5914</v>
      </c>
      <c r="G636">
        <v>70</v>
      </c>
      <c r="H636" t="s">
        <v>5837</v>
      </c>
      <c r="I636" t="s">
        <v>5920</v>
      </c>
      <c r="J636" s="22">
        <v>34170</v>
      </c>
      <c r="K636">
        <v>1</v>
      </c>
      <c r="L636">
        <v>11</v>
      </c>
      <c r="M636" s="21">
        <f ca="1">LEFT(Music_Data[[#This Row],[Duration_minutes]],3)/60</f>
        <v>3.4666666666666668</v>
      </c>
      <c r="N636" s="17">
        <v>2.9100000000000001E-2</v>
      </c>
      <c r="O636" s="17" t="str">
        <f ca="1">PROPER(Music_Data[[#This Row],[Playlist_subgenre2]])</f>
        <v>90S</v>
      </c>
    </row>
    <row r="637" spans="1:15">
      <c r="A637" s="17">
        <v>0.72699999999999998</v>
      </c>
      <c r="B637" s="21">
        <v>150</v>
      </c>
      <c r="C637" s="16">
        <v>0.47699999999999998</v>
      </c>
      <c r="D637" s="16" t="str">
        <f ca="1">PROPER(Music_Data[[#This Row],[Playlist_genre2]])</f>
        <v>Hip-Hop</v>
      </c>
      <c r="E637" s="17">
        <v>0.22700000000000001</v>
      </c>
      <c r="F637" t="s">
        <v>2540</v>
      </c>
      <c r="G637">
        <v>70</v>
      </c>
      <c r="H637" t="s">
        <v>2202</v>
      </c>
      <c r="I637" t="s">
        <v>2546</v>
      </c>
      <c r="J637" s="22">
        <v>44316</v>
      </c>
      <c r="K637">
        <v>1</v>
      </c>
      <c r="L637">
        <v>2</v>
      </c>
      <c r="M637" s="21">
        <f ca="1">LEFT(Music_Data[[#This Row],[Duration_minutes]],3)/60</f>
        <v>3.9333333333333331</v>
      </c>
      <c r="N637" s="17">
        <v>8.6600000000000002E-4</v>
      </c>
      <c r="O637" s="17" t="str">
        <f ca="1">PROPER(Music_Data[[#This Row],[Playlist_subgenre2]])</f>
        <v>Gangster</v>
      </c>
    </row>
    <row r="638" spans="1:15">
      <c r="A638" s="17">
        <v>0.65800000000000003</v>
      </c>
      <c r="B638" s="21">
        <v>151</v>
      </c>
      <c r="C638" s="16">
        <v>0.752</v>
      </c>
      <c r="D638" s="16" t="str">
        <f ca="1">PROPER(Music_Data[[#This Row],[Playlist_genre2]])</f>
        <v>Hip-Hop</v>
      </c>
      <c r="E638" s="17">
        <v>0.38700000000000001</v>
      </c>
      <c r="F638" t="s">
        <v>2327</v>
      </c>
      <c r="G638">
        <v>70</v>
      </c>
      <c r="H638" t="s">
        <v>2202</v>
      </c>
      <c r="I638" t="s">
        <v>2333</v>
      </c>
      <c r="J638" s="22">
        <v>44148</v>
      </c>
      <c r="K638">
        <v>1</v>
      </c>
      <c r="L638">
        <v>0</v>
      </c>
      <c r="M638" s="21">
        <f ca="1">LEFT(Music_Data[[#This Row],[Duration_minutes]],3)/60</f>
        <v>3.55</v>
      </c>
      <c r="N638" s="17">
        <v>4.2099999999999999E-2</v>
      </c>
      <c r="O638" s="17" t="str">
        <f ca="1">PROPER(Music_Data[[#This Row],[Playlist_subgenre2]])</f>
        <v>Gangster</v>
      </c>
    </row>
    <row r="639" spans="1:15">
      <c r="A639" s="17">
        <v>0.66200000000000003</v>
      </c>
      <c r="B639" s="21">
        <v>150</v>
      </c>
      <c r="C639" s="16">
        <v>0.70899999999999996</v>
      </c>
      <c r="D639" s="16" t="str">
        <f ca="1">PROPER(Music_Data[[#This Row],[Playlist_genre2]])</f>
        <v>Hip-Hop</v>
      </c>
      <c r="E639" s="17">
        <v>0.439</v>
      </c>
      <c r="F639" t="s">
        <v>2153</v>
      </c>
      <c r="G639">
        <v>70</v>
      </c>
      <c r="H639" t="s">
        <v>12170</v>
      </c>
      <c r="I639" t="s">
        <v>12243</v>
      </c>
      <c r="J639" s="22">
        <v>43532</v>
      </c>
      <c r="K639">
        <v>1</v>
      </c>
      <c r="L639">
        <v>8</v>
      </c>
      <c r="M639" s="21">
        <f ca="1">LEFT(Music_Data[[#This Row],[Duration_minutes]],3)/60</f>
        <v>3.6333333333333333</v>
      </c>
      <c r="N639" s="17">
        <v>9.6600000000000002E-3</v>
      </c>
      <c r="O639" s="17" t="str">
        <f ca="1">PROPER(Music_Data[[#This Row],[Playlist_subgenre2]])</f>
        <v>Melodic</v>
      </c>
    </row>
    <row r="640" spans="1:15">
      <c r="A640" s="17">
        <v>0.63100000000000001</v>
      </c>
      <c r="B640" s="21">
        <v>841</v>
      </c>
      <c r="C640" s="16">
        <v>0.48</v>
      </c>
      <c r="D640" s="16" t="str">
        <f ca="1">PROPER(Music_Data[[#This Row],[Playlist_genre2]])</f>
        <v>Hip-Hop</v>
      </c>
      <c r="E640" s="17">
        <v>0.51500000000000001</v>
      </c>
      <c r="F640" t="s">
        <v>11736</v>
      </c>
      <c r="G640">
        <v>70</v>
      </c>
      <c r="H640" t="s">
        <v>11488</v>
      </c>
      <c r="I640" t="s">
        <v>11741</v>
      </c>
      <c r="J640" s="22">
        <v>39336</v>
      </c>
      <c r="K640">
        <v>1</v>
      </c>
      <c r="L640">
        <v>7</v>
      </c>
      <c r="M640" s="21">
        <f ca="1">LEFT(Music_Data[[#This Row],[Duration_minutes]],3)/60</f>
        <v>3.25</v>
      </c>
      <c r="N640" s="17">
        <v>7.9100000000000004E-2</v>
      </c>
      <c r="O640" s="17" t="str">
        <f ca="1">PROPER(Music_Data[[#This Row],[Playlist_subgenre2]])</f>
        <v>Chill</v>
      </c>
    </row>
    <row r="641" spans="1:15">
      <c r="A641" s="17">
        <v>0.79800000000000004</v>
      </c>
      <c r="B641" s="21">
        <v>866</v>
      </c>
      <c r="C641" s="16">
        <v>0.50900000000000001</v>
      </c>
      <c r="D641" s="16" t="str">
        <f ca="1">PROPER(Music_Data[[#This Row],[Playlist_genre2]])</f>
        <v>Hip-Hop</v>
      </c>
      <c r="E641" s="17">
        <v>0.48</v>
      </c>
      <c r="F641" t="s">
        <v>12417</v>
      </c>
      <c r="G641">
        <v>70</v>
      </c>
      <c r="H641" t="s">
        <v>12411</v>
      </c>
      <c r="I641" t="s">
        <v>12420</v>
      </c>
      <c r="J641" s="22">
        <v>45583</v>
      </c>
      <c r="K641">
        <v>1</v>
      </c>
      <c r="L641">
        <v>2</v>
      </c>
      <c r="M641" s="21">
        <f ca="1">LEFT(Music_Data[[#This Row],[Duration_minutes]],3)/60</f>
        <v>3</v>
      </c>
      <c r="N641" s="17">
        <v>6.2500000000000003E-3</v>
      </c>
      <c r="O641" s="17" t="str">
        <f ca="1">PROPER(Music_Data[[#This Row],[Playlist_subgenre2]])</f>
        <v>Desi</v>
      </c>
    </row>
    <row r="642" spans="1:15">
      <c r="A642" s="17">
        <v>0.75</v>
      </c>
      <c r="B642" s="21">
        <v>139</v>
      </c>
      <c r="C642" s="16">
        <v>0.83099999999999996</v>
      </c>
      <c r="D642" s="16" t="str">
        <f ca="1">PROPER(Music_Data[[#This Row],[Playlist_genre2]])</f>
        <v>Hip-Hop</v>
      </c>
      <c r="E642" s="17">
        <v>0.66200000000000003</v>
      </c>
      <c r="F642" t="s">
        <v>12417</v>
      </c>
      <c r="G642">
        <v>70</v>
      </c>
      <c r="H642" t="s">
        <v>12411</v>
      </c>
      <c r="I642" t="s">
        <v>12506</v>
      </c>
      <c r="J642" s="22">
        <v>44890</v>
      </c>
      <c r="K642">
        <v>0</v>
      </c>
      <c r="L642">
        <v>10</v>
      </c>
      <c r="M642" s="21">
        <f ca="1">LEFT(Music_Data[[#This Row],[Duration_minutes]],3)/60</f>
        <v>3.05</v>
      </c>
      <c r="N642" s="17">
        <v>1.8800000000000001E-2</v>
      </c>
      <c r="O642" s="17" t="str">
        <f ca="1">PROPER(Music_Data[[#This Row],[Playlist_subgenre2]])</f>
        <v>Desi</v>
      </c>
    </row>
    <row r="643" spans="1:15">
      <c r="A643" s="17">
        <v>0.41099999999999998</v>
      </c>
      <c r="B643" s="21">
        <v>172</v>
      </c>
      <c r="C643" s="16">
        <v>0.72199999999999998</v>
      </c>
      <c r="D643" s="16" t="str">
        <f ca="1">PROPER(Music_Data[[#This Row],[Playlist_genre2]])</f>
        <v>Hip-Hop</v>
      </c>
      <c r="E643" s="17">
        <v>0.503</v>
      </c>
      <c r="F643" t="s">
        <v>2887</v>
      </c>
      <c r="G643">
        <v>70</v>
      </c>
      <c r="H643" t="s">
        <v>2607</v>
      </c>
      <c r="I643" t="s">
        <v>2890</v>
      </c>
      <c r="J643" s="22">
        <v>44812</v>
      </c>
      <c r="K643">
        <v>0</v>
      </c>
      <c r="L643">
        <v>2</v>
      </c>
      <c r="M643" s="21">
        <f ca="1">LEFT(Music_Data[[#This Row],[Duration_minutes]],3)/60</f>
        <v>2.3666666666666667</v>
      </c>
      <c r="N643" s="17">
        <v>0.50900000000000001</v>
      </c>
      <c r="O643" s="17" t="str">
        <f ca="1">PROPER(Music_Data[[#This Row],[Playlist_subgenre2]])</f>
        <v>Trap</v>
      </c>
    </row>
    <row r="644" spans="1:15">
      <c r="A644" s="17">
        <v>0.94599999999999995</v>
      </c>
      <c r="B644" s="21">
        <v>150</v>
      </c>
      <c r="C644" s="16">
        <v>0.80400000000000005</v>
      </c>
      <c r="D644" s="16" t="str">
        <f ca="1">PROPER(Music_Data[[#This Row],[Playlist_genre2]])</f>
        <v>Hip-Hop</v>
      </c>
      <c r="E644" s="17">
        <v>0.745</v>
      </c>
      <c r="F644" t="s">
        <v>2376</v>
      </c>
      <c r="G644">
        <v>70</v>
      </c>
      <c r="H644" t="s">
        <v>2202</v>
      </c>
      <c r="I644" t="s">
        <v>2383</v>
      </c>
      <c r="J644" s="22">
        <v>43861</v>
      </c>
      <c r="K644">
        <v>1</v>
      </c>
      <c r="L644">
        <v>7</v>
      </c>
      <c r="M644" s="21">
        <f ca="1">LEFT(Music_Data[[#This Row],[Duration_minutes]],3)/60</f>
        <v>2.4333333333333331</v>
      </c>
      <c r="N644" s="17">
        <v>2E-3</v>
      </c>
      <c r="O644" s="17" t="str">
        <f ca="1">PROPER(Music_Data[[#This Row],[Playlist_subgenre2]])</f>
        <v>Gangster</v>
      </c>
    </row>
    <row r="645" spans="1:15">
      <c r="A645" s="17">
        <v>0.52500000000000002</v>
      </c>
      <c r="B645" s="21">
        <v>750</v>
      </c>
      <c r="C645" s="16">
        <v>0.77600000000000002</v>
      </c>
      <c r="D645" s="16" t="str">
        <f ca="1">PROPER(Music_Data[[#This Row],[Playlist_genre2]])</f>
        <v>Hip-Hop</v>
      </c>
      <c r="E645" s="17">
        <v>0.46700000000000003</v>
      </c>
      <c r="F645" t="s">
        <v>2042</v>
      </c>
      <c r="G645">
        <v>70</v>
      </c>
      <c r="H645" t="s">
        <v>1852</v>
      </c>
      <c r="I645" t="s">
        <v>2049</v>
      </c>
      <c r="J645" s="22">
        <v>45513</v>
      </c>
      <c r="K645">
        <v>1</v>
      </c>
      <c r="L645">
        <v>1</v>
      </c>
      <c r="M645" s="21">
        <f ca="1">LEFT(Music_Data[[#This Row],[Duration_minutes]],3)/60</f>
        <v>3.6166666666666667</v>
      </c>
      <c r="N645" s="17">
        <v>3.6600000000000001E-2</v>
      </c>
      <c r="O645" s="17" t="str">
        <f ca="1">PROPER(Music_Data[[#This Row],[Playlist_subgenre2]])</f>
        <v>Modern</v>
      </c>
    </row>
    <row r="646" spans="1:15">
      <c r="A646" s="17">
        <v>0.64200000000000002</v>
      </c>
      <c r="B646" s="21">
        <v>111</v>
      </c>
      <c r="C646" s="16">
        <v>0.65</v>
      </c>
      <c r="D646" s="16" t="str">
        <f ca="1">PROPER(Music_Data[[#This Row],[Playlist_genre2]])</f>
        <v>Hip-Hop</v>
      </c>
      <c r="E646" s="17">
        <v>0.186</v>
      </c>
      <c r="F646" t="s">
        <v>1909</v>
      </c>
      <c r="G646">
        <v>70</v>
      </c>
      <c r="H646" t="s">
        <v>1852</v>
      </c>
      <c r="I646" t="s">
        <v>1912</v>
      </c>
      <c r="J646" s="22">
        <v>45611</v>
      </c>
      <c r="K646">
        <v>1</v>
      </c>
      <c r="L646">
        <v>2</v>
      </c>
      <c r="M646" s="21">
        <f ca="1">LEFT(Music_Data[[#This Row],[Duration_minutes]],3)/60</f>
        <v>2.1166666666666667</v>
      </c>
      <c r="N646" s="17">
        <v>5.0200000000000002E-3</v>
      </c>
      <c r="O646" s="17" t="str">
        <f ca="1">PROPER(Music_Data[[#This Row],[Playlist_subgenre2]])</f>
        <v>Modern</v>
      </c>
    </row>
    <row r="647" spans="1:15">
      <c r="A647" s="17">
        <v>0.56399999999999995</v>
      </c>
      <c r="B647" s="21">
        <v>779</v>
      </c>
      <c r="C647" s="16">
        <v>0.85599999999999998</v>
      </c>
      <c r="D647" s="16" t="str">
        <f ca="1">PROPER(Music_Data[[#This Row],[Playlist_genre2]])</f>
        <v>Hip-Hop</v>
      </c>
      <c r="E647" s="17">
        <v>0.48299999999999998</v>
      </c>
      <c r="F647" t="s">
        <v>1909</v>
      </c>
      <c r="G647">
        <v>70</v>
      </c>
      <c r="H647" t="s">
        <v>2202</v>
      </c>
      <c r="I647" t="s">
        <v>2574</v>
      </c>
      <c r="J647" s="22">
        <v>44169</v>
      </c>
      <c r="K647">
        <v>0</v>
      </c>
      <c r="L647">
        <v>6</v>
      </c>
      <c r="M647" s="21">
        <f ca="1">LEFT(Music_Data[[#This Row],[Duration_minutes]],3)/60</f>
        <v>2.25</v>
      </c>
      <c r="N647" s="17">
        <v>3.2699999999999999E-3</v>
      </c>
      <c r="O647" s="17" t="str">
        <f ca="1">PROPER(Music_Data[[#This Row],[Playlist_subgenre2]])</f>
        <v>Gangster</v>
      </c>
    </row>
    <row r="648" spans="1:15">
      <c r="A648" s="17">
        <v>0.54200000000000004</v>
      </c>
      <c r="B648" s="21">
        <v>135</v>
      </c>
      <c r="C648" s="16">
        <v>0.92600000000000005</v>
      </c>
      <c r="D648" s="16" t="str">
        <f ca="1">PROPER(Music_Data[[#This Row],[Playlist_genre2]])</f>
        <v>Hip-Hop</v>
      </c>
      <c r="E648" s="17">
        <v>0.56399999999999995</v>
      </c>
      <c r="F648" t="s">
        <v>2724</v>
      </c>
      <c r="G648">
        <v>70</v>
      </c>
      <c r="H648" t="s">
        <v>2607</v>
      </c>
      <c r="I648" t="s">
        <v>2731</v>
      </c>
      <c r="J648" s="22">
        <v>43952</v>
      </c>
      <c r="K648">
        <v>1</v>
      </c>
      <c r="L648">
        <v>1</v>
      </c>
      <c r="M648" s="21">
        <f ca="1">LEFT(Music_Data[[#This Row],[Duration_minutes]],3)/60</f>
        <v>3.0166666666666666</v>
      </c>
      <c r="N648" s="17">
        <v>0.13500000000000001</v>
      </c>
      <c r="O648" s="17" t="str">
        <f ca="1">PROPER(Music_Data[[#This Row],[Playlist_subgenre2]])</f>
        <v>Trap</v>
      </c>
    </row>
    <row r="649" spans="1:15">
      <c r="A649" s="17">
        <v>0.76700000000000002</v>
      </c>
      <c r="B649" s="21">
        <v>160</v>
      </c>
      <c r="C649" s="16">
        <v>0.71799999999999997</v>
      </c>
      <c r="D649" s="16" t="str">
        <f ca="1">PROPER(Music_Data[[#This Row],[Playlist_genre2]])</f>
        <v>Hip-Hop</v>
      </c>
      <c r="E649" s="17">
        <v>0.51900000000000002</v>
      </c>
      <c r="F649" t="s">
        <v>12186</v>
      </c>
      <c r="G649">
        <v>70</v>
      </c>
      <c r="H649" t="s">
        <v>12170</v>
      </c>
      <c r="I649" t="s">
        <v>12192</v>
      </c>
      <c r="J649" s="22">
        <v>43081</v>
      </c>
      <c r="K649">
        <v>1</v>
      </c>
      <c r="L649">
        <v>9</v>
      </c>
      <c r="M649" s="21">
        <f ca="1">LEFT(Music_Data[[#This Row],[Duration_minutes]],3)/60</f>
        <v>2.6</v>
      </c>
      <c r="N649" s="17">
        <v>0.13800000000000001</v>
      </c>
      <c r="O649" s="17" t="str">
        <f ca="1">PROPER(Music_Data[[#This Row],[Playlist_subgenre2]])</f>
        <v>Melodic</v>
      </c>
    </row>
    <row r="650" spans="1:15">
      <c r="A650" s="17">
        <v>0.58799999999999997</v>
      </c>
      <c r="B650" s="21">
        <v>114</v>
      </c>
      <c r="C650" s="16">
        <v>0.71199999999999997</v>
      </c>
      <c r="D650" s="16" t="str">
        <f ca="1">PROPER(Music_Data[[#This Row],[Playlist_genre2]])</f>
        <v>Hip-Hop</v>
      </c>
      <c r="E650" s="17">
        <v>0.47099999999999997</v>
      </c>
      <c r="F650" t="s">
        <v>4879</v>
      </c>
      <c r="G650">
        <v>70</v>
      </c>
      <c r="H650" t="s">
        <v>12170</v>
      </c>
      <c r="I650" t="s">
        <v>12250</v>
      </c>
      <c r="J650" s="22">
        <v>45310</v>
      </c>
      <c r="K650">
        <v>0</v>
      </c>
      <c r="L650">
        <v>9</v>
      </c>
      <c r="M650" s="21">
        <f ca="1">LEFT(Music_Data[[#This Row],[Duration_minutes]],3)/60</f>
        <v>2</v>
      </c>
      <c r="N650" s="17">
        <v>0.112</v>
      </c>
      <c r="O650" s="17" t="str">
        <f ca="1">PROPER(Music_Data[[#This Row],[Playlist_subgenre2]])</f>
        <v>Melodic</v>
      </c>
    </row>
    <row r="651" spans="1:15">
      <c r="A651" s="17">
        <v>0.54700000000000004</v>
      </c>
      <c r="B651" s="21">
        <v>138</v>
      </c>
      <c r="C651" s="16">
        <v>0.92</v>
      </c>
      <c r="D651" s="16" t="str">
        <f ca="1">PROPER(Music_Data[[#This Row],[Playlist_genre2]])</f>
        <v>Hip-Hop</v>
      </c>
      <c r="E651" s="17">
        <v>0.60599999999999998</v>
      </c>
      <c r="F651" t="s">
        <v>2415</v>
      </c>
      <c r="G651">
        <v>70</v>
      </c>
      <c r="H651" t="s">
        <v>2202</v>
      </c>
      <c r="I651" t="s">
        <v>2422</v>
      </c>
      <c r="J651" s="22">
        <v>44162</v>
      </c>
      <c r="K651">
        <v>0</v>
      </c>
      <c r="L651">
        <v>6</v>
      </c>
      <c r="M651" s="21">
        <f ca="1">LEFT(Music_Data[[#This Row],[Duration_minutes]],3)/60</f>
        <v>14.916666666666666</v>
      </c>
      <c r="N651" s="17">
        <v>2.41E-2</v>
      </c>
      <c r="O651" s="17" t="str">
        <f ca="1">PROPER(Music_Data[[#This Row],[Playlist_subgenre2]])</f>
        <v>Gangster</v>
      </c>
    </row>
    <row r="652" spans="1:15">
      <c r="A652" s="17">
        <v>0.50900000000000001</v>
      </c>
      <c r="B652" s="21">
        <v>157</v>
      </c>
      <c r="C652" s="16">
        <v>0.66200000000000003</v>
      </c>
      <c r="D652" s="16" t="str">
        <f ca="1">PROPER(Music_Data[[#This Row],[Playlist_genre2]])</f>
        <v>Hip-Hop</v>
      </c>
      <c r="E652" s="17">
        <v>0.54900000000000004</v>
      </c>
      <c r="F652" t="s">
        <v>1973</v>
      </c>
      <c r="G652">
        <v>70</v>
      </c>
      <c r="H652" t="s">
        <v>1852</v>
      </c>
      <c r="I652" t="s">
        <v>1976</v>
      </c>
      <c r="J652" s="22">
        <v>45520</v>
      </c>
      <c r="K652">
        <v>1</v>
      </c>
      <c r="L652">
        <v>1</v>
      </c>
      <c r="M652" s="21">
        <f ca="1">LEFT(Music_Data[[#This Row],[Duration_minutes]],3)/60</f>
        <v>2.2666666666666666</v>
      </c>
      <c r="N652" s="17">
        <v>0.247</v>
      </c>
      <c r="O652" s="17" t="str">
        <f ca="1">PROPER(Music_Data[[#This Row],[Playlist_subgenre2]])</f>
        <v>Modern</v>
      </c>
    </row>
    <row r="653" spans="1:15">
      <c r="A653" s="17">
        <v>0.92800000000000005</v>
      </c>
      <c r="B653" s="21">
        <v>109</v>
      </c>
      <c r="C653" s="16">
        <v>0.61599999999999999</v>
      </c>
      <c r="D653" s="16" t="str">
        <f ca="1">PROPER(Music_Data[[#This Row],[Playlist_genre2]])</f>
        <v>Hip-Hop</v>
      </c>
      <c r="E653" s="17">
        <v>0.23</v>
      </c>
      <c r="F653" t="s">
        <v>13163</v>
      </c>
      <c r="G653">
        <v>70</v>
      </c>
      <c r="H653" t="s">
        <v>2607</v>
      </c>
      <c r="I653" t="s">
        <v>2719</v>
      </c>
      <c r="J653" s="22">
        <v>45544</v>
      </c>
      <c r="K653">
        <v>0</v>
      </c>
      <c r="L653">
        <v>9</v>
      </c>
      <c r="M653" s="21">
        <f ca="1">LEFT(Music_Data[[#This Row],[Duration_minutes]],3)/60</f>
        <v>3.8333333333333335</v>
      </c>
      <c r="N653" s="17">
        <v>1.6799999999999999E-2</v>
      </c>
      <c r="O653" s="17" t="str">
        <f ca="1">PROPER(Music_Data[[#This Row],[Playlist_subgenre2]])</f>
        <v>Trap</v>
      </c>
    </row>
    <row r="654" spans="1:15">
      <c r="A654" s="17">
        <v>0.66600000000000004</v>
      </c>
      <c r="B654" s="21">
        <v>127</v>
      </c>
      <c r="C654" s="16">
        <v>0.92600000000000005</v>
      </c>
      <c r="D654" s="16" t="str">
        <f ca="1">PROPER(Music_Data[[#This Row],[Playlist_genre2]])</f>
        <v>Hip-Hop</v>
      </c>
      <c r="E654" s="17">
        <v>0.16800000000000001</v>
      </c>
      <c r="F654" t="s">
        <v>2674</v>
      </c>
      <c r="G654">
        <v>70</v>
      </c>
      <c r="H654" t="s">
        <v>2607</v>
      </c>
      <c r="I654" t="s">
        <v>2680</v>
      </c>
      <c r="J654" s="22">
        <v>42762</v>
      </c>
      <c r="K654">
        <v>1</v>
      </c>
      <c r="L654">
        <v>11</v>
      </c>
      <c r="M654" s="21">
        <f ca="1">LEFT(Music_Data[[#This Row],[Duration_minutes]],3)/60</f>
        <v>5.7166666666666668</v>
      </c>
      <c r="N654" s="17">
        <v>6.1100000000000002E-2</v>
      </c>
      <c r="O654" s="17" t="str">
        <f ca="1">PROPER(Music_Data[[#This Row],[Playlist_subgenre2]])</f>
        <v>Trap</v>
      </c>
    </row>
    <row r="655" spans="1:15">
      <c r="A655" s="17">
        <v>0.91</v>
      </c>
      <c r="B655" s="21">
        <v>840</v>
      </c>
      <c r="C655" s="16">
        <v>0.66500000000000004</v>
      </c>
      <c r="D655" s="16" t="str">
        <f ca="1">PROPER(Music_Data[[#This Row],[Playlist_genre2]])</f>
        <v>Hip-Hop</v>
      </c>
      <c r="E655" s="17">
        <v>0.88700000000000001</v>
      </c>
      <c r="F655" t="s">
        <v>5931</v>
      </c>
      <c r="G655">
        <v>70</v>
      </c>
      <c r="H655" t="s">
        <v>5837</v>
      </c>
      <c r="I655" t="s">
        <v>5937</v>
      </c>
      <c r="J655" s="22">
        <v>34443</v>
      </c>
      <c r="K655">
        <v>0</v>
      </c>
      <c r="L655">
        <v>6</v>
      </c>
      <c r="M655" s="21">
        <f ca="1">LEFT(Music_Data[[#This Row],[Duration_minutes]],3)/60</f>
        <v>4.8833333333333337</v>
      </c>
      <c r="N655" s="17">
        <v>3.9399999999999998E-2</v>
      </c>
      <c r="O655" s="17" t="str">
        <f ca="1">PROPER(Music_Data[[#This Row],[Playlist_subgenre2]])</f>
        <v>90S</v>
      </c>
    </row>
    <row r="656" spans="1:15">
      <c r="A656" s="17">
        <v>0.63100000000000001</v>
      </c>
      <c r="B656" s="21">
        <v>121</v>
      </c>
      <c r="C656" s="16">
        <v>0.77200000000000002</v>
      </c>
      <c r="D656" s="16" t="str">
        <f ca="1">PROPER(Music_Data[[#This Row],[Playlist_genre2]])</f>
        <v>Hip-Hop</v>
      </c>
      <c r="E656" s="17">
        <v>0.433</v>
      </c>
      <c r="F656" t="s">
        <v>2242</v>
      </c>
      <c r="G656">
        <v>70</v>
      </c>
      <c r="H656" t="s">
        <v>2202</v>
      </c>
      <c r="I656" t="s">
        <v>2248</v>
      </c>
      <c r="J656" s="22">
        <v>45212</v>
      </c>
      <c r="K656">
        <v>1</v>
      </c>
      <c r="L656">
        <v>10</v>
      </c>
      <c r="M656" s="21">
        <f ca="1">LEFT(Music_Data[[#This Row],[Duration_minutes]],3)/60</f>
        <v>2.8833333333333333</v>
      </c>
      <c r="N656" s="17">
        <v>6.4799999999999996E-2</v>
      </c>
      <c r="O656" s="17" t="str">
        <f ca="1">PROPER(Music_Data[[#This Row],[Playlist_subgenre2]])</f>
        <v>Gangster</v>
      </c>
    </row>
    <row r="657" spans="1:15">
      <c r="A657" s="17">
        <v>0.73399999999999999</v>
      </c>
      <c r="B657" s="21">
        <v>970</v>
      </c>
      <c r="C657" s="16">
        <v>0.91800000000000004</v>
      </c>
      <c r="D657" s="16" t="str">
        <f ca="1">PROPER(Music_Data[[#This Row],[Playlist_genre2]])</f>
        <v>Hip-Hop</v>
      </c>
      <c r="E657" s="17">
        <v>0.60799999999999998</v>
      </c>
      <c r="F657" t="s">
        <v>5923</v>
      </c>
      <c r="G657">
        <v>70</v>
      </c>
      <c r="H657" t="s">
        <v>5837</v>
      </c>
      <c r="I657" t="s">
        <v>5926</v>
      </c>
      <c r="J657" s="22">
        <v>35304</v>
      </c>
      <c r="K657">
        <v>0</v>
      </c>
      <c r="L657">
        <v>11</v>
      </c>
      <c r="M657" s="21">
        <f ca="1">LEFT(Music_Data[[#This Row],[Duration_minutes]],3)/60</f>
        <v>3.8333333333333335</v>
      </c>
      <c r="N657" s="17">
        <v>2.9600000000000001E-2</v>
      </c>
      <c r="O657" s="17" t="str">
        <f ca="1">PROPER(Music_Data[[#This Row],[Playlist_subgenre2]])</f>
        <v>90S</v>
      </c>
    </row>
    <row r="658" spans="1:15">
      <c r="A658" s="17">
        <v>0.73399999999999999</v>
      </c>
      <c r="B658" s="21">
        <v>970</v>
      </c>
      <c r="C658" s="16">
        <v>0.91800000000000004</v>
      </c>
      <c r="D658" s="16" t="str">
        <f ca="1">PROPER(Music_Data[[#This Row],[Playlist_genre2]])</f>
        <v>Hip-Hop</v>
      </c>
      <c r="E658" s="17">
        <v>0.60799999999999998</v>
      </c>
      <c r="F658" t="s">
        <v>5923</v>
      </c>
      <c r="G658">
        <v>70</v>
      </c>
      <c r="H658" t="s">
        <v>11488</v>
      </c>
      <c r="I658" t="s">
        <v>5926</v>
      </c>
      <c r="J658" s="22">
        <v>35304</v>
      </c>
      <c r="K658">
        <v>0</v>
      </c>
      <c r="L658">
        <v>11</v>
      </c>
      <c r="M658" s="21">
        <f ca="1">LEFT(Music_Data[[#This Row],[Duration_minutes]],3)/60</f>
        <v>3.8333333333333335</v>
      </c>
      <c r="N658" s="17">
        <v>2.9600000000000001E-2</v>
      </c>
      <c r="O658" s="17" t="str">
        <f ca="1">PROPER(Music_Data[[#This Row],[Playlist_subgenre2]])</f>
        <v>Chill</v>
      </c>
    </row>
    <row r="659" spans="1:15">
      <c r="A659" s="17">
        <v>0.57199999999999995</v>
      </c>
      <c r="B659" s="21">
        <v>880</v>
      </c>
      <c r="C659" s="16">
        <v>0.74199999999999999</v>
      </c>
      <c r="D659" s="16" t="str">
        <f ca="1">PROPER(Music_Data[[#This Row],[Playlist_genre2]])</f>
        <v>Hip-Hop</v>
      </c>
      <c r="E659" s="17">
        <v>0.64400000000000002</v>
      </c>
      <c r="F659" t="s">
        <v>12448</v>
      </c>
      <c r="G659">
        <v>70</v>
      </c>
      <c r="H659" t="s">
        <v>12411</v>
      </c>
      <c r="I659" t="s">
        <v>12476</v>
      </c>
      <c r="J659" s="22">
        <v>45422</v>
      </c>
      <c r="K659">
        <v>0</v>
      </c>
      <c r="L659">
        <v>7</v>
      </c>
      <c r="M659" s="21">
        <f ca="1">LEFT(Music_Data[[#This Row],[Duration_minutes]],3)/60</f>
        <v>3.2666666666666666</v>
      </c>
      <c r="N659" s="17">
        <v>0.39100000000000001</v>
      </c>
      <c r="O659" s="17" t="str">
        <f ca="1">PROPER(Music_Data[[#This Row],[Playlist_subgenre2]])</f>
        <v>Desi</v>
      </c>
    </row>
    <row r="660" spans="1:15">
      <c r="A660" s="17">
        <v>0.63100000000000001</v>
      </c>
      <c r="B660" s="21">
        <v>129</v>
      </c>
      <c r="C660" s="16">
        <v>0.80700000000000005</v>
      </c>
      <c r="D660" s="16" t="str">
        <f ca="1">PROPER(Music_Data[[#This Row],[Playlist_genre2]])</f>
        <v>Hip-Hop</v>
      </c>
      <c r="E660" s="17">
        <v>0.126</v>
      </c>
      <c r="F660" t="s">
        <v>2652</v>
      </c>
      <c r="G660">
        <v>70</v>
      </c>
      <c r="H660" t="s">
        <v>2607</v>
      </c>
      <c r="I660" t="s">
        <v>2658</v>
      </c>
      <c r="J660" s="22">
        <v>42650</v>
      </c>
      <c r="K660">
        <v>1</v>
      </c>
      <c r="L660">
        <v>8</v>
      </c>
      <c r="M660" s="21">
        <f ca="1">LEFT(Music_Data[[#This Row],[Duration_minutes]],3)/60</f>
        <v>3.55</v>
      </c>
      <c r="N660" s="17">
        <v>0.40699999999999997</v>
      </c>
      <c r="O660" s="17" t="str">
        <f ca="1">PROPER(Music_Data[[#This Row],[Playlist_subgenre2]])</f>
        <v>Trap</v>
      </c>
    </row>
    <row r="661" spans="1:15">
      <c r="A661" s="17">
        <v>0.748</v>
      </c>
      <c r="B661" s="21">
        <v>115</v>
      </c>
      <c r="C661" s="16">
        <v>0.752</v>
      </c>
      <c r="D661" s="16" t="str">
        <f ca="1">PROPER(Music_Data[[#This Row],[Playlist_genre2]])</f>
        <v>Hip-Hop</v>
      </c>
      <c r="E661" s="17">
        <v>0.497</v>
      </c>
      <c r="F661" t="s">
        <v>2754</v>
      </c>
      <c r="G661">
        <v>70</v>
      </c>
      <c r="H661" t="s">
        <v>2607</v>
      </c>
      <c r="I661" t="s">
        <v>2761</v>
      </c>
      <c r="J661" s="22">
        <v>42772</v>
      </c>
      <c r="K661">
        <v>1</v>
      </c>
      <c r="L661">
        <v>6</v>
      </c>
      <c r="M661" s="21">
        <f ca="1">LEFT(Music_Data[[#This Row],[Duration_minutes]],3)/60</f>
        <v>4.916666666666667</v>
      </c>
      <c r="N661" s="17">
        <v>0.28899999999999998</v>
      </c>
      <c r="O661" s="17" t="str">
        <f ca="1">PROPER(Music_Data[[#This Row],[Playlist_subgenre2]])</f>
        <v>Trap</v>
      </c>
    </row>
    <row r="662" spans="1:15">
      <c r="A662" s="17">
        <v>0.48399999999999999</v>
      </c>
      <c r="B662" s="21">
        <v>133</v>
      </c>
      <c r="C662" s="16">
        <v>0.93</v>
      </c>
      <c r="D662" s="16" t="str">
        <f ca="1">PROPER(Music_Data[[#This Row],[Playlist_genre2]])</f>
        <v>Hip-Hop</v>
      </c>
      <c r="E662" s="17">
        <v>0.747</v>
      </c>
      <c r="F662" t="s">
        <v>2897</v>
      </c>
      <c r="G662">
        <v>70</v>
      </c>
      <c r="H662" t="s">
        <v>2607</v>
      </c>
      <c r="I662" t="s">
        <v>13241</v>
      </c>
      <c r="J662" s="22">
        <v>45392</v>
      </c>
      <c r="K662">
        <v>1</v>
      </c>
      <c r="L662">
        <v>2</v>
      </c>
      <c r="M662" s="21">
        <f ca="1">LEFT(Music_Data[[#This Row],[Duration_minutes]],3)/60</f>
        <v>2.4</v>
      </c>
      <c r="N662" s="17">
        <v>0.35499999999999998</v>
      </c>
      <c r="O662" s="17" t="str">
        <f ca="1">PROPER(Music_Data[[#This Row],[Playlist_subgenre2]])</f>
        <v>Trap</v>
      </c>
    </row>
    <row r="663" spans="1:15">
      <c r="A663" s="17">
        <v>0.57899999999999996</v>
      </c>
      <c r="B663" s="21">
        <v>841</v>
      </c>
      <c r="C663" s="16">
        <v>0.56200000000000006</v>
      </c>
      <c r="D663" s="16" t="str">
        <f ca="1">PROPER(Music_Data[[#This Row],[Playlist_genre2]])</f>
        <v>Hip-Hop</v>
      </c>
      <c r="E663" s="17">
        <v>0.57699999999999996</v>
      </c>
      <c r="F663" t="s">
        <v>11532</v>
      </c>
      <c r="G663">
        <v>70</v>
      </c>
      <c r="H663" t="s">
        <v>11488</v>
      </c>
      <c r="I663" t="s">
        <v>11537</v>
      </c>
      <c r="J663" s="22">
        <v>43175</v>
      </c>
      <c r="K663">
        <v>0</v>
      </c>
      <c r="L663">
        <v>10</v>
      </c>
      <c r="M663" s="21">
        <f ca="1">LEFT(Music_Data[[#This Row],[Duration_minutes]],3)/60</f>
        <v>2.9333333333333331</v>
      </c>
      <c r="N663" s="17">
        <v>0.27400000000000002</v>
      </c>
      <c r="O663" s="17" t="str">
        <f ca="1">PROPER(Music_Data[[#This Row],[Playlist_subgenre2]])</f>
        <v>Chill</v>
      </c>
    </row>
    <row r="664" spans="1:15">
      <c r="A664" s="17">
        <v>0.68100000000000005</v>
      </c>
      <c r="B664" s="21">
        <v>114</v>
      </c>
      <c r="C664" s="16">
        <v>0.88400000000000001</v>
      </c>
      <c r="D664" s="16" t="str">
        <f ca="1">PROPER(Music_Data[[#This Row],[Playlist_genre2]])</f>
        <v>Hip-Hop</v>
      </c>
      <c r="E664" s="17">
        <v>0.32400000000000001</v>
      </c>
      <c r="F664" t="s">
        <v>1869</v>
      </c>
      <c r="G664">
        <v>69</v>
      </c>
      <c r="H664" t="s">
        <v>1852</v>
      </c>
      <c r="I664" t="s">
        <v>2018</v>
      </c>
      <c r="J664" s="22">
        <v>45576</v>
      </c>
      <c r="K664">
        <v>1</v>
      </c>
      <c r="L664">
        <v>8</v>
      </c>
      <c r="M664" s="21">
        <f ca="1">LEFT(Music_Data[[#This Row],[Duration_minutes]],3)/60</f>
        <v>3.0666666666666669</v>
      </c>
      <c r="N664" s="17">
        <v>4.3900000000000002E-2</v>
      </c>
      <c r="O664" s="17" t="str">
        <f ca="1">PROPER(Music_Data[[#This Row],[Playlist_subgenre2]])</f>
        <v>Modern</v>
      </c>
    </row>
    <row r="665" spans="1:15">
      <c r="A665" s="17">
        <v>0.67400000000000004</v>
      </c>
      <c r="B665" s="21">
        <v>140</v>
      </c>
      <c r="C665" s="16">
        <v>0.92200000000000004</v>
      </c>
      <c r="D665" s="16" t="str">
        <f ca="1">PROPER(Music_Data[[#This Row],[Playlist_genre2]])</f>
        <v>Hip-Hop</v>
      </c>
      <c r="E665" s="17">
        <v>0.72599999999999998</v>
      </c>
      <c r="F665" t="s">
        <v>5124</v>
      </c>
      <c r="G665">
        <v>69</v>
      </c>
      <c r="H665" t="s">
        <v>12720</v>
      </c>
      <c r="I665" t="s">
        <v>12743</v>
      </c>
      <c r="J665" s="22">
        <v>45081</v>
      </c>
      <c r="K665">
        <v>1</v>
      </c>
      <c r="L665">
        <v>1</v>
      </c>
      <c r="M665" s="21">
        <f ca="1">LEFT(Music_Data[[#This Row],[Duration_minutes]],3)/60</f>
        <v>3.3</v>
      </c>
      <c r="N665" s="17">
        <v>0.32300000000000001</v>
      </c>
      <c r="O665" s="17" t="str">
        <f ca="1">PROPER(Music_Data[[#This Row],[Playlist_subgenre2]])</f>
        <v>Drill</v>
      </c>
    </row>
    <row r="666" spans="1:15">
      <c r="A666" s="17">
        <v>0.50600000000000001</v>
      </c>
      <c r="B666" s="21">
        <v>115</v>
      </c>
      <c r="C666" s="16">
        <v>0.84799999999999998</v>
      </c>
      <c r="D666" s="16" t="str">
        <f ca="1">PROPER(Music_Data[[#This Row],[Playlist_genre2]])</f>
        <v>Hip-Hop</v>
      </c>
      <c r="E666" s="17">
        <v>0.59299999999999997</v>
      </c>
      <c r="F666" t="s">
        <v>11690</v>
      </c>
      <c r="G666">
        <v>69</v>
      </c>
      <c r="H666" t="s">
        <v>11488</v>
      </c>
      <c r="I666" t="s">
        <v>11696</v>
      </c>
      <c r="J666" s="22">
        <v>44985</v>
      </c>
      <c r="K666">
        <v>0</v>
      </c>
      <c r="L666">
        <v>4</v>
      </c>
      <c r="M666" s="21">
        <f ca="1">LEFT(Music_Data[[#This Row],[Duration_minutes]],3)/60</f>
        <v>3.2</v>
      </c>
      <c r="N666" s="17">
        <v>0.376</v>
      </c>
      <c r="O666" s="17" t="str">
        <f ca="1">PROPER(Music_Data[[#This Row],[Playlist_subgenre2]])</f>
        <v>Chill</v>
      </c>
    </row>
    <row r="667" spans="1:15">
      <c r="A667" s="17">
        <v>0.73499999999999999</v>
      </c>
      <c r="B667" s="21">
        <v>101</v>
      </c>
      <c r="C667" s="16">
        <v>0.93400000000000005</v>
      </c>
      <c r="D667" s="16" t="str">
        <f ca="1">PROPER(Music_Data[[#This Row],[Playlist_genre2]])</f>
        <v>Hip-Hop</v>
      </c>
      <c r="E667" s="17">
        <v>0.76800000000000002</v>
      </c>
      <c r="F667" t="s">
        <v>5939</v>
      </c>
      <c r="G667">
        <v>69</v>
      </c>
      <c r="H667" t="s">
        <v>5837</v>
      </c>
      <c r="I667" t="s">
        <v>5945</v>
      </c>
      <c r="J667" s="22">
        <v>34660</v>
      </c>
      <c r="K667">
        <v>1</v>
      </c>
      <c r="L667">
        <v>1</v>
      </c>
      <c r="M667" s="21">
        <f ca="1">LEFT(Music_Data[[#This Row],[Duration_minutes]],3)/60</f>
        <v>4.55</v>
      </c>
      <c r="N667" s="17">
        <v>3.1E-2</v>
      </c>
      <c r="O667" s="17" t="str">
        <f ca="1">PROPER(Music_Data[[#This Row],[Playlist_subgenre2]])</f>
        <v>90S</v>
      </c>
    </row>
    <row r="668" spans="1:15">
      <c r="A668" s="17">
        <v>0.67600000000000005</v>
      </c>
      <c r="B668" s="21">
        <v>143</v>
      </c>
      <c r="C668" s="16">
        <v>0.59399999999999997</v>
      </c>
      <c r="D668" s="16" t="str">
        <f ca="1">PROPER(Music_Data[[#This Row],[Playlist_genre2]])</f>
        <v>Hip-Hop</v>
      </c>
      <c r="E668" s="17">
        <v>0.47199999999999998</v>
      </c>
      <c r="F668" t="s">
        <v>2344</v>
      </c>
      <c r="G668">
        <v>69</v>
      </c>
      <c r="H668" t="s">
        <v>2202</v>
      </c>
      <c r="I668" t="s">
        <v>2351</v>
      </c>
      <c r="J668" s="22">
        <v>43826</v>
      </c>
      <c r="K668">
        <v>1</v>
      </c>
      <c r="L668">
        <v>2</v>
      </c>
      <c r="M668" s="21">
        <f ca="1">LEFT(Music_Data[[#This Row],[Duration_minutes]],3)/60</f>
        <v>3.0166666666666666</v>
      </c>
      <c r="N668" s="17">
        <v>0.13500000000000001</v>
      </c>
      <c r="O668" s="17" t="str">
        <f ca="1">PROPER(Music_Data[[#This Row],[Playlist_subgenre2]])</f>
        <v>Gangster</v>
      </c>
    </row>
    <row r="669" spans="1:15">
      <c r="A669" s="17">
        <v>0.77400000000000002</v>
      </c>
      <c r="B669" s="21">
        <v>130</v>
      </c>
      <c r="C669" s="16">
        <v>0.86699999999999999</v>
      </c>
      <c r="D669" s="16" t="str">
        <f ca="1">PROPER(Music_Data[[#This Row],[Playlist_genre2]])</f>
        <v>Hip-Hop</v>
      </c>
      <c r="E669" s="17">
        <v>0.54900000000000004</v>
      </c>
      <c r="F669" t="s">
        <v>2376</v>
      </c>
      <c r="G669">
        <v>69</v>
      </c>
      <c r="H669" t="s">
        <v>2202</v>
      </c>
      <c r="I669" t="s">
        <v>2443</v>
      </c>
      <c r="J669" s="22">
        <v>43133</v>
      </c>
      <c r="K669">
        <v>0</v>
      </c>
      <c r="L669">
        <v>11</v>
      </c>
      <c r="M669" s="21">
        <f ca="1">LEFT(Music_Data[[#This Row],[Duration_minutes]],3)/60</f>
        <v>2.3666666666666667</v>
      </c>
      <c r="N669" s="17">
        <v>0.11</v>
      </c>
      <c r="O669" s="17" t="str">
        <f ca="1">PROPER(Music_Data[[#This Row],[Playlist_subgenre2]])</f>
        <v>Gangster</v>
      </c>
    </row>
    <row r="670" spans="1:15">
      <c r="A670" s="17">
        <v>0.53600000000000003</v>
      </c>
      <c r="B670" s="21">
        <v>119</v>
      </c>
      <c r="C670" s="16">
        <v>0.68899999999999995</v>
      </c>
      <c r="D670" s="16" t="str">
        <f ca="1">PROPER(Music_Data[[#This Row],[Playlist_genre2]])</f>
        <v>Hip-Hop</v>
      </c>
      <c r="E670" s="17">
        <v>0.34899999999999998</v>
      </c>
      <c r="F670" t="s">
        <v>2765</v>
      </c>
      <c r="G670">
        <v>69</v>
      </c>
      <c r="H670" t="s">
        <v>2607</v>
      </c>
      <c r="I670" t="s">
        <v>2772</v>
      </c>
      <c r="J670" s="22">
        <v>42462</v>
      </c>
      <c r="K670">
        <v>1</v>
      </c>
      <c r="L670">
        <v>8</v>
      </c>
      <c r="M670" s="21">
        <f ca="1">LEFT(Music_Data[[#This Row],[Duration_minutes]],3)/60</f>
        <v>5.6833333333333336</v>
      </c>
      <c r="N670" s="17">
        <v>0.25</v>
      </c>
      <c r="O670" s="17" t="str">
        <f ca="1">PROPER(Music_Data[[#This Row],[Playlist_subgenre2]])</f>
        <v>Trap</v>
      </c>
    </row>
    <row r="671" spans="1:15">
      <c r="A671" s="17">
        <v>0.39500000000000002</v>
      </c>
      <c r="B671" s="21">
        <v>769</v>
      </c>
      <c r="C671" s="16">
        <v>0.79300000000000004</v>
      </c>
      <c r="D671" s="16" t="str">
        <f ca="1">PROPER(Music_Data[[#This Row],[Playlist_genre2]])</f>
        <v>Hip-Hop</v>
      </c>
      <c r="E671" s="17">
        <v>0.128</v>
      </c>
      <c r="F671" t="s">
        <v>2427</v>
      </c>
      <c r="G671">
        <v>69</v>
      </c>
      <c r="H671" t="s">
        <v>2202</v>
      </c>
      <c r="I671" t="s">
        <v>2433</v>
      </c>
      <c r="J671" s="22">
        <v>43434</v>
      </c>
      <c r="K671">
        <v>1</v>
      </c>
      <c r="L671">
        <v>1</v>
      </c>
      <c r="M671" s="21">
        <f ca="1">LEFT(Music_Data[[#This Row],[Duration_minutes]],3)/60</f>
        <v>3.55</v>
      </c>
      <c r="N671" s="17">
        <v>0.27700000000000002</v>
      </c>
      <c r="O671" s="17" t="str">
        <f ca="1">PROPER(Music_Data[[#This Row],[Playlist_subgenre2]])</f>
        <v>Gangster</v>
      </c>
    </row>
    <row r="672" spans="1:15">
      <c r="A672" s="17">
        <v>0.56999999999999995</v>
      </c>
      <c r="B672" s="21">
        <v>142</v>
      </c>
      <c r="C672" s="16">
        <v>0.78700000000000003</v>
      </c>
      <c r="D672" s="16" t="str">
        <f ca="1">PROPER(Music_Data[[#This Row],[Playlist_genre2]])</f>
        <v>Hip-Hop</v>
      </c>
      <c r="E672" s="17">
        <v>0.73299999999999998</v>
      </c>
      <c r="F672" t="s">
        <v>2263</v>
      </c>
      <c r="G672">
        <v>69</v>
      </c>
      <c r="H672" t="s">
        <v>2202</v>
      </c>
      <c r="I672" t="s">
        <v>2266</v>
      </c>
      <c r="J672" s="22">
        <v>45058</v>
      </c>
      <c r="K672">
        <v>1</v>
      </c>
      <c r="L672">
        <v>3</v>
      </c>
      <c r="M672" s="21">
        <f ca="1">LEFT(Music_Data[[#This Row],[Duration_minutes]],3)/60</f>
        <v>3.7166666666666668</v>
      </c>
      <c r="N672" s="17">
        <v>4.4900000000000002E-2</v>
      </c>
      <c r="O672" s="17" t="str">
        <f ca="1">PROPER(Music_Data[[#This Row],[Playlist_subgenre2]])</f>
        <v>Gangster</v>
      </c>
    </row>
    <row r="673" spans="1:15">
      <c r="A673" s="17">
        <v>0.70199999999999996</v>
      </c>
      <c r="B673" s="21">
        <v>125</v>
      </c>
      <c r="C673" s="16">
        <v>0.871</v>
      </c>
      <c r="D673" s="16" t="str">
        <f ca="1">PROPER(Music_Data[[#This Row],[Playlist_genre2]])</f>
        <v>Hip-Hop</v>
      </c>
      <c r="E673" s="17">
        <v>0.67500000000000004</v>
      </c>
      <c r="F673" t="s">
        <v>2254</v>
      </c>
      <c r="G673">
        <v>69</v>
      </c>
      <c r="H673" t="s">
        <v>2202</v>
      </c>
      <c r="I673" t="s">
        <v>2257</v>
      </c>
      <c r="J673" s="22">
        <v>43805</v>
      </c>
      <c r="K673">
        <v>1</v>
      </c>
      <c r="L673">
        <v>5</v>
      </c>
      <c r="M673" s="21">
        <f ca="1">LEFT(Music_Data[[#This Row],[Duration_minutes]],3)/60</f>
        <v>2.1833333333333331</v>
      </c>
      <c r="N673" s="17">
        <v>0.29599999999999999</v>
      </c>
      <c r="O673" s="17" t="str">
        <f ca="1">PROPER(Music_Data[[#This Row],[Playlist_subgenre2]])</f>
        <v>Gangster</v>
      </c>
    </row>
    <row r="674" spans="1:15">
      <c r="A674" s="17">
        <v>0.4</v>
      </c>
      <c r="B674" s="21">
        <v>106</v>
      </c>
      <c r="C674" s="16">
        <v>0.60799999999999998</v>
      </c>
      <c r="D674" s="16" t="str">
        <f ca="1">PROPER(Music_Data[[#This Row],[Playlist_genre2]])</f>
        <v>Hip-Hop</v>
      </c>
      <c r="E674" s="17">
        <v>8.8999999999999996E-2</v>
      </c>
      <c r="F674" t="s">
        <v>1960</v>
      </c>
      <c r="G674">
        <v>69</v>
      </c>
      <c r="H674" t="s">
        <v>1852</v>
      </c>
      <c r="I674" t="s">
        <v>1967</v>
      </c>
      <c r="J674" s="22">
        <v>45526</v>
      </c>
      <c r="K674">
        <v>1</v>
      </c>
      <c r="L674">
        <v>1</v>
      </c>
      <c r="M674" s="21">
        <f ca="1">LEFT(Music_Data[[#This Row],[Duration_minutes]],3)/60</f>
        <v>2.65</v>
      </c>
      <c r="N674" s="17">
        <v>2.9000000000000001E-2</v>
      </c>
      <c r="O674" s="17" t="str">
        <f ca="1">PROPER(Music_Data[[#This Row],[Playlist_subgenre2]])</f>
        <v>Modern</v>
      </c>
    </row>
    <row r="675" spans="1:15">
      <c r="A675" s="17">
        <v>0.33200000000000002</v>
      </c>
      <c r="B675" s="21">
        <v>141</v>
      </c>
      <c r="C675" s="16">
        <v>0.88500000000000001</v>
      </c>
      <c r="D675" s="16" t="str">
        <f ca="1">PROPER(Music_Data[[#This Row],[Playlist_genre2]])</f>
        <v>Hip-Hop</v>
      </c>
      <c r="E675" s="17">
        <v>0.42299999999999999</v>
      </c>
      <c r="F675" t="s">
        <v>12731</v>
      </c>
      <c r="G675">
        <v>69</v>
      </c>
      <c r="H675" t="s">
        <v>12720</v>
      </c>
      <c r="I675" t="s">
        <v>12734</v>
      </c>
      <c r="J675" s="22">
        <v>44616</v>
      </c>
      <c r="K675">
        <v>1</v>
      </c>
      <c r="L675">
        <v>1</v>
      </c>
      <c r="M675" s="21">
        <f ca="1">LEFT(Music_Data[[#This Row],[Duration_minutes]],3)/60</f>
        <v>1.8</v>
      </c>
      <c r="N675" s="17">
        <v>1.8499999999999999E-2</v>
      </c>
      <c r="O675" s="17" t="str">
        <f ca="1">PROPER(Music_Data[[#This Row],[Playlist_subgenre2]])</f>
        <v>Drill</v>
      </c>
    </row>
    <row r="676" spans="1:15">
      <c r="A676" s="17">
        <v>0.82199999999999995</v>
      </c>
      <c r="B676" s="21">
        <v>165</v>
      </c>
      <c r="C676" s="16">
        <v>0.51300000000000001</v>
      </c>
      <c r="D676" s="16" t="str">
        <f ca="1">PROPER(Music_Data[[#This Row],[Playlist_genre2]])</f>
        <v>Hip-Hop</v>
      </c>
      <c r="E676" s="17">
        <v>0.76800000000000002</v>
      </c>
      <c r="F676" t="s">
        <v>2663</v>
      </c>
      <c r="G676">
        <v>69</v>
      </c>
      <c r="H676" t="s">
        <v>2607</v>
      </c>
      <c r="I676" t="s">
        <v>2670</v>
      </c>
      <c r="J676" s="22">
        <v>45575</v>
      </c>
      <c r="K676">
        <v>1</v>
      </c>
      <c r="L676">
        <v>1</v>
      </c>
      <c r="M676" s="21">
        <f ca="1">LEFT(Music_Data[[#This Row],[Duration_minutes]],3)/60</f>
        <v>3.4</v>
      </c>
      <c r="N676" s="17">
        <v>0.14000000000000001</v>
      </c>
      <c r="O676" s="17" t="str">
        <f ca="1">PROPER(Music_Data[[#This Row],[Playlist_subgenre2]])</f>
        <v>Trap</v>
      </c>
    </row>
    <row r="677" spans="1:15">
      <c r="A677" s="17">
        <v>0.36199999999999999</v>
      </c>
      <c r="B677" s="21">
        <v>115</v>
      </c>
      <c r="C677" s="16">
        <v>0.96699999999999997</v>
      </c>
      <c r="D677" s="16" t="str">
        <f ca="1">PROPER(Music_Data[[#This Row],[Playlist_genre2]])</f>
        <v>Hip-Hop</v>
      </c>
      <c r="E677" s="17">
        <v>0.63300000000000001</v>
      </c>
      <c r="F677" t="s">
        <v>12448</v>
      </c>
      <c r="G677">
        <v>69</v>
      </c>
      <c r="H677" t="s">
        <v>12411</v>
      </c>
      <c r="I677" t="s">
        <v>2237</v>
      </c>
      <c r="J677" s="22">
        <v>45065</v>
      </c>
      <c r="K677">
        <v>0</v>
      </c>
      <c r="L677">
        <v>5</v>
      </c>
      <c r="M677" s="21">
        <f ca="1">LEFT(Music_Data[[#This Row],[Duration_minutes]],3)/60</f>
        <v>2.3166666666666669</v>
      </c>
      <c r="N677" s="17">
        <v>0.51400000000000001</v>
      </c>
      <c r="O677" s="17" t="str">
        <f ca="1">PROPER(Music_Data[[#This Row],[Playlist_subgenre2]])</f>
        <v>Desi</v>
      </c>
    </row>
    <row r="678" spans="1:15">
      <c r="A678" s="17">
        <v>0.47799999999999998</v>
      </c>
      <c r="B678" s="21">
        <v>104</v>
      </c>
      <c r="C678" s="16">
        <v>0.67500000000000004</v>
      </c>
      <c r="D678" s="16" t="str">
        <f ca="1">PROPER(Music_Data[[#This Row],[Playlist_genre2]])</f>
        <v>Hip-Hop</v>
      </c>
      <c r="E678" s="17">
        <v>0.39</v>
      </c>
      <c r="F678" t="s">
        <v>2133</v>
      </c>
      <c r="G678">
        <v>69</v>
      </c>
      <c r="H678" t="s">
        <v>1852</v>
      </c>
      <c r="I678" t="s">
        <v>2137</v>
      </c>
      <c r="J678" s="22">
        <v>45562</v>
      </c>
      <c r="K678">
        <v>1</v>
      </c>
      <c r="L678">
        <v>1</v>
      </c>
      <c r="M678" s="21">
        <f ca="1">LEFT(Music_Data[[#This Row],[Duration_minutes]],3)/60</f>
        <v>3.5</v>
      </c>
      <c r="N678" s="17">
        <v>7.3099999999999998E-2</v>
      </c>
      <c r="O678" s="17" t="str">
        <f ca="1">PROPER(Music_Data[[#This Row],[Playlist_subgenre2]])</f>
        <v>Modern</v>
      </c>
    </row>
    <row r="679" spans="1:15">
      <c r="A679" s="17">
        <v>0.69599999999999995</v>
      </c>
      <c r="B679" s="21">
        <v>120</v>
      </c>
      <c r="C679" s="16">
        <v>0.74399999999999999</v>
      </c>
      <c r="D679" s="16" t="str">
        <f ca="1">PROPER(Music_Data[[#This Row],[Playlist_genre2]])</f>
        <v>Hip-Hop</v>
      </c>
      <c r="E679" s="17">
        <v>0.40600000000000003</v>
      </c>
      <c r="F679" t="s">
        <v>13167</v>
      </c>
      <c r="G679">
        <v>69</v>
      </c>
      <c r="H679" t="s">
        <v>2607</v>
      </c>
      <c r="I679" t="s">
        <v>2828</v>
      </c>
      <c r="J679" s="22">
        <v>43203</v>
      </c>
      <c r="K679">
        <v>0</v>
      </c>
      <c r="L679">
        <v>8</v>
      </c>
      <c r="M679" s="21">
        <f ca="1">LEFT(Music_Data[[#This Row],[Duration_minutes]],3)/60</f>
        <v>4.333333333333333</v>
      </c>
      <c r="N679" s="17">
        <v>0.71</v>
      </c>
      <c r="O679" s="17" t="str">
        <f ca="1">PROPER(Music_Data[[#This Row],[Playlist_subgenre2]])</f>
        <v>Trap</v>
      </c>
    </row>
    <row r="680" spans="1:15">
      <c r="A680" s="17">
        <v>0.54</v>
      </c>
      <c r="B680" s="21">
        <v>841</v>
      </c>
      <c r="C680" s="16">
        <v>0.77300000000000002</v>
      </c>
      <c r="D680" s="16" t="str">
        <f ca="1">PROPER(Music_Data[[#This Row],[Playlist_genre2]])</f>
        <v>Hip-Hop</v>
      </c>
      <c r="E680" s="17">
        <v>0.32200000000000001</v>
      </c>
      <c r="F680" t="s">
        <v>5863</v>
      </c>
      <c r="G680">
        <v>68</v>
      </c>
      <c r="H680" t="s">
        <v>5837</v>
      </c>
      <c r="I680" t="s">
        <v>5953</v>
      </c>
      <c r="J680" s="22">
        <v>34772</v>
      </c>
      <c r="K680">
        <v>1</v>
      </c>
      <c r="L680">
        <v>6</v>
      </c>
      <c r="M680" s="21">
        <f ca="1">LEFT(Music_Data[[#This Row],[Duration_minutes]],3)/60</f>
        <v>4.666666666666667</v>
      </c>
      <c r="N680" s="17">
        <v>0.371</v>
      </c>
      <c r="O680" s="17" t="str">
        <f ca="1">PROPER(Music_Data[[#This Row],[Playlist_subgenre2]])</f>
        <v>90S</v>
      </c>
    </row>
    <row r="681" spans="1:15">
      <c r="A681" s="17">
        <v>0.73199999999999998</v>
      </c>
      <c r="B681" s="21">
        <v>172</v>
      </c>
      <c r="C681" s="16">
        <v>0.59799999999999998</v>
      </c>
      <c r="D681" s="16" t="str">
        <f ca="1">PROPER(Music_Data[[#This Row],[Playlist_genre2]])</f>
        <v>Hip-Hop</v>
      </c>
      <c r="E681" s="17">
        <v>0.59499999999999997</v>
      </c>
      <c r="F681" t="s">
        <v>5863</v>
      </c>
      <c r="G681">
        <v>68</v>
      </c>
      <c r="H681" t="s">
        <v>5837</v>
      </c>
      <c r="I681" t="s">
        <v>5988</v>
      </c>
      <c r="J681" s="22">
        <v>34016</v>
      </c>
      <c r="K681">
        <v>1</v>
      </c>
      <c r="L681">
        <v>4</v>
      </c>
      <c r="M681" s="21">
        <f ca="1">LEFT(Music_Data[[#This Row],[Duration_minutes]],3)/60</f>
        <v>4.3666666666666663</v>
      </c>
      <c r="N681" s="17">
        <v>0.14399999999999999</v>
      </c>
      <c r="O681" s="17" t="str">
        <f ca="1">PROPER(Music_Data[[#This Row],[Playlist_subgenre2]])</f>
        <v>90S</v>
      </c>
    </row>
    <row r="682" spans="1:15">
      <c r="A682" s="17">
        <v>0.63200000000000001</v>
      </c>
      <c r="B682" s="21">
        <v>123</v>
      </c>
      <c r="C682" s="16">
        <v>0.84799999999999998</v>
      </c>
      <c r="D682" s="16" t="str">
        <f ca="1">PROPER(Music_Data[[#This Row],[Playlist_genre2]])</f>
        <v>Hip-Hop</v>
      </c>
      <c r="E682" s="17">
        <v>0.253</v>
      </c>
      <c r="F682" t="s">
        <v>2221</v>
      </c>
      <c r="G682">
        <v>68</v>
      </c>
      <c r="H682" t="s">
        <v>2202</v>
      </c>
      <c r="I682" t="s">
        <v>2227</v>
      </c>
      <c r="J682" s="22">
        <v>45247</v>
      </c>
      <c r="K682">
        <v>1</v>
      </c>
      <c r="L682">
        <v>2</v>
      </c>
      <c r="M682" s="21">
        <f ca="1">LEFT(Music_Data[[#This Row],[Duration_minutes]],3)/60</f>
        <v>2.85</v>
      </c>
      <c r="N682" s="17">
        <v>0.39800000000000002</v>
      </c>
      <c r="O682" s="17" t="str">
        <f ca="1">PROPER(Music_Data[[#This Row],[Playlist_subgenre2]])</f>
        <v>Gangster</v>
      </c>
    </row>
    <row r="683" spans="1:15">
      <c r="A683" s="17">
        <v>0.66600000000000004</v>
      </c>
      <c r="B683" s="21">
        <v>966</v>
      </c>
      <c r="C683" s="16">
        <v>0.84799999999999998</v>
      </c>
      <c r="D683" s="16" t="str">
        <f ca="1">PROPER(Music_Data[[#This Row],[Playlist_genre2]])</f>
        <v>Hip-Hop</v>
      </c>
      <c r="E683" s="17">
        <v>0.74399999999999999</v>
      </c>
      <c r="F683" t="s">
        <v>5974</v>
      </c>
      <c r="G683">
        <v>68</v>
      </c>
      <c r="H683" t="s">
        <v>5837</v>
      </c>
      <c r="I683" t="s">
        <v>5980</v>
      </c>
      <c r="J683" s="22">
        <v>32980</v>
      </c>
      <c r="K683">
        <v>1</v>
      </c>
      <c r="L683">
        <v>0</v>
      </c>
      <c r="M683" s="21">
        <f ca="1">LEFT(Music_Data[[#This Row],[Duration_minutes]],3)/60</f>
        <v>4.1833333333333336</v>
      </c>
      <c r="N683" s="17">
        <v>0.17299999999999999</v>
      </c>
      <c r="O683" s="17" t="str">
        <f ca="1">PROPER(Music_Data[[#This Row],[Playlist_subgenre2]])</f>
        <v>90S</v>
      </c>
    </row>
    <row r="684" spans="1:15">
      <c r="A684" s="17">
        <v>0.58599999999999997</v>
      </c>
      <c r="B684" s="21">
        <v>124</v>
      </c>
      <c r="C684" s="16">
        <v>0.80800000000000005</v>
      </c>
      <c r="D684" s="16" t="str">
        <f ca="1">PROPER(Music_Data[[#This Row],[Playlist_genre2]])</f>
        <v>Hip-Hop</v>
      </c>
      <c r="E684" s="17">
        <v>0.56799999999999995</v>
      </c>
      <c r="F684" t="s">
        <v>13162</v>
      </c>
      <c r="G684">
        <v>68</v>
      </c>
      <c r="H684" t="s">
        <v>2607</v>
      </c>
      <c r="I684" t="s">
        <v>2696</v>
      </c>
      <c r="J684" s="22">
        <v>42836</v>
      </c>
      <c r="K684">
        <v>0</v>
      </c>
      <c r="L684">
        <v>10</v>
      </c>
      <c r="M684" s="21">
        <f ca="1">LEFT(Music_Data[[#This Row],[Duration_minutes]],3)/60</f>
        <v>4.3833333333333337</v>
      </c>
      <c r="N684" s="17">
        <v>0.64100000000000001</v>
      </c>
      <c r="O684" s="17" t="str">
        <f ca="1">PROPER(Music_Data[[#This Row],[Playlist_subgenre2]])</f>
        <v>Trap</v>
      </c>
    </row>
    <row r="685" spans="1:15">
      <c r="A685" s="17">
        <v>0.83099999999999996</v>
      </c>
      <c r="B685" s="21">
        <v>139</v>
      </c>
      <c r="C685" s="16">
        <v>0.65200000000000002</v>
      </c>
      <c r="D685" s="16" t="str">
        <f ca="1">PROPER(Music_Data[[#This Row],[Playlist_genre2]])</f>
        <v>Hip-Hop</v>
      </c>
      <c r="E685" s="17">
        <v>0.64800000000000002</v>
      </c>
      <c r="F685" t="s">
        <v>2032</v>
      </c>
      <c r="G685">
        <v>68</v>
      </c>
      <c r="H685" t="s">
        <v>1852</v>
      </c>
      <c r="I685" t="s">
        <v>2036</v>
      </c>
      <c r="J685" s="22">
        <v>45555</v>
      </c>
      <c r="K685">
        <v>0</v>
      </c>
      <c r="L685">
        <v>10</v>
      </c>
      <c r="M685" s="21">
        <f ca="1">LEFT(Music_Data[[#This Row],[Duration_minutes]],3)/60</f>
        <v>2.5</v>
      </c>
      <c r="N685" s="17">
        <v>1.11E-2</v>
      </c>
      <c r="O685" s="17" t="str">
        <f ca="1">PROPER(Music_Data[[#This Row],[Playlist_subgenre2]])</f>
        <v>Modern</v>
      </c>
    </row>
    <row r="686" spans="1:15">
      <c r="A686" s="17">
        <v>0.86699999999999999</v>
      </c>
      <c r="B686" s="21">
        <v>131</v>
      </c>
      <c r="C686" s="16">
        <v>0.90200000000000002</v>
      </c>
      <c r="D686" s="16" t="str">
        <f ca="1">PROPER(Music_Data[[#This Row],[Playlist_genre2]])</f>
        <v>Hip-Hop</v>
      </c>
      <c r="E686" s="17">
        <v>0.79900000000000004</v>
      </c>
      <c r="F686" t="s">
        <v>1869</v>
      </c>
      <c r="G686">
        <v>68</v>
      </c>
      <c r="H686" t="s">
        <v>1852</v>
      </c>
      <c r="I686" t="s">
        <v>2121</v>
      </c>
      <c r="J686" s="22">
        <v>45513</v>
      </c>
      <c r="K686">
        <v>0</v>
      </c>
      <c r="L686">
        <v>10</v>
      </c>
      <c r="M686" s="21">
        <f ca="1">LEFT(Music_Data[[#This Row],[Duration_minutes]],3)/60</f>
        <v>2.2000000000000002</v>
      </c>
      <c r="N686" s="17">
        <v>6.7799999999999999E-2</v>
      </c>
      <c r="O686" s="17" t="str">
        <f ca="1">PROPER(Music_Data[[#This Row],[Playlist_subgenre2]])</f>
        <v>Modern</v>
      </c>
    </row>
    <row r="687" spans="1:15">
      <c r="A687" s="17">
        <v>0.629</v>
      </c>
      <c r="B687" s="21">
        <v>140</v>
      </c>
      <c r="C687" s="16">
        <v>0.52300000000000002</v>
      </c>
      <c r="D687" s="16" t="str">
        <f ca="1">PROPER(Music_Data[[#This Row],[Playlist_genre2]])</f>
        <v>Hip-Hop</v>
      </c>
      <c r="E687" s="17">
        <v>0.20899999999999999</v>
      </c>
      <c r="F687" t="s">
        <v>2834</v>
      </c>
      <c r="G687">
        <v>68</v>
      </c>
      <c r="H687" t="s">
        <v>2607</v>
      </c>
      <c r="I687" t="s">
        <v>2838</v>
      </c>
      <c r="J687" s="22">
        <v>42891</v>
      </c>
      <c r="K687">
        <v>1</v>
      </c>
      <c r="L687">
        <v>1</v>
      </c>
      <c r="M687" s="21">
        <f ca="1">LEFT(Music_Data[[#This Row],[Duration_minutes]],3)/60</f>
        <v>4.7166666666666668</v>
      </c>
      <c r="N687" s="17">
        <v>0.156</v>
      </c>
      <c r="O687" s="17" t="str">
        <f ca="1">PROPER(Music_Data[[#This Row],[Playlist_subgenre2]])</f>
        <v>Trap</v>
      </c>
    </row>
    <row r="688" spans="1:15">
      <c r="A688" s="17">
        <v>0.60599999999999998</v>
      </c>
      <c r="B688" s="21">
        <v>175</v>
      </c>
      <c r="C688" s="16">
        <v>0.65600000000000003</v>
      </c>
      <c r="D688" s="16" t="str">
        <f ca="1">PROPER(Music_Data[[#This Row],[Playlist_genre2]])</f>
        <v>Hip-Hop</v>
      </c>
      <c r="E688" s="17">
        <v>0.38</v>
      </c>
      <c r="F688" t="s">
        <v>12407</v>
      </c>
      <c r="G688">
        <v>68</v>
      </c>
      <c r="H688" t="s">
        <v>12411</v>
      </c>
      <c r="I688" t="s">
        <v>12430</v>
      </c>
      <c r="J688" s="22">
        <v>45584</v>
      </c>
      <c r="K688">
        <v>1</v>
      </c>
      <c r="L688">
        <v>9</v>
      </c>
      <c r="M688" s="21">
        <f ca="1">LEFT(Music_Data[[#This Row],[Duration_minutes]],3)/60</f>
        <v>2.9166666666666665</v>
      </c>
      <c r="N688" s="17">
        <v>0.33500000000000002</v>
      </c>
      <c r="O688" s="17" t="str">
        <f ca="1">PROPER(Music_Data[[#This Row],[Playlist_subgenre2]])</f>
        <v>Desi</v>
      </c>
    </row>
    <row r="689" spans="1:15">
      <c r="A689" s="17">
        <v>0.495</v>
      </c>
      <c r="B689" s="21">
        <v>137</v>
      </c>
      <c r="C689" s="16">
        <v>0.85299999999999998</v>
      </c>
      <c r="D689" s="16" t="str">
        <f ca="1">PROPER(Music_Data[[#This Row],[Playlist_genre2]])</f>
        <v>Hip-Hop</v>
      </c>
      <c r="E689" s="17">
        <v>7.7399999999999997E-2</v>
      </c>
      <c r="F689" t="s">
        <v>1940</v>
      </c>
      <c r="G689">
        <v>68</v>
      </c>
      <c r="H689" t="s">
        <v>2202</v>
      </c>
      <c r="I689" t="s">
        <v>2555</v>
      </c>
      <c r="J689" s="22">
        <v>44729</v>
      </c>
      <c r="K689">
        <v>1</v>
      </c>
      <c r="L689">
        <v>6</v>
      </c>
      <c r="M689" s="21">
        <f ca="1">LEFT(Music_Data[[#This Row],[Duration_minutes]],3)/60</f>
        <v>4.05</v>
      </c>
      <c r="N689" s="17">
        <v>9.1700000000000004E-2</v>
      </c>
      <c r="O689" s="17" t="str">
        <f ca="1">PROPER(Music_Data[[#This Row],[Playlist_subgenre2]])</f>
        <v>Gangster</v>
      </c>
    </row>
    <row r="690" spans="1:15">
      <c r="A690" s="17">
        <v>0.67100000000000004</v>
      </c>
      <c r="B690" s="21">
        <v>147</v>
      </c>
      <c r="C690" s="16">
        <v>0.60699999999999998</v>
      </c>
      <c r="D690" s="16" t="str">
        <f ca="1">PROPER(Music_Data[[#This Row],[Playlist_genre2]])</f>
        <v>Hip-Hop</v>
      </c>
      <c r="E690" s="17">
        <v>0.316</v>
      </c>
      <c r="F690" t="s">
        <v>2855</v>
      </c>
      <c r="G690">
        <v>68</v>
      </c>
      <c r="H690" t="s">
        <v>2607</v>
      </c>
      <c r="I690" t="s">
        <v>2859</v>
      </c>
      <c r="J690" s="22">
        <v>45006</v>
      </c>
      <c r="K690">
        <v>0</v>
      </c>
      <c r="L690">
        <v>4</v>
      </c>
      <c r="M690" s="21">
        <f ca="1">LEFT(Music_Data[[#This Row],[Duration_minutes]],3)/60</f>
        <v>2.2833333333333332</v>
      </c>
      <c r="N690" s="17">
        <v>0.40300000000000002</v>
      </c>
      <c r="O690" s="17" t="str">
        <f ca="1">PROPER(Music_Data[[#This Row],[Playlist_subgenre2]])</f>
        <v>Trap</v>
      </c>
    </row>
    <row r="691" spans="1:15">
      <c r="A691" s="17">
        <v>0.69299999999999995</v>
      </c>
      <c r="B691" s="21">
        <v>879</v>
      </c>
      <c r="C691" s="16">
        <v>0.70199999999999996</v>
      </c>
      <c r="D691" s="16" t="str">
        <f ca="1">PROPER(Music_Data[[#This Row],[Playlist_genre2]])</f>
        <v>Hip-Hop</v>
      </c>
      <c r="E691" s="17">
        <v>0.57199999999999995</v>
      </c>
      <c r="F691" t="s">
        <v>6262</v>
      </c>
      <c r="G691">
        <v>68</v>
      </c>
      <c r="H691" t="s">
        <v>6248</v>
      </c>
      <c r="I691" t="s">
        <v>6268</v>
      </c>
      <c r="J691" s="22">
        <v>45261</v>
      </c>
      <c r="K691">
        <v>0</v>
      </c>
      <c r="L691">
        <v>5</v>
      </c>
      <c r="M691" s="21">
        <f ca="1">LEFT(Music_Data[[#This Row],[Duration_minutes]],3)/60</f>
        <v>3.8833333333333333</v>
      </c>
      <c r="N691" s="17">
        <v>0.13900000000000001</v>
      </c>
      <c r="O691" s="17" t="str">
        <f ca="1">PROPER(Music_Data[[#This Row],[Playlist_subgenre2]])</f>
        <v>French</v>
      </c>
    </row>
    <row r="692" spans="1:15">
      <c r="A692" s="17">
        <v>0.28299999999999997</v>
      </c>
      <c r="B692" s="21">
        <v>138</v>
      </c>
      <c r="C692" s="16">
        <v>0.89800000000000002</v>
      </c>
      <c r="D692" s="16" t="str">
        <f ca="1">PROPER(Music_Data[[#This Row],[Playlist_genre2]])</f>
        <v>Hip-Hop</v>
      </c>
      <c r="E692" s="17">
        <v>0.46899999999999997</v>
      </c>
      <c r="F692" t="s">
        <v>11554</v>
      </c>
      <c r="G692">
        <v>68</v>
      </c>
      <c r="H692" t="s">
        <v>11488</v>
      </c>
      <c r="I692" t="s">
        <v>11748</v>
      </c>
      <c r="J692" s="22">
        <v>42713</v>
      </c>
      <c r="K692">
        <v>0</v>
      </c>
      <c r="L692">
        <v>6</v>
      </c>
      <c r="M692" s="21">
        <f ca="1">LEFT(Music_Data[[#This Row],[Duration_minutes]],3)/60</f>
        <v>3.6</v>
      </c>
      <c r="N692" s="17">
        <v>0.31900000000000001</v>
      </c>
      <c r="O692" s="17" t="str">
        <f ca="1">PROPER(Music_Data[[#This Row],[Playlist_subgenre2]])</f>
        <v>Chill</v>
      </c>
    </row>
    <row r="693" spans="1:15">
      <c r="A693" s="17">
        <v>0.63800000000000001</v>
      </c>
      <c r="B693" s="21">
        <v>948</v>
      </c>
      <c r="C693" s="16">
        <v>0.80900000000000005</v>
      </c>
      <c r="D693" s="16" t="str">
        <f ca="1">PROPER(Music_Data[[#This Row],[Playlist_genre2]])</f>
        <v>Hip-Hop</v>
      </c>
      <c r="E693" s="17">
        <v>0.60799999999999998</v>
      </c>
      <c r="F693" t="s">
        <v>11600</v>
      </c>
      <c r="G693">
        <v>68</v>
      </c>
      <c r="H693" t="s">
        <v>11488</v>
      </c>
      <c r="I693" t="s">
        <v>11605</v>
      </c>
      <c r="J693" s="22">
        <v>41072</v>
      </c>
      <c r="K693">
        <v>0</v>
      </c>
      <c r="L693">
        <v>8</v>
      </c>
      <c r="M693" s="21">
        <f ca="1">LEFT(Music_Data[[#This Row],[Duration_minutes]],3)/60</f>
        <v>3.7333333333333334</v>
      </c>
      <c r="N693" s="17">
        <v>0.26200000000000001</v>
      </c>
      <c r="O693" s="17" t="str">
        <f ca="1">PROPER(Music_Data[[#This Row],[Playlist_subgenre2]])</f>
        <v>Chill</v>
      </c>
    </row>
    <row r="694" spans="1:15">
      <c r="A694" s="17">
        <v>0.64600000000000002</v>
      </c>
      <c r="B694" s="21">
        <v>176</v>
      </c>
      <c r="C694" s="16">
        <v>0.59899999999999998</v>
      </c>
      <c r="D694" s="16" t="str">
        <f ca="1">PROPER(Music_Data[[#This Row],[Playlist_genre2]])</f>
        <v>Hip-Hop</v>
      </c>
      <c r="E694" s="17">
        <v>0.63800000000000001</v>
      </c>
      <c r="F694" t="s">
        <v>11600</v>
      </c>
      <c r="G694">
        <v>68</v>
      </c>
      <c r="H694" t="s">
        <v>11488</v>
      </c>
      <c r="I694" t="s">
        <v>11681</v>
      </c>
      <c r="J694" s="22">
        <v>44764</v>
      </c>
      <c r="K694">
        <v>1</v>
      </c>
      <c r="L694">
        <v>6</v>
      </c>
      <c r="M694" s="21">
        <f ca="1">LEFT(Music_Data[[#This Row],[Duration_minutes]],3)/60</f>
        <v>3.6666666666666665</v>
      </c>
      <c r="N694" s="17">
        <v>0.222</v>
      </c>
      <c r="O694" s="17" t="str">
        <f ca="1">PROPER(Music_Data[[#This Row],[Playlist_subgenre2]])</f>
        <v>Chill</v>
      </c>
    </row>
    <row r="695" spans="1:15">
      <c r="A695" s="17">
        <v>0.38500000000000001</v>
      </c>
      <c r="B695" s="21">
        <v>129</v>
      </c>
      <c r="C695" s="16">
        <v>0.69</v>
      </c>
      <c r="D695" s="16" t="str">
        <f ca="1">PROPER(Music_Data[[#This Row],[Playlist_genre2]])</f>
        <v>Hip-Hop</v>
      </c>
      <c r="E695" s="17">
        <v>0.19</v>
      </c>
      <c r="F695" t="s">
        <v>2876</v>
      </c>
      <c r="G695">
        <v>68</v>
      </c>
      <c r="H695" t="s">
        <v>2607</v>
      </c>
      <c r="I695" t="s">
        <v>2880</v>
      </c>
      <c r="J695" s="22">
        <v>43200</v>
      </c>
      <c r="K695">
        <v>1</v>
      </c>
      <c r="L695">
        <v>0</v>
      </c>
      <c r="M695" s="21">
        <f ca="1">LEFT(Music_Data[[#This Row],[Duration_minutes]],3)/60</f>
        <v>3.7666666666666666</v>
      </c>
      <c r="N695" s="17">
        <v>0.18099999999999999</v>
      </c>
      <c r="O695" s="17" t="str">
        <f ca="1">PROPER(Music_Data[[#This Row],[Playlist_subgenre2]])</f>
        <v>Trap</v>
      </c>
    </row>
    <row r="696" spans="1:15">
      <c r="A696" s="17">
        <v>0.48</v>
      </c>
      <c r="B696" s="21">
        <v>143</v>
      </c>
      <c r="C696" s="16">
        <v>0.84599999999999997</v>
      </c>
      <c r="D696" s="16" t="str">
        <f ca="1">PROPER(Music_Data[[#This Row],[Playlist_genre2]])</f>
        <v>Hip-Hop</v>
      </c>
      <c r="E696" s="17">
        <v>0.41899999999999998</v>
      </c>
      <c r="F696" t="s">
        <v>2521</v>
      </c>
      <c r="G696">
        <v>68</v>
      </c>
      <c r="H696" t="s">
        <v>2202</v>
      </c>
      <c r="I696" t="s">
        <v>2527</v>
      </c>
      <c r="J696" s="22">
        <v>43959</v>
      </c>
      <c r="K696">
        <v>0</v>
      </c>
      <c r="L696">
        <v>8</v>
      </c>
      <c r="M696" s="21">
        <f ca="1">LEFT(Music_Data[[#This Row],[Duration_minutes]],3)/60</f>
        <v>2.8166666666666669</v>
      </c>
      <c r="N696" s="17">
        <v>0.26900000000000002</v>
      </c>
      <c r="O696" s="17" t="str">
        <f ca="1">PROPER(Music_Data[[#This Row],[Playlist_subgenre2]])</f>
        <v>Gangster</v>
      </c>
    </row>
    <row r="697" spans="1:15">
      <c r="A697" s="17">
        <v>0.55000000000000004</v>
      </c>
      <c r="B697" s="21">
        <v>124</v>
      </c>
      <c r="C697" s="16">
        <v>0.629</v>
      </c>
      <c r="D697" s="16" t="str">
        <f ca="1">PROPER(Music_Data[[#This Row],[Playlist_genre2]])</f>
        <v>Hip-Hop</v>
      </c>
      <c r="E697" s="17">
        <v>0.154</v>
      </c>
      <c r="F697" t="s">
        <v>2003</v>
      </c>
      <c r="G697">
        <v>68</v>
      </c>
      <c r="H697" t="s">
        <v>12170</v>
      </c>
      <c r="I697" t="s">
        <v>12199</v>
      </c>
      <c r="J697" s="22">
        <v>45597</v>
      </c>
      <c r="K697">
        <v>1</v>
      </c>
      <c r="L697">
        <v>0</v>
      </c>
      <c r="M697" s="21">
        <f ca="1">LEFT(Music_Data[[#This Row],[Duration_minutes]],3)/60</f>
        <v>3.15</v>
      </c>
      <c r="N697" s="17">
        <v>0.152</v>
      </c>
      <c r="O697" s="17" t="str">
        <f ca="1">PROPER(Music_Data[[#This Row],[Playlist_subgenre2]])</f>
        <v>Melodic</v>
      </c>
    </row>
    <row r="698" spans="1:15">
      <c r="A698" s="17">
        <v>0.70299999999999996</v>
      </c>
      <c r="B698" s="21">
        <v>948</v>
      </c>
      <c r="C698" s="16">
        <v>0.81299999999999994</v>
      </c>
      <c r="D698" s="16" t="str">
        <f ca="1">PROPER(Music_Data[[#This Row],[Playlist_genre2]])</f>
        <v>Hip-Hop</v>
      </c>
      <c r="E698" s="17">
        <v>0.24099999999999999</v>
      </c>
      <c r="F698" t="s">
        <v>5873</v>
      </c>
      <c r="G698">
        <v>68</v>
      </c>
      <c r="H698" t="s">
        <v>5837</v>
      </c>
      <c r="I698" t="s">
        <v>5963</v>
      </c>
      <c r="J698" s="22">
        <v>34814</v>
      </c>
      <c r="K698">
        <v>0</v>
      </c>
      <c r="L698">
        <v>11</v>
      </c>
      <c r="M698" s="21">
        <f ca="1">LEFT(Music_Data[[#This Row],[Duration_minutes]],3)/60</f>
        <v>3.7333333333333334</v>
      </c>
      <c r="N698" s="17">
        <v>0.125</v>
      </c>
      <c r="O698" s="17" t="str">
        <f ca="1">PROPER(Music_Data[[#This Row],[Playlist_subgenre2]])</f>
        <v>90S</v>
      </c>
    </row>
    <row r="699" spans="1:15">
      <c r="A699" s="17">
        <v>0.35</v>
      </c>
      <c r="B699" s="21">
        <v>775</v>
      </c>
      <c r="C699" s="16">
        <v>0.82199999999999995</v>
      </c>
      <c r="D699" s="16" t="str">
        <f ca="1">PROPER(Music_Data[[#This Row],[Playlist_genre2]])</f>
        <v>Hip-Hop</v>
      </c>
      <c r="E699" s="17">
        <v>0.34599999999999997</v>
      </c>
      <c r="F699" t="s">
        <v>2366</v>
      </c>
      <c r="G699">
        <v>68</v>
      </c>
      <c r="H699" t="s">
        <v>2202</v>
      </c>
      <c r="I699" t="s">
        <v>2369</v>
      </c>
      <c r="J699" s="22">
        <v>43170</v>
      </c>
      <c r="K699">
        <v>0</v>
      </c>
      <c r="L699">
        <v>1</v>
      </c>
      <c r="M699" s="21">
        <f ca="1">LEFT(Music_Data[[#This Row],[Duration_minutes]],3)/60</f>
        <v>3.1</v>
      </c>
      <c r="N699" s="17">
        <v>2.1299999999999999E-2</v>
      </c>
      <c r="O699" s="17" t="str">
        <f ca="1">PROPER(Music_Data[[#This Row],[Playlist_subgenre2]])</f>
        <v>Gangster</v>
      </c>
    </row>
    <row r="700" spans="1:15">
      <c r="A700" s="17">
        <v>0.61799999999999999</v>
      </c>
      <c r="B700" s="21">
        <v>997</v>
      </c>
      <c r="C700" s="16">
        <v>0.49</v>
      </c>
      <c r="D700" s="16" t="str">
        <f ca="1">PROPER(Music_Data[[#This Row],[Playlist_genre2]])</f>
        <v>Hip-Hop</v>
      </c>
      <c r="E700" s="17">
        <v>0.28599999999999998</v>
      </c>
      <c r="F700" t="s">
        <v>2354</v>
      </c>
      <c r="G700">
        <v>68</v>
      </c>
      <c r="H700" t="s">
        <v>2202</v>
      </c>
      <c r="I700" t="s">
        <v>2360</v>
      </c>
      <c r="J700" s="22">
        <v>44015</v>
      </c>
      <c r="K700">
        <v>1</v>
      </c>
      <c r="L700">
        <v>1</v>
      </c>
      <c r="M700" s="21">
        <f ca="1">LEFT(Music_Data[[#This Row],[Duration_minutes]],3)/60</f>
        <v>3.35</v>
      </c>
      <c r="N700" s="17">
        <v>2.2100000000000002E-2</v>
      </c>
      <c r="O700" s="17" t="str">
        <f ca="1">PROPER(Music_Data[[#This Row],[Playlist_subgenre2]])</f>
        <v>Gangster</v>
      </c>
    </row>
    <row r="701" spans="1:15">
      <c r="A701" s="17">
        <v>0.441</v>
      </c>
      <c r="B701" s="21">
        <v>135</v>
      </c>
      <c r="C701" s="16">
        <v>0.94199999999999995</v>
      </c>
      <c r="D701" s="16" t="str">
        <f ca="1">PROPER(Music_Data[[#This Row],[Playlist_genre2]])</f>
        <v>Hip-Hop</v>
      </c>
      <c r="E701" s="17">
        <v>0.92500000000000004</v>
      </c>
      <c r="F701" t="s">
        <v>13213</v>
      </c>
      <c r="G701">
        <v>68</v>
      </c>
      <c r="H701" t="s">
        <v>11488</v>
      </c>
      <c r="I701" t="s">
        <v>11575</v>
      </c>
      <c r="J701" s="22">
        <v>44202</v>
      </c>
      <c r="K701">
        <v>1</v>
      </c>
      <c r="L701">
        <v>11</v>
      </c>
      <c r="M701" s="21">
        <f ca="1">LEFT(Music_Data[[#This Row],[Duration_minutes]],3)/60</f>
        <v>2.4</v>
      </c>
      <c r="N701" s="17">
        <v>0.49299999999999999</v>
      </c>
      <c r="O701" s="17" t="str">
        <f ca="1">PROPER(Music_Data[[#This Row],[Playlist_subgenre2]])</f>
        <v>Chill</v>
      </c>
    </row>
    <row r="702" spans="1:15">
      <c r="A702" s="17">
        <v>0.70199999999999996</v>
      </c>
      <c r="B702" s="21">
        <v>180</v>
      </c>
      <c r="C702" s="16">
        <v>0.71099999999999997</v>
      </c>
      <c r="D702" s="16" t="str">
        <f ca="1">PROPER(Music_Data[[#This Row],[Playlist_genre2]])</f>
        <v>Hip-Hop</v>
      </c>
      <c r="E702" s="17">
        <v>0.67400000000000004</v>
      </c>
      <c r="F702" t="s">
        <v>12432</v>
      </c>
      <c r="G702">
        <v>68</v>
      </c>
      <c r="H702" t="s">
        <v>12411</v>
      </c>
      <c r="I702" t="s">
        <v>12435</v>
      </c>
      <c r="J702" s="22">
        <v>44813</v>
      </c>
      <c r="K702">
        <v>1</v>
      </c>
      <c r="L702">
        <v>5</v>
      </c>
      <c r="M702" s="21">
        <f ca="1">LEFT(Music_Data[[#This Row],[Duration_minutes]],3)/60</f>
        <v>2.4666666666666668</v>
      </c>
      <c r="N702" s="17">
        <v>4.8700000000000002E-3</v>
      </c>
      <c r="O702" s="17" t="str">
        <f ca="1">PROPER(Music_Data[[#This Row],[Playlist_subgenre2]])</f>
        <v>Desi</v>
      </c>
    </row>
    <row r="703" spans="1:15">
      <c r="A703" s="17">
        <v>0.68400000000000005</v>
      </c>
      <c r="B703" s="21">
        <v>100</v>
      </c>
      <c r="C703" s="16">
        <v>0.76900000000000002</v>
      </c>
      <c r="D703" s="16" t="str">
        <f ca="1">PROPER(Music_Data[[#This Row],[Playlist_genre2]])</f>
        <v>Hip-Hop</v>
      </c>
      <c r="E703" s="17">
        <v>0.48299999999999998</v>
      </c>
      <c r="F703" t="s">
        <v>12480</v>
      </c>
      <c r="G703">
        <v>68</v>
      </c>
      <c r="H703" t="s">
        <v>12411</v>
      </c>
      <c r="I703" t="s">
        <v>12486</v>
      </c>
      <c r="J703" s="22">
        <v>45247</v>
      </c>
      <c r="K703">
        <v>0</v>
      </c>
      <c r="L703">
        <v>10</v>
      </c>
      <c r="M703" s="21">
        <f ca="1">LEFT(Music_Data[[#This Row],[Duration_minutes]],3)/60</f>
        <v>2.6833333333333331</v>
      </c>
      <c r="N703" s="17">
        <v>9.7699999999999995E-2</v>
      </c>
      <c r="O703" s="17" t="str">
        <f ca="1">PROPER(Music_Data[[#This Row],[Playlist_subgenre2]])</f>
        <v>Desi</v>
      </c>
    </row>
    <row r="704" spans="1:15">
      <c r="A704" s="17">
        <v>0.59</v>
      </c>
      <c r="B704" s="21">
        <v>119</v>
      </c>
      <c r="C704" s="16">
        <v>0.88</v>
      </c>
      <c r="D704" s="16" t="str">
        <f ca="1">PROPER(Music_Data[[#This Row],[Playlist_genre2]])</f>
        <v>Hip-Hop</v>
      </c>
      <c r="E704" s="17">
        <v>0.72299999999999998</v>
      </c>
      <c r="F704" t="s">
        <v>13165</v>
      </c>
      <c r="G704">
        <v>68</v>
      </c>
      <c r="H704" t="s">
        <v>2607</v>
      </c>
      <c r="I704" t="s">
        <v>2646</v>
      </c>
      <c r="J704" s="22">
        <v>44216</v>
      </c>
      <c r="K704">
        <v>0</v>
      </c>
      <c r="L704">
        <v>8</v>
      </c>
      <c r="M704" s="21">
        <f ca="1">LEFT(Music_Data[[#This Row],[Duration_minutes]],3)/60</f>
        <v>2.8333333333333335</v>
      </c>
      <c r="N704" s="17">
        <v>0.08</v>
      </c>
      <c r="O704" s="17" t="str">
        <f ca="1">PROPER(Music_Data[[#This Row],[Playlist_subgenre2]])</f>
        <v>Trap</v>
      </c>
    </row>
    <row r="705" spans="1:15">
      <c r="A705" s="17">
        <v>0.60399999999999998</v>
      </c>
      <c r="B705" s="21">
        <v>493</v>
      </c>
      <c r="C705" s="16">
        <v>0.58299999999999996</v>
      </c>
      <c r="D705" s="16" t="str">
        <f ca="1">PROPER(Music_Data[[#This Row],[Playlist_genre2]])</f>
        <v>Hip-Hop</v>
      </c>
      <c r="E705" s="17">
        <v>0.69099999999999995</v>
      </c>
      <c r="F705" t="s">
        <v>11669</v>
      </c>
      <c r="G705">
        <v>68</v>
      </c>
      <c r="H705" t="s">
        <v>11488</v>
      </c>
      <c r="I705" t="s">
        <v>11675</v>
      </c>
      <c r="J705" s="22">
        <v>43707</v>
      </c>
      <c r="K705">
        <v>1</v>
      </c>
      <c r="L705">
        <v>2</v>
      </c>
      <c r="M705" s="21">
        <f ca="1">LEFT(Music_Data[[#This Row],[Duration_minutes]],3)/60</f>
        <v>16.649999999999999</v>
      </c>
      <c r="N705" s="17">
        <v>0.73499999999999999</v>
      </c>
      <c r="O705" s="17" t="str">
        <f ca="1">PROPER(Music_Data[[#This Row],[Playlist_subgenre2]])</f>
        <v>Chill</v>
      </c>
    </row>
    <row r="706" spans="1:15">
      <c r="A706" s="17">
        <v>0.748</v>
      </c>
      <c r="B706" s="21">
        <v>119</v>
      </c>
      <c r="C706" s="16">
        <v>0.86799999999999999</v>
      </c>
      <c r="D706" s="16" t="str">
        <f ca="1">PROPER(Music_Data[[#This Row],[Playlist_genre2]])</f>
        <v>Indian</v>
      </c>
      <c r="E706" s="17">
        <v>0.82899999999999996</v>
      </c>
      <c r="F706" t="s">
        <v>10216</v>
      </c>
      <c r="G706">
        <v>73</v>
      </c>
      <c r="H706" t="s">
        <v>10220</v>
      </c>
      <c r="I706" t="s">
        <v>10219</v>
      </c>
      <c r="J706" s="22">
        <v>44904</v>
      </c>
      <c r="K706">
        <v>0</v>
      </c>
      <c r="L706">
        <v>1</v>
      </c>
      <c r="M706" s="21">
        <f ca="1">LEFT(Music_Data[[#This Row],[Duration_minutes]],3)/60</f>
        <v>2.9333333333333331</v>
      </c>
      <c r="N706" s="17">
        <v>0.28999999999999998</v>
      </c>
      <c r="O706" s="17" t="str">
        <f ca="1">PROPER(Music_Data[[#This Row],[Playlist_subgenre2]])</f>
        <v>Bhangra</v>
      </c>
    </row>
    <row r="707" spans="1:15">
      <c r="A707" s="17">
        <v>0.46800000000000003</v>
      </c>
      <c r="B707" s="21">
        <v>135</v>
      </c>
      <c r="C707" s="16">
        <v>0.48299999999999998</v>
      </c>
      <c r="D707" s="16" t="str">
        <f ca="1">PROPER(Music_Data[[#This Row],[Playlist_genre2]])</f>
        <v>Indian</v>
      </c>
      <c r="E707" s="17">
        <v>0.31900000000000001</v>
      </c>
      <c r="F707" t="s">
        <v>3432</v>
      </c>
      <c r="G707">
        <v>73</v>
      </c>
      <c r="H707" t="s">
        <v>3416</v>
      </c>
      <c r="I707" t="s">
        <v>3438</v>
      </c>
      <c r="J707" s="22">
        <v>43875</v>
      </c>
      <c r="K707">
        <v>1</v>
      </c>
      <c r="L707">
        <v>8</v>
      </c>
      <c r="M707" s="21">
        <f ca="1">LEFT(Music_Data[[#This Row],[Duration_minutes]],3)/60</f>
        <v>4.1166666666666663</v>
      </c>
      <c r="N707" s="17">
        <v>0.78400000000000003</v>
      </c>
      <c r="O707" s="17" t="str">
        <f ca="1">PROPER(Music_Data[[#This Row],[Playlist_subgenre2]])</f>
        <v>Bollywood</v>
      </c>
    </row>
    <row r="708" spans="1:15">
      <c r="A708" s="17">
        <v>0.879</v>
      </c>
      <c r="B708" s="21">
        <v>133</v>
      </c>
      <c r="C708" s="16">
        <v>0.74199999999999999</v>
      </c>
      <c r="D708" s="16" t="str">
        <f ca="1">PROPER(Music_Data[[#This Row],[Playlist_genre2]])</f>
        <v>Indian</v>
      </c>
      <c r="E708" s="17">
        <v>0.93600000000000005</v>
      </c>
      <c r="F708" t="s">
        <v>12914</v>
      </c>
      <c r="G708">
        <v>72</v>
      </c>
      <c r="H708" t="s">
        <v>12918</v>
      </c>
      <c r="I708" t="s">
        <v>12921</v>
      </c>
      <c r="J708" s="22">
        <v>40802</v>
      </c>
      <c r="K708">
        <v>0</v>
      </c>
      <c r="L708">
        <v>0</v>
      </c>
      <c r="M708" s="21">
        <f ca="1">LEFT(Music_Data[[#This Row],[Duration_minutes]],3)/60</f>
        <v>3.7833333333333332</v>
      </c>
      <c r="N708" s="17">
        <v>6.9599999999999995E-2</v>
      </c>
      <c r="O708" s="17" t="str">
        <f ca="1">PROPER(Music_Data[[#This Row],[Playlist_subgenre2]])</f>
        <v>Workout</v>
      </c>
    </row>
    <row r="709" spans="1:15">
      <c r="A709" s="17">
        <v>0.48099999999999998</v>
      </c>
      <c r="B709" s="21">
        <v>124</v>
      </c>
      <c r="C709" s="16">
        <v>0.53400000000000003</v>
      </c>
      <c r="D709" s="16" t="str">
        <f ca="1">PROPER(Music_Data[[#This Row],[Playlist_genre2]])</f>
        <v>Indian</v>
      </c>
      <c r="E709" s="17">
        <v>0.29299999999999998</v>
      </c>
      <c r="F709" t="s">
        <v>3432</v>
      </c>
      <c r="G709">
        <v>71</v>
      </c>
      <c r="H709" t="s">
        <v>3416</v>
      </c>
      <c r="I709" t="s">
        <v>3455</v>
      </c>
      <c r="J709" s="22">
        <v>43708</v>
      </c>
      <c r="K709">
        <v>0</v>
      </c>
      <c r="L709">
        <v>0</v>
      </c>
      <c r="M709" s="21">
        <f ca="1">LEFT(Music_Data[[#This Row],[Duration_minutes]],3)/60</f>
        <v>4.666666666666667</v>
      </c>
      <c r="N709" s="17">
        <v>0.69699999999999995</v>
      </c>
      <c r="O709" s="17" t="str">
        <f ca="1">PROPER(Music_Data[[#This Row],[Playlist_subgenre2]])</f>
        <v>Bollywood</v>
      </c>
    </row>
    <row r="710" spans="1:15">
      <c r="A710" s="17">
        <v>0.51900000000000002</v>
      </c>
      <c r="B710" s="21">
        <v>122</v>
      </c>
      <c r="C710" s="16">
        <v>0.56200000000000006</v>
      </c>
      <c r="D710" s="16" t="str">
        <f ca="1">PROPER(Music_Data[[#This Row],[Playlist_genre2]])</f>
        <v>Indian</v>
      </c>
      <c r="E710" s="17">
        <v>0.41499999999999998</v>
      </c>
      <c r="F710" t="s">
        <v>3440</v>
      </c>
      <c r="G710">
        <v>70</v>
      </c>
      <c r="H710" t="s">
        <v>3416</v>
      </c>
      <c r="I710" t="s">
        <v>3447</v>
      </c>
      <c r="J710" s="22">
        <v>42293</v>
      </c>
      <c r="K710">
        <v>1</v>
      </c>
      <c r="L710">
        <v>3</v>
      </c>
      <c r="M710" s="21">
        <f ca="1">LEFT(Music_Data[[#This Row],[Duration_minutes]],3)/60</f>
        <v>5.6833333333333336</v>
      </c>
      <c r="N710" s="17">
        <v>0.55700000000000005</v>
      </c>
      <c r="O710" s="17" t="str">
        <f ca="1">PROPER(Music_Data[[#This Row],[Playlist_subgenre2]])</f>
        <v>Bollywood</v>
      </c>
    </row>
    <row r="711" spans="1:15">
      <c r="A711" s="17">
        <v>0.82399999999999995</v>
      </c>
      <c r="B711" s="21">
        <v>172</v>
      </c>
      <c r="C711" s="16">
        <v>0.77</v>
      </c>
      <c r="D711" s="16" t="str">
        <f ca="1">PROPER(Music_Data[[#This Row],[Playlist_genre2]])</f>
        <v>Indian</v>
      </c>
      <c r="E711" s="17">
        <v>0.49</v>
      </c>
      <c r="F711" t="s">
        <v>12926</v>
      </c>
      <c r="G711">
        <v>70</v>
      </c>
      <c r="H711" t="s">
        <v>12918</v>
      </c>
      <c r="I711" t="s">
        <v>12933</v>
      </c>
      <c r="J711" s="22">
        <v>43376</v>
      </c>
      <c r="K711">
        <v>0</v>
      </c>
      <c r="L711">
        <v>1</v>
      </c>
      <c r="M711" s="21">
        <f ca="1">LEFT(Music_Data[[#This Row],[Duration_minutes]],3)/60</f>
        <v>2.9666666666666668</v>
      </c>
      <c r="N711" s="17">
        <v>0.48499999999999999</v>
      </c>
      <c r="O711" s="17" t="str">
        <f ca="1">PROPER(Music_Data[[#This Row],[Playlist_subgenre2]])</f>
        <v>Workout</v>
      </c>
    </row>
    <row r="712" spans="1:15">
      <c r="A712" s="17">
        <v>0.63</v>
      </c>
      <c r="B712" s="21">
        <v>810</v>
      </c>
      <c r="C712" s="16">
        <v>0.72</v>
      </c>
      <c r="D712" s="16" t="str">
        <f ca="1">PROPER(Music_Data[[#This Row],[Playlist_genre2]])</f>
        <v>Indian</v>
      </c>
      <c r="E712" s="17">
        <v>0.51200000000000001</v>
      </c>
      <c r="F712" t="s">
        <v>3411</v>
      </c>
      <c r="G712">
        <v>70</v>
      </c>
      <c r="H712" t="s">
        <v>3416</v>
      </c>
      <c r="I712" t="s">
        <v>3415</v>
      </c>
      <c r="J712" s="22">
        <v>44407</v>
      </c>
      <c r="K712">
        <v>1</v>
      </c>
      <c r="L712">
        <v>10</v>
      </c>
      <c r="M712" s="21">
        <f ca="1">LEFT(Music_Data[[#This Row],[Duration_minutes]],3)/60</f>
        <v>3.8333333333333335</v>
      </c>
      <c r="N712" s="17">
        <v>0.61499999999999999</v>
      </c>
      <c r="O712" s="17" t="str">
        <f ca="1">PROPER(Music_Data[[#This Row],[Playlist_subgenre2]])</f>
        <v>Bollywood</v>
      </c>
    </row>
    <row r="713" spans="1:15">
      <c r="A713" s="17">
        <v>0.61099999999999999</v>
      </c>
      <c r="B713" s="21">
        <v>100</v>
      </c>
      <c r="C713" s="16">
        <v>0.85399999999999998</v>
      </c>
      <c r="D713" s="16" t="str">
        <f ca="1">PROPER(Music_Data[[#This Row],[Playlist_genre2]])</f>
        <v>Indian</v>
      </c>
      <c r="E713" s="17">
        <v>0.41699999999999998</v>
      </c>
      <c r="F713" t="s">
        <v>10228</v>
      </c>
      <c r="G713">
        <v>68</v>
      </c>
      <c r="H713" t="s">
        <v>10220</v>
      </c>
      <c r="I713" t="s">
        <v>10231</v>
      </c>
      <c r="J713" s="22">
        <v>44092</v>
      </c>
      <c r="K713">
        <v>0</v>
      </c>
      <c r="L713">
        <v>8</v>
      </c>
      <c r="M713" s="21">
        <f ca="1">LEFT(Music_Data[[#This Row],[Duration_minutes]],3)/60</f>
        <v>4.2333333333333334</v>
      </c>
      <c r="N713" s="17">
        <v>0.223</v>
      </c>
      <c r="O713" s="17" t="str">
        <f ca="1">PROPER(Music_Data[[#This Row],[Playlist_subgenre2]])</f>
        <v>Bhangra</v>
      </c>
    </row>
    <row r="714" spans="1:15">
      <c r="A714" s="17">
        <v>0.57299999999999995</v>
      </c>
      <c r="B714" s="21">
        <v>829</v>
      </c>
      <c r="C714" s="16">
        <v>0.60299999999999998</v>
      </c>
      <c r="D714" s="16" t="str">
        <f ca="1">PROPER(Music_Data[[#This Row],[Playlist_genre2]])</f>
        <v>Indian</v>
      </c>
      <c r="E714" s="17">
        <v>0.23599999999999999</v>
      </c>
      <c r="F714" t="s">
        <v>3424</v>
      </c>
      <c r="G714">
        <v>68</v>
      </c>
      <c r="H714" t="s">
        <v>3416</v>
      </c>
      <c r="I714" t="s">
        <v>3427</v>
      </c>
      <c r="J714" s="22">
        <v>44413</v>
      </c>
      <c r="K714">
        <v>1</v>
      </c>
      <c r="L714">
        <v>1</v>
      </c>
      <c r="M714" s="21">
        <f ca="1">LEFT(Music_Data[[#This Row],[Duration_minutes]],3)/60</f>
        <v>3.8</v>
      </c>
      <c r="N714" s="17">
        <v>0.47799999999999998</v>
      </c>
      <c r="O714" s="17" t="str">
        <f ca="1">PROPER(Music_Data[[#This Row],[Playlist_subgenre2]])</f>
        <v>Bollywood</v>
      </c>
    </row>
    <row r="715" spans="1:15">
      <c r="A715" s="17">
        <v>0.873</v>
      </c>
      <c r="B715" s="21">
        <v>979</v>
      </c>
      <c r="C715" s="16">
        <v>0.621</v>
      </c>
      <c r="D715" s="16" t="str">
        <f ca="1">PROPER(Music_Data[[#This Row],[Playlist_genre2]])</f>
        <v>Indie</v>
      </c>
      <c r="E715" s="17">
        <v>0.873</v>
      </c>
      <c r="F715" t="s">
        <v>13076</v>
      </c>
      <c r="G715">
        <v>79</v>
      </c>
      <c r="H715" t="s">
        <v>13068</v>
      </c>
      <c r="I715" t="s">
        <v>13082</v>
      </c>
      <c r="J715" s="22">
        <v>43875</v>
      </c>
      <c r="K715">
        <v>0</v>
      </c>
      <c r="L715">
        <v>5</v>
      </c>
      <c r="M715" s="21">
        <f ca="1">LEFT(Music_Data[[#This Row],[Duration_minutes]],3)/60</f>
        <v>3.95</v>
      </c>
      <c r="N715" s="17">
        <v>4.0599999999999997E-2</v>
      </c>
      <c r="O715" s="17" t="str">
        <f ca="1">PROPER(Music_Data[[#This Row],[Playlist_subgenre2]])</f>
        <v>Australian</v>
      </c>
    </row>
    <row r="716" spans="1:15">
      <c r="A716" s="17">
        <v>0.92400000000000004</v>
      </c>
      <c r="B716" s="21">
        <v>168</v>
      </c>
      <c r="C716" s="16">
        <v>0.59799999999999998</v>
      </c>
      <c r="D716" s="16" t="str">
        <f ca="1">PROPER(Music_Data[[#This Row],[Playlist_genre2]])</f>
        <v>Indie</v>
      </c>
      <c r="E716" s="17">
        <v>0.61099999999999999</v>
      </c>
      <c r="F716" t="s">
        <v>3598</v>
      </c>
      <c r="G716">
        <v>76</v>
      </c>
      <c r="H716" t="s">
        <v>13068</v>
      </c>
      <c r="I716" t="s">
        <v>3601</v>
      </c>
      <c r="J716" s="22">
        <v>44630</v>
      </c>
      <c r="K716">
        <v>0</v>
      </c>
      <c r="L716">
        <v>6</v>
      </c>
      <c r="M716" s="21">
        <f ca="1">LEFT(Music_Data[[#This Row],[Duration_minutes]],3)/60</f>
        <v>2.7</v>
      </c>
      <c r="N716" s="17">
        <v>2.0500000000000001E-2</v>
      </c>
      <c r="O716" s="17" t="str">
        <f ca="1">PROPER(Music_Data[[#This Row],[Playlist_subgenre2]])</f>
        <v>Australian</v>
      </c>
    </row>
    <row r="717" spans="1:15">
      <c r="A717" s="17">
        <v>0.53300000000000003</v>
      </c>
      <c r="B717" s="21">
        <v>102</v>
      </c>
      <c r="C717" s="16">
        <v>0.86299999999999999</v>
      </c>
      <c r="D717" s="16" t="str">
        <f ca="1">PROPER(Music_Data[[#This Row],[Playlist_genre2]])</f>
        <v>Indie</v>
      </c>
      <c r="E717" s="17">
        <v>0.73799999999999999</v>
      </c>
      <c r="F717" t="s">
        <v>13064</v>
      </c>
      <c r="G717">
        <v>71</v>
      </c>
      <c r="H717" t="s">
        <v>13068</v>
      </c>
      <c r="I717" t="s">
        <v>13067</v>
      </c>
      <c r="J717" s="22">
        <v>43217</v>
      </c>
      <c r="K717">
        <v>0</v>
      </c>
      <c r="L717">
        <v>5</v>
      </c>
      <c r="M717" s="21">
        <f ca="1">LEFT(Music_Data[[#This Row],[Duration_minutes]],3)/60</f>
        <v>4.1500000000000004</v>
      </c>
      <c r="N717" s="17">
        <v>0.29099999999999998</v>
      </c>
      <c r="O717" s="17" t="str">
        <f ca="1">PROPER(Music_Data[[#This Row],[Playlist_subgenre2]])</f>
        <v>Australian</v>
      </c>
    </row>
    <row r="718" spans="1:15">
      <c r="A718" s="17">
        <v>0.66400000000000003</v>
      </c>
      <c r="B718" s="21">
        <v>118</v>
      </c>
      <c r="C718" s="16">
        <v>0.73099999999999998</v>
      </c>
      <c r="D718" s="16" t="str">
        <f ca="1">PROPER(Music_Data[[#This Row],[Playlist_genre2]])</f>
        <v>Indie</v>
      </c>
      <c r="E718" s="17">
        <v>0.66100000000000003</v>
      </c>
      <c r="F718" t="s">
        <v>13076</v>
      </c>
      <c r="G718">
        <v>68</v>
      </c>
      <c r="H718" t="s">
        <v>13068</v>
      </c>
      <c r="I718" t="s">
        <v>13088</v>
      </c>
      <c r="J718" s="22">
        <v>43875</v>
      </c>
      <c r="K718">
        <v>1</v>
      </c>
      <c r="L718">
        <v>0</v>
      </c>
      <c r="M718" s="21">
        <f ca="1">LEFT(Music_Data[[#This Row],[Duration_minutes]],3)/60</f>
        <v>3.9833333333333334</v>
      </c>
      <c r="N718" s="17">
        <v>3.0699999999999998E-3</v>
      </c>
      <c r="O718" s="17" t="str">
        <f ca="1">PROPER(Music_Data[[#This Row],[Playlist_subgenre2]])</f>
        <v>Australian</v>
      </c>
    </row>
    <row r="719" spans="1:15">
      <c r="A719" s="17">
        <v>0.82199999999999995</v>
      </c>
      <c r="B719" s="21">
        <v>157</v>
      </c>
      <c r="C719" s="16">
        <v>0.85299999999999998</v>
      </c>
      <c r="D719" s="16" t="str">
        <f ca="1">PROPER(Music_Data[[#This Row],[Playlist_genre2]])</f>
        <v>J-Pop</v>
      </c>
      <c r="E719" s="17">
        <v>0.746</v>
      </c>
      <c r="F719" t="s">
        <v>5568</v>
      </c>
      <c r="G719">
        <v>80</v>
      </c>
      <c r="H719" t="s">
        <v>5533</v>
      </c>
      <c r="I719" t="s">
        <v>5571</v>
      </c>
      <c r="J719" s="22">
        <v>45298</v>
      </c>
      <c r="K719">
        <v>0</v>
      </c>
      <c r="L719">
        <v>6</v>
      </c>
      <c r="M719" s="21">
        <f ca="1">LEFT(Music_Data[[#This Row],[Duration_minutes]],3)/60</f>
        <v>2.8</v>
      </c>
      <c r="N719" s="17">
        <v>8.4099999999999994E-2</v>
      </c>
      <c r="O719" s="17" t="str">
        <f ca="1">PROPER(Music_Data[[#This Row],[Playlist_subgenre2]])</f>
        <v>Anime</v>
      </c>
    </row>
    <row r="720" spans="1:15">
      <c r="A720" s="17">
        <v>0.79400000000000004</v>
      </c>
      <c r="B720" s="21">
        <v>149</v>
      </c>
      <c r="C720" s="16">
        <v>0.53100000000000003</v>
      </c>
      <c r="D720" s="16" t="str">
        <f ca="1">PROPER(Music_Data[[#This Row],[Playlist_genre2]])</f>
        <v>J-Pop</v>
      </c>
      <c r="E720" s="17">
        <v>0.77500000000000002</v>
      </c>
      <c r="F720" t="s">
        <v>5550</v>
      </c>
      <c r="G720">
        <v>77</v>
      </c>
      <c r="H720" t="s">
        <v>5533</v>
      </c>
      <c r="I720" t="s">
        <v>5553</v>
      </c>
      <c r="J720" s="22">
        <v>45393</v>
      </c>
      <c r="K720">
        <v>1</v>
      </c>
      <c r="L720">
        <v>10</v>
      </c>
      <c r="M720" s="21">
        <f ca="1">LEFT(Music_Data[[#This Row],[Duration_minutes]],3)/60</f>
        <v>4.8</v>
      </c>
      <c r="N720" s="17">
        <v>1.7600000000000001E-2</v>
      </c>
      <c r="O720" s="17" t="str">
        <f ca="1">PROPER(Music_Data[[#This Row],[Playlist_subgenre2]])</f>
        <v>Anime</v>
      </c>
    </row>
    <row r="721" spans="1:15">
      <c r="A721" s="17">
        <v>0.90500000000000003</v>
      </c>
      <c r="B721" s="21">
        <v>141</v>
      </c>
      <c r="C721" s="16">
        <v>0.54500000000000004</v>
      </c>
      <c r="D721" s="16" t="str">
        <f ca="1">PROPER(Music_Data[[#This Row],[Playlist_genre2]])</f>
        <v>J-Pop</v>
      </c>
      <c r="E721" s="17">
        <v>0.73499999999999999</v>
      </c>
      <c r="F721" t="s">
        <v>5576</v>
      </c>
      <c r="G721">
        <v>73</v>
      </c>
      <c r="H721" t="s">
        <v>5533</v>
      </c>
      <c r="I721" t="s">
        <v>5580</v>
      </c>
      <c r="J721" s="22">
        <v>45492</v>
      </c>
      <c r="K721">
        <v>1</v>
      </c>
      <c r="L721">
        <v>5</v>
      </c>
      <c r="M721" s="21">
        <f ca="1">LEFT(Music_Data[[#This Row],[Duration_minutes]],3)/60</f>
        <v>4.05</v>
      </c>
      <c r="N721" s="17">
        <v>0.10299999999999999</v>
      </c>
      <c r="O721" s="17" t="str">
        <f ca="1">PROPER(Music_Data[[#This Row],[Playlist_subgenre2]])</f>
        <v>Anime</v>
      </c>
    </row>
    <row r="722" spans="1:15">
      <c r="A722" s="17">
        <v>0.94099999999999995</v>
      </c>
      <c r="B722" s="21">
        <v>101</v>
      </c>
      <c r="C722" s="16">
        <v>0.57699999999999996</v>
      </c>
      <c r="D722" s="16" t="str">
        <f ca="1">PROPER(Music_Data[[#This Row],[Playlist_genre2]])</f>
        <v>J-Pop</v>
      </c>
      <c r="E722" s="17">
        <v>0.29199999999999998</v>
      </c>
      <c r="F722" t="s">
        <v>5541</v>
      </c>
      <c r="G722">
        <v>72</v>
      </c>
      <c r="H722" t="s">
        <v>5533</v>
      </c>
      <c r="I722" t="s">
        <v>5544</v>
      </c>
      <c r="J722" s="22">
        <v>44846</v>
      </c>
      <c r="K722">
        <v>1</v>
      </c>
      <c r="L722">
        <v>1</v>
      </c>
      <c r="M722" s="21">
        <f ca="1">LEFT(Music_Data[[#This Row],[Duration_minutes]],3)/60</f>
        <v>3.2166666666666668</v>
      </c>
      <c r="N722" s="17">
        <v>2.0699999999999998E-3</v>
      </c>
      <c r="O722" s="17" t="str">
        <f ca="1">PROPER(Music_Data[[#This Row],[Playlist_subgenre2]])</f>
        <v>Anime</v>
      </c>
    </row>
    <row r="723" spans="1:15">
      <c r="A723" s="17">
        <v>0.93500000000000005</v>
      </c>
      <c r="B723" s="21">
        <v>166</v>
      </c>
      <c r="C723" s="16">
        <v>0.57399999999999995</v>
      </c>
      <c r="D723" s="16" t="str">
        <f ca="1">PROPER(Music_Data[[#This Row],[Playlist_genre2]])</f>
        <v>J-Pop</v>
      </c>
      <c r="E723" s="17">
        <v>0.83599999999999997</v>
      </c>
      <c r="F723" t="s">
        <v>5529</v>
      </c>
      <c r="G723">
        <v>72</v>
      </c>
      <c r="H723" t="s">
        <v>5533</v>
      </c>
      <c r="I723" t="s">
        <v>5532</v>
      </c>
      <c r="J723" s="22">
        <v>45028</v>
      </c>
      <c r="K723">
        <v>1</v>
      </c>
      <c r="L723">
        <v>1</v>
      </c>
      <c r="M723" s="21">
        <f ca="1">LEFT(Music_Data[[#This Row],[Duration_minutes]],3)/60</f>
        <v>3.55</v>
      </c>
      <c r="N723" s="17">
        <v>0.112</v>
      </c>
      <c r="O723" s="17" t="str">
        <f ca="1">PROPER(Music_Data[[#This Row],[Playlist_subgenre2]])</f>
        <v>Anime</v>
      </c>
    </row>
    <row r="724" spans="1:15">
      <c r="A724" s="17">
        <v>0.81100000000000005</v>
      </c>
      <c r="B724" s="21">
        <v>139</v>
      </c>
      <c r="C724" s="16">
        <v>0.69299999999999995</v>
      </c>
      <c r="D724" s="16" t="str">
        <f ca="1">PROPER(Music_Data[[#This Row],[Playlist_genre2]])</f>
        <v>J-Pop</v>
      </c>
      <c r="E724" s="17">
        <v>0.94399999999999995</v>
      </c>
      <c r="F724" t="s">
        <v>5592</v>
      </c>
      <c r="G724">
        <v>69</v>
      </c>
      <c r="H724" t="s">
        <v>5533</v>
      </c>
      <c r="I724" t="s">
        <v>5599</v>
      </c>
      <c r="J724" s="22">
        <v>45394</v>
      </c>
      <c r="K724">
        <v>1</v>
      </c>
      <c r="L724">
        <v>5</v>
      </c>
      <c r="M724" s="21">
        <f ca="1">LEFT(Music_Data[[#This Row],[Duration_minutes]],3)/60</f>
        <v>2.5499999999999998</v>
      </c>
      <c r="N724" s="17">
        <v>0.39500000000000002</v>
      </c>
      <c r="O724" s="17" t="str">
        <f ca="1">PROPER(Music_Data[[#This Row],[Playlist_subgenre2]])</f>
        <v>Anime</v>
      </c>
    </row>
    <row r="725" spans="1:15">
      <c r="A725" s="17">
        <v>0.80800000000000005</v>
      </c>
      <c r="B725" s="21">
        <v>115</v>
      </c>
      <c r="C725" s="16">
        <v>0.57599999999999996</v>
      </c>
      <c r="D725" s="16" t="str">
        <f ca="1">PROPER(Music_Data[[#This Row],[Playlist_genre2]])</f>
        <v>J-Pop</v>
      </c>
      <c r="E725" s="17">
        <v>0.17199999999999999</v>
      </c>
      <c r="F725" t="s">
        <v>5601</v>
      </c>
      <c r="G725">
        <v>68</v>
      </c>
      <c r="H725" t="s">
        <v>5533</v>
      </c>
      <c r="I725" t="s">
        <v>5608</v>
      </c>
      <c r="J725" s="22">
        <v>45310</v>
      </c>
      <c r="K725">
        <v>1</v>
      </c>
      <c r="L725">
        <v>1</v>
      </c>
      <c r="M725" s="21">
        <f ca="1">LEFT(Music_Data[[#This Row],[Duration_minutes]],3)/60</f>
        <v>2.0499999999999998</v>
      </c>
      <c r="N725" s="17">
        <v>6.1500000000000001E-3</v>
      </c>
      <c r="O725" s="17" t="str">
        <f ca="1">PROPER(Music_Data[[#This Row],[Playlist_subgenre2]])</f>
        <v>Anime</v>
      </c>
    </row>
    <row r="726" spans="1:15">
      <c r="A726" s="17">
        <v>0.182</v>
      </c>
      <c r="B726" s="21">
        <v>136</v>
      </c>
      <c r="C726" s="16">
        <v>0.34899999999999998</v>
      </c>
      <c r="D726" s="16" t="str">
        <f ca="1">PROPER(Music_Data[[#This Row],[Playlist_genre2]])</f>
        <v>Jazz</v>
      </c>
      <c r="E726" s="17">
        <v>0.17799999999999999</v>
      </c>
      <c r="F726" t="s">
        <v>1801</v>
      </c>
      <c r="G726">
        <v>69</v>
      </c>
      <c r="H726" t="s">
        <v>1806</v>
      </c>
      <c r="I726" t="s">
        <v>1805</v>
      </c>
      <c r="J726" s="22">
        <v>19725</v>
      </c>
      <c r="K726">
        <v>1</v>
      </c>
      <c r="L726">
        <v>5</v>
      </c>
      <c r="M726" s="21">
        <f ca="1">LEFT(Music_Data[[#This Row],[Duration_minutes]],3)/60</f>
        <v>3.1833333333333331</v>
      </c>
      <c r="N726" s="17">
        <v>0.92</v>
      </c>
      <c r="O726" s="17" t="str">
        <f ca="1">PROPER(Music_Data[[#This Row],[Playlist_subgenre2]])</f>
        <v>Classic</v>
      </c>
    </row>
    <row r="727" spans="1:15">
      <c r="A727" s="17">
        <v>0.628</v>
      </c>
      <c r="B727" s="21">
        <v>140</v>
      </c>
      <c r="C727" s="16">
        <v>0.66800000000000004</v>
      </c>
      <c r="D727" s="16" t="str">
        <f ca="1">PROPER(Music_Data[[#This Row],[Playlist_genre2]])</f>
        <v>K-Pop</v>
      </c>
      <c r="E727" s="17">
        <v>0.56799999999999995</v>
      </c>
      <c r="F727" t="s">
        <v>254</v>
      </c>
      <c r="G727">
        <v>83</v>
      </c>
      <c r="H727" t="s">
        <v>6276</v>
      </c>
      <c r="I727" t="s">
        <v>6286</v>
      </c>
      <c r="J727" s="22">
        <v>45470</v>
      </c>
      <c r="K727">
        <v>1</v>
      </c>
      <c r="L727">
        <v>8</v>
      </c>
      <c r="M727" s="21">
        <f ca="1">LEFT(Music_Data[[#This Row],[Duration_minutes]],3)/60</f>
        <v>2.2999999999999998</v>
      </c>
      <c r="N727" s="17">
        <v>0.129</v>
      </c>
      <c r="O727" s="17" t="str">
        <f ca="1">PROPER(Music_Data[[#This Row],[Playlist_subgenre2]])</f>
        <v>Modern</v>
      </c>
    </row>
    <row r="728" spans="1:15">
      <c r="A728" s="17">
        <v>0.872</v>
      </c>
      <c r="B728" s="21">
        <v>131</v>
      </c>
      <c r="C728" s="16">
        <v>0.64400000000000002</v>
      </c>
      <c r="D728" s="16" t="str">
        <f ca="1">PROPER(Music_Data[[#This Row],[Playlist_genre2]])</f>
        <v>K-Pop</v>
      </c>
      <c r="E728" s="17">
        <v>0.378</v>
      </c>
      <c r="F728" t="s">
        <v>6291</v>
      </c>
      <c r="G728">
        <v>78</v>
      </c>
      <c r="H728" t="s">
        <v>6276</v>
      </c>
      <c r="I728" t="s">
        <v>6366</v>
      </c>
      <c r="J728" s="22">
        <v>45240</v>
      </c>
      <c r="K728">
        <v>0</v>
      </c>
      <c r="L728">
        <v>6</v>
      </c>
      <c r="M728" s="21">
        <f ca="1">LEFT(Music_Data[[#This Row],[Duration_minutes]],3)/60</f>
        <v>3.5666666666666669</v>
      </c>
      <c r="N728" s="17">
        <v>0.16400000000000001</v>
      </c>
      <c r="O728" s="17" t="str">
        <f ca="1">PROPER(Music_Data[[#This Row],[Playlist_subgenre2]])</f>
        <v>Modern</v>
      </c>
    </row>
    <row r="729" spans="1:15">
      <c r="A729" s="17">
        <v>0.72799999999999998</v>
      </c>
      <c r="B729" s="21">
        <v>140</v>
      </c>
      <c r="C729" s="16">
        <v>0.77400000000000002</v>
      </c>
      <c r="D729" s="16" t="str">
        <f ca="1">PROPER(Music_Data[[#This Row],[Playlist_genre2]])</f>
        <v>K-Pop</v>
      </c>
      <c r="E729" s="17">
        <v>0.46100000000000002</v>
      </c>
      <c r="F729" t="s">
        <v>6335</v>
      </c>
      <c r="G729">
        <v>78</v>
      </c>
      <c r="H729" t="s">
        <v>6276</v>
      </c>
      <c r="I729" t="s">
        <v>6341</v>
      </c>
      <c r="J729" s="22">
        <v>45383</v>
      </c>
      <c r="K729">
        <v>1</v>
      </c>
      <c r="L729">
        <v>2</v>
      </c>
      <c r="M729" s="21">
        <f ca="1">LEFT(Music_Data[[#This Row],[Duration_minutes]],3)/60</f>
        <v>2.8333333333333335</v>
      </c>
      <c r="N729" s="17">
        <v>0.113</v>
      </c>
      <c r="O729" s="17" t="str">
        <f ca="1">PROPER(Music_Data[[#This Row],[Playlist_subgenre2]])</f>
        <v>Modern</v>
      </c>
    </row>
    <row r="730" spans="1:15">
      <c r="A730" s="17">
        <v>0.89500000000000002</v>
      </c>
      <c r="B730" s="21">
        <v>124</v>
      </c>
      <c r="C730" s="16">
        <v>0.80300000000000005</v>
      </c>
      <c r="D730" s="16" t="str">
        <f ca="1">PROPER(Music_Data[[#This Row],[Playlist_genre2]])</f>
        <v>K-Pop</v>
      </c>
      <c r="E730" s="17">
        <v>0.75700000000000001</v>
      </c>
      <c r="F730" t="s">
        <v>6326</v>
      </c>
      <c r="G730">
        <v>78</v>
      </c>
      <c r="H730" t="s">
        <v>6276</v>
      </c>
      <c r="I730" t="s">
        <v>6329</v>
      </c>
      <c r="J730" s="22">
        <v>45436</v>
      </c>
      <c r="K730">
        <v>1</v>
      </c>
      <c r="L730">
        <v>1</v>
      </c>
      <c r="M730" s="21">
        <f ca="1">LEFT(Music_Data[[#This Row],[Duration_minutes]],3)/60</f>
        <v>3.65</v>
      </c>
      <c r="N730" s="17">
        <v>8.1600000000000006E-2</v>
      </c>
      <c r="O730" s="17" t="str">
        <f ca="1">PROPER(Music_Data[[#This Row],[Playlist_subgenre2]])</f>
        <v>Modern</v>
      </c>
    </row>
    <row r="731" spans="1:15">
      <c r="A731" s="17">
        <v>0.78200000000000003</v>
      </c>
      <c r="B731" s="21">
        <v>108</v>
      </c>
      <c r="C731" s="16">
        <v>0.875</v>
      </c>
      <c r="D731" s="16" t="str">
        <f ca="1">PROPER(Music_Data[[#This Row],[Playlist_genre2]])</f>
        <v>K-Pop</v>
      </c>
      <c r="E731" s="17">
        <v>0.90600000000000003</v>
      </c>
      <c r="F731" t="s">
        <v>6318</v>
      </c>
      <c r="G731">
        <v>78</v>
      </c>
      <c r="H731" t="s">
        <v>6276</v>
      </c>
      <c r="I731" t="s">
        <v>6322</v>
      </c>
      <c r="J731" s="22">
        <v>45408</v>
      </c>
      <c r="K731">
        <v>0</v>
      </c>
      <c r="L731">
        <v>5</v>
      </c>
      <c r="M731" s="21">
        <f ca="1">LEFT(Music_Data[[#This Row],[Duration_minutes]],3)/60</f>
        <v>2.7833333333333332</v>
      </c>
      <c r="N731" s="17">
        <v>0.151</v>
      </c>
      <c r="O731" s="17" t="str">
        <f ca="1">PROPER(Music_Data[[#This Row],[Playlist_subgenre2]])</f>
        <v>Modern</v>
      </c>
    </row>
    <row r="732" spans="1:15">
      <c r="A732" s="17">
        <v>0.5</v>
      </c>
      <c r="B732" s="21">
        <v>101</v>
      </c>
      <c r="C732" s="16">
        <v>0.871</v>
      </c>
      <c r="D732" s="16" t="str">
        <f ca="1">PROPER(Music_Data[[#This Row],[Playlist_genre2]])</f>
        <v>K-Pop</v>
      </c>
      <c r="E732" s="17">
        <v>0.76</v>
      </c>
      <c r="F732" t="s">
        <v>6335</v>
      </c>
      <c r="G732">
        <v>75</v>
      </c>
      <c r="H732" t="s">
        <v>6276</v>
      </c>
      <c r="I732" t="s">
        <v>6348</v>
      </c>
      <c r="J732" s="22">
        <v>45383</v>
      </c>
      <c r="K732">
        <v>0</v>
      </c>
      <c r="L732">
        <v>11</v>
      </c>
      <c r="M732" s="21">
        <f ca="1">LEFT(Music_Data[[#This Row],[Duration_minutes]],3)/60</f>
        <v>2.8</v>
      </c>
      <c r="N732" s="17">
        <v>0.32</v>
      </c>
      <c r="O732" s="17" t="str">
        <f ca="1">PROPER(Music_Data[[#This Row],[Playlist_subgenre2]])</f>
        <v>Modern</v>
      </c>
    </row>
    <row r="733" spans="1:15">
      <c r="A733" s="17">
        <v>0.78600000000000003</v>
      </c>
      <c r="B733" s="21">
        <v>919</v>
      </c>
      <c r="C733" s="16">
        <v>0.69499999999999995</v>
      </c>
      <c r="D733" s="16" t="str">
        <f ca="1">PROPER(Music_Data[[#This Row],[Playlist_genre2]])</f>
        <v>K-Pop</v>
      </c>
      <c r="E733" s="17">
        <v>0.46500000000000002</v>
      </c>
      <c r="F733" t="s">
        <v>6291</v>
      </c>
      <c r="G733">
        <v>74</v>
      </c>
      <c r="H733" t="s">
        <v>6276</v>
      </c>
      <c r="I733" t="s">
        <v>6306</v>
      </c>
      <c r="J733" s="22">
        <v>45439</v>
      </c>
      <c r="K733">
        <v>1</v>
      </c>
      <c r="L733">
        <v>9</v>
      </c>
      <c r="M733" s="21">
        <f ca="1">LEFT(Music_Data[[#This Row],[Duration_minutes]],3)/60</f>
        <v>3.2666666666666666</v>
      </c>
      <c r="N733" s="17">
        <v>6.6799999999999998E-2</v>
      </c>
      <c r="O733" s="17" t="str">
        <f ca="1">PROPER(Music_Data[[#This Row],[Playlist_subgenre2]])</f>
        <v>Modern</v>
      </c>
    </row>
    <row r="734" spans="1:15">
      <c r="A734" s="17">
        <v>0.92600000000000005</v>
      </c>
      <c r="B734" s="21">
        <v>105</v>
      </c>
      <c r="C734" s="16">
        <v>0.68200000000000005</v>
      </c>
      <c r="D734" s="16" t="str">
        <f ca="1">PROPER(Music_Data[[#This Row],[Playlist_genre2]])</f>
        <v>K-Pop</v>
      </c>
      <c r="E734" s="17">
        <v>0.86</v>
      </c>
      <c r="F734" t="s">
        <v>6271</v>
      </c>
      <c r="G734">
        <v>73</v>
      </c>
      <c r="H734" t="s">
        <v>6276</v>
      </c>
      <c r="I734" t="s">
        <v>6279</v>
      </c>
      <c r="J734" s="22">
        <v>45457</v>
      </c>
      <c r="K734">
        <v>0</v>
      </c>
      <c r="L734">
        <v>3</v>
      </c>
      <c r="M734" s="21">
        <f ca="1">LEFT(Music_Data[[#This Row],[Duration_minutes]],3)/60</f>
        <v>2.7</v>
      </c>
      <c r="N734" s="17">
        <v>4.0399999999999998E-2</v>
      </c>
      <c r="O734" s="17" t="str">
        <f ca="1">PROPER(Music_Data[[#This Row],[Playlist_subgenre2]])</f>
        <v>Modern</v>
      </c>
    </row>
    <row r="735" spans="1:15">
      <c r="A735" s="17">
        <v>0.747</v>
      </c>
      <c r="B735" s="21">
        <v>120</v>
      </c>
      <c r="C735" s="16">
        <v>0.745</v>
      </c>
      <c r="D735" s="16" t="str">
        <f ca="1">PROPER(Music_Data[[#This Row],[Playlist_genre2]])</f>
        <v>K-Pop</v>
      </c>
      <c r="E735" s="17">
        <v>0.36299999999999999</v>
      </c>
      <c r="F735" t="s">
        <v>6291</v>
      </c>
      <c r="G735">
        <v>72</v>
      </c>
      <c r="H735" t="s">
        <v>6276</v>
      </c>
      <c r="I735" t="s">
        <v>6297</v>
      </c>
      <c r="J735" s="22">
        <v>45439</v>
      </c>
      <c r="K735">
        <v>0</v>
      </c>
      <c r="L735">
        <v>11</v>
      </c>
      <c r="M735" s="21">
        <f ca="1">LEFT(Music_Data[[#This Row],[Duration_minutes]],3)/60</f>
        <v>2.9666666666666668</v>
      </c>
      <c r="N735" s="17">
        <v>7.3000000000000001E-3</v>
      </c>
      <c r="O735" s="17" t="str">
        <f ca="1">PROPER(Music_Data[[#This Row],[Playlist_subgenre2]])</f>
        <v>Modern</v>
      </c>
    </row>
    <row r="736" spans="1:15">
      <c r="A736" s="17">
        <v>0.59699999999999998</v>
      </c>
      <c r="B736" s="21">
        <v>170</v>
      </c>
      <c r="C736" s="16">
        <v>0.77</v>
      </c>
      <c r="D736" s="16" t="str">
        <f ca="1">PROPER(Music_Data[[#This Row],[Playlist_genre2]])</f>
        <v>K-Pop</v>
      </c>
      <c r="E736" s="17">
        <v>0.875</v>
      </c>
      <c r="F736" t="s">
        <v>6310</v>
      </c>
      <c r="G736">
        <v>72</v>
      </c>
      <c r="H736" t="s">
        <v>6276</v>
      </c>
      <c r="I736" t="s">
        <v>6316</v>
      </c>
      <c r="J736" s="22">
        <v>45464</v>
      </c>
      <c r="K736">
        <v>1</v>
      </c>
      <c r="L736">
        <v>1</v>
      </c>
      <c r="M736" s="21">
        <f ca="1">LEFT(Music_Data[[#This Row],[Duration_minutes]],3)/60</f>
        <v>3.15</v>
      </c>
      <c r="N736" s="17">
        <v>0.53</v>
      </c>
      <c r="O736" s="17" t="str">
        <f ca="1">PROPER(Music_Data[[#This Row],[Playlist_subgenre2]])</f>
        <v>Modern</v>
      </c>
    </row>
    <row r="737" spans="1:15">
      <c r="A737" s="17">
        <v>0.77400000000000002</v>
      </c>
      <c r="B737" s="21">
        <v>109</v>
      </c>
      <c r="C737" s="16">
        <v>0.80100000000000005</v>
      </c>
      <c r="D737" s="16" t="str">
        <f ca="1">PROPER(Music_Data[[#This Row],[Playlist_genre2]])</f>
        <v>K-Pop</v>
      </c>
      <c r="E737" s="17">
        <v>0.38300000000000001</v>
      </c>
      <c r="F737" t="s">
        <v>6351</v>
      </c>
      <c r="G737">
        <v>69</v>
      </c>
      <c r="H737" t="s">
        <v>6276</v>
      </c>
      <c r="I737" t="s">
        <v>6357</v>
      </c>
      <c r="J737" s="22">
        <v>45376</v>
      </c>
      <c r="K737">
        <v>1</v>
      </c>
      <c r="L737">
        <v>1</v>
      </c>
      <c r="M737" s="21">
        <f ca="1">LEFT(Music_Data[[#This Row],[Duration_minutes]],3)/60</f>
        <v>3.1333333333333333</v>
      </c>
      <c r="N737" s="17">
        <v>8.7100000000000007E-3</v>
      </c>
      <c r="O737" s="17" t="str">
        <f ca="1">PROPER(Music_Data[[#This Row],[Playlist_subgenre2]])</f>
        <v>Modern</v>
      </c>
    </row>
    <row r="738" spans="1:15">
      <c r="A738" s="17">
        <v>0.55100000000000005</v>
      </c>
      <c r="B738" s="21">
        <v>113</v>
      </c>
      <c r="C738" s="16">
        <v>0.748</v>
      </c>
      <c r="D738" s="16" t="str">
        <f ca="1">PROPER(Music_Data[[#This Row],[Playlist_genre2]])</f>
        <v>Korean</v>
      </c>
      <c r="E738" s="17">
        <v>0.65</v>
      </c>
      <c r="F738" t="s">
        <v>12300</v>
      </c>
      <c r="G738">
        <v>74</v>
      </c>
      <c r="H738" t="s">
        <v>12304</v>
      </c>
      <c r="I738" t="s">
        <v>12307</v>
      </c>
      <c r="J738" s="22">
        <v>36487</v>
      </c>
      <c r="K738">
        <v>1</v>
      </c>
      <c r="L738">
        <v>1</v>
      </c>
      <c r="M738" s="21">
        <f ca="1">LEFT(Music_Data[[#This Row],[Duration_minutes]],3)/60</f>
        <v>4.3666666666666663</v>
      </c>
      <c r="N738" s="17">
        <v>0.24299999999999999</v>
      </c>
      <c r="O738" s="17" t="str">
        <f ca="1">PROPER(Music_Data[[#This Row],[Playlist_subgenre2]])</f>
        <v>Drama</v>
      </c>
    </row>
    <row r="739" spans="1:15">
      <c r="A739" s="17">
        <v>0.61399999999999999</v>
      </c>
      <c r="B739" s="21">
        <v>136</v>
      </c>
      <c r="C739" s="16">
        <v>0.55300000000000005</v>
      </c>
      <c r="D739" s="16" t="str">
        <f ca="1">PROPER(Music_Data[[#This Row],[Playlist_genre2]])</f>
        <v>Korean</v>
      </c>
      <c r="E739" s="17">
        <v>0.34499999999999997</v>
      </c>
      <c r="F739" t="s">
        <v>9922</v>
      </c>
      <c r="G739">
        <v>71</v>
      </c>
      <c r="H739" t="s">
        <v>12304</v>
      </c>
      <c r="I739" t="s">
        <v>9928</v>
      </c>
      <c r="J739" s="22">
        <v>31062</v>
      </c>
      <c r="K739">
        <v>1</v>
      </c>
      <c r="L739">
        <v>1</v>
      </c>
      <c r="M739" s="21">
        <f ca="1">LEFT(Music_Data[[#This Row],[Duration_minutes]],3)/60</f>
        <v>4.0333333333333332</v>
      </c>
      <c r="N739" s="17">
        <v>0.76400000000000001</v>
      </c>
      <c r="O739" s="17" t="str">
        <f ca="1">PROPER(Music_Data[[#This Row],[Playlist_subgenre2]])</f>
        <v>Drama</v>
      </c>
    </row>
    <row r="740" spans="1:15">
      <c r="A740" s="17">
        <v>0.50600000000000001</v>
      </c>
      <c r="B740" s="21">
        <v>133</v>
      </c>
      <c r="C740" s="16">
        <v>0.46899999999999997</v>
      </c>
      <c r="D740" s="16" t="str">
        <f ca="1">PROPER(Music_Data[[#This Row],[Playlist_genre2]])</f>
        <v>Korean</v>
      </c>
      <c r="E740" s="17">
        <v>0.217</v>
      </c>
      <c r="F740" t="s">
        <v>12320</v>
      </c>
      <c r="G740">
        <v>70</v>
      </c>
      <c r="H740" t="s">
        <v>12304</v>
      </c>
      <c r="I740" t="s">
        <v>12326</v>
      </c>
      <c r="J740" s="22">
        <v>45390</v>
      </c>
      <c r="K740">
        <v>1</v>
      </c>
      <c r="L740">
        <v>0</v>
      </c>
      <c r="M740" s="21">
        <f ca="1">LEFT(Music_Data[[#This Row],[Duration_minutes]],3)/60</f>
        <v>3.8833333333333333</v>
      </c>
      <c r="N740" s="17">
        <v>0.58699999999999997</v>
      </c>
      <c r="O740" s="17" t="str">
        <f ca="1">PROPER(Music_Data[[#This Row],[Playlist_subgenre2]])</f>
        <v>Drama</v>
      </c>
    </row>
    <row r="741" spans="1:15">
      <c r="A741" s="17">
        <v>0.52600000000000002</v>
      </c>
      <c r="B741" s="21">
        <v>124</v>
      </c>
      <c r="C741" s="16">
        <v>0.55800000000000005</v>
      </c>
      <c r="D741" s="16" t="str">
        <f ca="1">PROPER(Music_Data[[#This Row],[Playlist_genre2]])</f>
        <v>Korean</v>
      </c>
      <c r="E741" s="17">
        <v>0.20200000000000001</v>
      </c>
      <c r="F741" t="s">
        <v>12312</v>
      </c>
      <c r="G741">
        <v>69</v>
      </c>
      <c r="H741" t="s">
        <v>12304</v>
      </c>
      <c r="I741" t="s">
        <v>12318</v>
      </c>
      <c r="J741" s="22">
        <v>42707</v>
      </c>
      <c r="K741">
        <v>0</v>
      </c>
      <c r="L741">
        <v>0</v>
      </c>
      <c r="M741" s="21">
        <f ca="1">LEFT(Music_Data[[#This Row],[Duration_minutes]],3)/60</f>
        <v>3.2</v>
      </c>
      <c r="N741" s="17">
        <v>0.43099999999999999</v>
      </c>
      <c r="O741" s="17" t="str">
        <f ca="1">PROPER(Music_Data[[#This Row],[Playlist_subgenre2]])</f>
        <v>Drama</v>
      </c>
    </row>
    <row r="742" spans="1:15">
      <c r="A742" s="17">
        <v>0.32600000000000001</v>
      </c>
      <c r="B742" s="21">
        <v>134</v>
      </c>
      <c r="C742" s="16">
        <v>0.46</v>
      </c>
      <c r="D742" s="16" t="str">
        <f ca="1">PROPER(Music_Data[[#This Row],[Playlist_genre2]])</f>
        <v>Korean</v>
      </c>
      <c r="E742" s="17">
        <v>0.214</v>
      </c>
      <c r="F742" t="s">
        <v>12344</v>
      </c>
      <c r="G742">
        <v>69</v>
      </c>
      <c r="H742" t="s">
        <v>12304</v>
      </c>
      <c r="I742" t="s">
        <v>12350</v>
      </c>
      <c r="J742" s="22">
        <v>45375</v>
      </c>
      <c r="K742">
        <v>1</v>
      </c>
      <c r="L742">
        <v>4</v>
      </c>
      <c r="M742" s="21">
        <f ca="1">LEFT(Music_Data[[#This Row],[Duration_minutes]],3)/60</f>
        <v>4.0666666666666664</v>
      </c>
      <c r="N742" s="17">
        <v>0.76300000000000001</v>
      </c>
      <c r="O742" s="17" t="str">
        <f ca="1">PROPER(Music_Data[[#This Row],[Playlist_subgenre2]])</f>
        <v>Drama</v>
      </c>
    </row>
    <row r="743" spans="1:15">
      <c r="A743" s="17">
        <v>0.38400000000000001</v>
      </c>
      <c r="B743" s="21">
        <v>139</v>
      </c>
      <c r="C743" s="16">
        <v>0.437</v>
      </c>
      <c r="D743" s="16" t="str">
        <f ca="1">PROPER(Music_Data[[#This Row],[Playlist_genre2]])</f>
        <v>Korean</v>
      </c>
      <c r="E743" s="17">
        <v>0.18099999999999999</v>
      </c>
      <c r="F743" t="s">
        <v>7249</v>
      </c>
      <c r="G743">
        <v>69</v>
      </c>
      <c r="H743" t="s">
        <v>12304</v>
      </c>
      <c r="I743" t="s">
        <v>12333</v>
      </c>
      <c r="J743" s="22">
        <v>44554</v>
      </c>
      <c r="K743">
        <v>1</v>
      </c>
      <c r="L743">
        <v>5</v>
      </c>
      <c r="M743" s="21">
        <f ca="1">LEFT(Music_Data[[#This Row],[Duration_minutes]],3)/60</f>
        <v>3.4833333333333334</v>
      </c>
      <c r="N743" s="17">
        <v>0.69899999999999995</v>
      </c>
      <c r="O743" s="17" t="str">
        <f ca="1">PROPER(Music_Data[[#This Row],[Playlist_subgenre2]])</f>
        <v>Drama</v>
      </c>
    </row>
    <row r="744" spans="1:15">
      <c r="A744" s="17">
        <v>0.55700000000000005</v>
      </c>
      <c r="B744" s="21">
        <v>114</v>
      </c>
      <c r="C744" s="16">
        <v>0.81499999999999995</v>
      </c>
      <c r="D744" s="16" t="str">
        <f ca="1">PROPER(Music_Data[[#This Row],[Playlist_genre2]])</f>
        <v>Korean</v>
      </c>
      <c r="E744" s="17">
        <v>0.48199999999999998</v>
      </c>
      <c r="F744" t="s">
        <v>12336</v>
      </c>
      <c r="G744">
        <v>69</v>
      </c>
      <c r="H744" t="s">
        <v>12304</v>
      </c>
      <c r="I744" t="s">
        <v>12342</v>
      </c>
      <c r="J744" s="22">
        <v>45536</v>
      </c>
      <c r="K744">
        <v>1</v>
      </c>
      <c r="L744">
        <v>5</v>
      </c>
      <c r="M744" s="21">
        <f ca="1">LEFT(Music_Data[[#This Row],[Duration_minutes]],3)/60</f>
        <v>3.3666666666666667</v>
      </c>
      <c r="N744" s="17">
        <v>0.109</v>
      </c>
      <c r="O744" s="17" t="str">
        <f ca="1">PROPER(Music_Data[[#This Row],[Playlist_subgenre2]])</f>
        <v>Drama</v>
      </c>
    </row>
    <row r="745" spans="1:15">
      <c r="A745" s="17">
        <v>0.76</v>
      </c>
      <c r="B745" s="21">
        <v>130</v>
      </c>
      <c r="C745" s="16">
        <v>0.51200000000000001</v>
      </c>
      <c r="D745" s="16" t="str">
        <f ca="1">PROPER(Music_Data[[#This Row],[Playlist_genre2]])</f>
        <v>Korean</v>
      </c>
      <c r="E745" s="17">
        <v>0.495</v>
      </c>
      <c r="F745" t="s">
        <v>12352</v>
      </c>
      <c r="G745">
        <v>68</v>
      </c>
      <c r="H745" t="s">
        <v>12304</v>
      </c>
      <c r="I745" t="s">
        <v>12355</v>
      </c>
      <c r="J745" s="22">
        <v>44603</v>
      </c>
      <c r="K745">
        <v>0</v>
      </c>
      <c r="L745">
        <v>2</v>
      </c>
      <c r="M745" s="21">
        <f ca="1">LEFT(Music_Data[[#This Row],[Duration_minutes]],3)/60</f>
        <v>3.5</v>
      </c>
      <c r="N745" s="17">
        <v>0.29899999999999999</v>
      </c>
      <c r="O745" s="17" t="str">
        <f ca="1">PROPER(Music_Data[[#This Row],[Playlist_subgenre2]])</f>
        <v>Drama</v>
      </c>
    </row>
    <row r="746" spans="1:15">
      <c r="A746" s="17">
        <v>0.66800000000000004</v>
      </c>
      <c r="B746" s="21">
        <v>128</v>
      </c>
      <c r="C746" s="16">
        <v>0.92400000000000004</v>
      </c>
      <c r="D746" s="16" t="str">
        <f ca="1">PROPER(Music_Data[[#This Row],[Playlist_genre2]])</f>
        <v>Latin</v>
      </c>
      <c r="E746" s="17">
        <v>0.78700000000000003</v>
      </c>
      <c r="F746" t="s">
        <v>541</v>
      </c>
      <c r="G746">
        <v>93</v>
      </c>
      <c r="H746" t="s">
        <v>3030</v>
      </c>
      <c r="I746" t="s">
        <v>545</v>
      </c>
      <c r="J746" s="22">
        <v>45464</v>
      </c>
      <c r="K746">
        <v>1</v>
      </c>
      <c r="L746">
        <v>11</v>
      </c>
      <c r="M746" s="21">
        <f ca="1">LEFT(Music_Data[[#This Row],[Duration_minutes]],3)/60</f>
        <v>3.25</v>
      </c>
      <c r="N746" s="17">
        <v>0.44600000000000001</v>
      </c>
      <c r="O746" s="17" t="str">
        <f ca="1">PROPER(Music_Data[[#This Row],[Playlist_subgenre2]])</f>
        <v>Modern</v>
      </c>
    </row>
    <row r="747" spans="1:15">
      <c r="A747" s="17">
        <v>0.66800000000000004</v>
      </c>
      <c r="B747" s="21">
        <v>128</v>
      </c>
      <c r="C747" s="16">
        <v>0.92400000000000004</v>
      </c>
      <c r="D747" s="16" t="str">
        <f ca="1">PROPER(Music_Data[[#This Row],[Playlist_genre2]])</f>
        <v>Latin</v>
      </c>
      <c r="E747" s="17">
        <v>0.78700000000000003</v>
      </c>
      <c r="F747" t="s">
        <v>541</v>
      </c>
      <c r="G747">
        <v>93</v>
      </c>
      <c r="H747" t="s">
        <v>10614</v>
      </c>
      <c r="I747" t="s">
        <v>545</v>
      </c>
      <c r="J747" s="22">
        <v>45464</v>
      </c>
      <c r="K747">
        <v>1</v>
      </c>
      <c r="L747">
        <v>11</v>
      </c>
      <c r="M747" s="21">
        <f ca="1">LEFT(Music_Data[[#This Row],[Duration_minutes]],3)/60</f>
        <v>3.25</v>
      </c>
      <c r="N747" s="17">
        <v>0.44600000000000001</v>
      </c>
      <c r="O747" s="17" t="str">
        <f ca="1">PROPER(Music_Data[[#This Row],[Playlist_subgenre2]])</f>
        <v>Reggaeton</v>
      </c>
    </row>
    <row r="748" spans="1:15">
      <c r="A748" s="17">
        <v>0.65100000000000002</v>
      </c>
      <c r="B748" s="21">
        <v>112</v>
      </c>
      <c r="C748" s="16">
        <v>0.69399999999999995</v>
      </c>
      <c r="D748" s="16" t="str">
        <f ca="1">PROPER(Music_Data[[#This Row],[Playlist_genre2]])</f>
        <v>Latin</v>
      </c>
      <c r="E748" s="17">
        <v>0.47099999999999997</v>
      </c>
      <c r="F748" t="s">
        <v>425</v>
      </c>
      <c r="G748">
        <v>93</v>
      </c>
      <c r="H748" t="s">
        <v>3030</v>
      </c>
      <c r="I748" t="s">
        <v>429</v>
      </c>
      <c r="J748" s="22">
        <v>45561</v>
      </c>
      <c r="K748">
        <v>1</v>
      </c>
      <c r="L748">
        <v>6</v>
      </c>
      <c r="M748" s="21">
        <f ca="1">LEFT(Music_Data[[#This Row],[Duration_minutes]],3)/60</f>
        <v>3.75</v>
      </c>
      <c r="N748" s="17">
        <v>0.496</v>
      </c>
      <c r="O748" s="17" t="str">
        <f ca="1">PROPER(Music_Data[[#This Row],[Playlist_subgenre2]])</f>
        <v>Modern</v>
      </c>
    </row>
    <row r="749" spans="1:15">
      <c r="A749" s="17">
        <v>0.68100000000000005</v>
      </c>
      <c r="B749" s="21">
        <v>155</v>
      </c>
      <c r="C749" s="16">
        <v>0.56000000000000005</v>
      </c>
      <c r="D749" s="16" t="str">
        <f ca="1">PROPER(Music_Data[[#This Row],[Playlist_genre2]])</f>
        <v>Latin</v>
      </c>
      <c r="E749" s="17">
        <v>0.38800000000000001</v>
      </c>
      <c r="F749" t="s">
        <v>584</v>
      </c>
      <c r="G749">
        <v>89</v>
      </c>
      <c r="H749" t="s">
        <v>3030</v>
      </c>
      <c r="I749" t="s">
        <v>591</v>
      </c>
      <c r="J749" s="22">
        <v>45555</v>
      </c>
      <c r="K749">
        <v>0</v>
      </c>
      <c r="L749">
        <v>6</v>
      </c>
      <c r="M749" s="21">
        <f ca="1">LEFT(Music_Data[[#This Row],[Duration_minutes]],3)/60</f>
        <v>3.7166666666666668</v>
      </c>
      <c r="N749" s="17">
        <v>0.10299999999999999</v>
      </c>
      <c r="O749" s="17" t="str">
        <f ca="1">PROPER(Music_Data[[#This Row],[Playlist_subgenre2]])</f>
        <v>Modern</v>
      </c>
    </row>
    <row r="750" spans="1:15">
      <c r="A750" s="17">
        <v>0.68899999999999995</v>
      </c>
      <c r="B750" s="21">
        <v>120</v>
      </c>
      <c r="C750" s="16">
        <v>0.72399999999999998</v>
      </c>
      <c r="D750" s="16" t="str">
        <f ca="1">PROPER(Music_Data[[#This Row],[Playlist_genre2]])</f>
        <v>Latin</v>
      </c>
      <c r="E750" s="17">
        <v>0.93600000000000005</v>
      </c>
      <c r="F750" t="s">
        <v>3217</v>
      </c>
      <c r="G750">
        <v>89</v>
      </c>
      <c r="H750" t="s">
        <v>3030</v>
      </c>
      <c r="I750" t="s">
        <v>3224</v>
      </c>
      <c r="J750" s="22">
        <v>45526</v>
      </c>
      <c r="K750">
        <v>0</v>
      </c>
      <c r="L750">
        <v>7</v>
      </c>
      <c r="M750" s="21">
        <f ca="1">LEFT(Music_Data[[#This Row],[Duration_minutes]],3)/60</f>
        <v>2.4333333333333331</v>
      </c>
      <c r="N750" s="17">
        <v>0.57299999999999995</v>
      </c>
      <c r="O750" s="17" t="str">
        <f ca="1">PROPER(Music_Data[[#This Row],[Playlist_subgenre2]])</f>
        <v>Modern</v>
      </c>
    </row>
    <row r="751" spans="1:15">
      <c r="A751" s="17">
        <v>0.86</v>
      </c>
      <c r="B751" s="21">
        <v>100</v>
      </c>
      <c r="C751" s="16">
        <v>0.77400000000000002</v>
      </c>
      <c r="D751" s="16" t="str">
        <f ca="1">PROPER(Music_Data[[#This Row],[Playlist_genre2]])</f>
        <v>Latin</v>
      </c>
      <c r="E751" s="17">
        <v>0.44600000000000001</v>
      </c>
      <c r="F751" t="s">
        <v>11306</v>
      </c>
      <c r="G751">
        <v>88</v>
      </c>
      <c r="H751" t="s">
        <v>10614</v>
      </c>
      <c r="I751" t="s">
        <v>11311</v>
      </c>
      <c r="J751" s="22">
        <v>45261</v>
      </c>
      <c r="K751">
        <v>0</v>
      </c>
      <c r="L751">
        <v>7</v>
      </c>
      <c r="M751" s="21">
        <f ca="1">LEFT(Music_Data[[#This Row],[Duration_minutes]],3)/60</f>
        <v>3.2666666666666666</v>
      </c>
      <c r="N751" s="17">
        <v>0.13100000000000001</v>
      </c>
      <c r="O751" s="17" t="str">
        <f ca="1">PROPER(Music_Data[[#This Row],[Playlist_subgenre2]])</f>
        <v>Reggaeton</v>
      </c>
    </row>
    <row r="752" spans="1:15">
      <c r="A752" s="17">
        <v>0.48199999999999998</v>
      </c>
      <c r="B752" s="21">
        <v>100</v>
      </c>
      <c r="C752" s="16">
        <v>0.69</v>
      </c>
      <c r="D752" s="16" t="str">
        <f ca="1">PROPER(Music_Data[[#This Row],[Playlist_genre2]])</f>
        <v>Latin</v>
      </c>
      <c r="E752" s="17">
        <v>0.35599999999999998</v>
      </c>
      <c r="F752" t="s">
        <v>3064</v>
      </c>
      <c r="G752">
        <v>88</v>
      </c>
      <c r="H752" t="s">
        <v>3030</v>
      </c>
      <c r="I752" t="s">
        <v>3070</v>
      </c>
      <c r="J752" s="22">
        <v>45498</v>
      </c>
      <c r="K752">
        <v>0</v>
      </c>
      <c r="L752">
        <v>7</v>
      </c>
      <c r="M752" s="21">
        <f ca="1">LEFT(Music_Data[[#This Row],[Duration_minutes]],3)/60</f>
        <v>2.4833333333333334</v>
      </c>
      <c r="N752" s="17">
        <v>0.52300000000000002</v>
      </c>
      <c r="O752" s="17" t="str">
        <f ca="1">PROPER(Music_Data[[#This Row],[Playlist_subgenre2]])</f>
        <v>Modern</v>
      </c>
    </row>
    <row r="753" spans="1:15">
      <c r="A753" s="17">
        <v>0.48199999999999998</v>
      </c>
      <c r="B753" s="21">
        <v>100</v>
      </c>
      <c r="C753" s="16">
        <v>0.69</v>
      </c>
      <c r="D753" s="16" t="str">
        <f ca="1">PROPER(Music_Data[[#This Row],[Playlist_genre2]])</f>
        <v>Latin</v>
      </c>
      <c r="E753" s="17">
        <v>0.35599999999999998</v>
      </c>
      <c r="F753" t="s">
        <v>3064</v>
      </c>
      <c r="G753">
        <v>88</v>
      </c>
      <c r="H753" t="s">
        <v>10614</v>
      </c>
      <c r="I753" t="s">
        <v>3070</v>
      </c>
      <c r="J753" s="22">
        <v>45498</v>
      </c>
      <c r="K753">
        <v>0</v>
      </c>
      <c r="L753">
        <v>7</v>
      </c>
      <c r="M753" s="21">
        <f ca="1">LEFT(Music_Data[[#This Row],[Duration_minutes]],3)/60</f>
        <v>2.4833333333333334</v>
      </c>
      <c r="N753" s="17">
        <v>0.52300000000000002</v>
      </c>
      <c r="O753" s="17" t="str">
        <f ca="1">PROPER(Music_Data[[#This Row],[Playlist_subgenre2]])</f>
        <v>Reggaeton</v>
      </c>
    </row>
    <row r="754" spans="1:15">
      <c r="A754" s="17">
        <v>0.51300000000000001</v>
      </c>
      <c r="B754" s="21">
        <v>109</v>
      </c>
      <c r="C754" s="16">
        <v>0.745</v>
      </c>
      <c r="D754" s="16" t="str">
        <f ca="1">PROPER(Music_Data[[#This Row],[Playlist_genre2]])</f>
        <v>Latin</v>
      </c>
      <c r="E754" s="17">
        <v>0.92900000000000005</v>
      </c>
      <c r="F754" t="s">
        <v>3332</v>
      </c>
      <c r="G754">
        <v>88</v>
      </c>
      <c r="H754" t="s">
        <v>3030</v>
      </c>
      <c r="I754" t="s">
        <v>3337</v>
      </c>
      <c r="J754" s="22">
        <v>45526</v>
      </c>
      <c r="K754">
        <v>1</v>
      </c>
      <c r="L754">
        <v>1</v>
      </c>
      <c r="M754" s="21">
        <f ca="1">LEFT(Music_Data[[#This Row],[Duration_minutes]],3)/60</f>
        <v>2.5666666666666669</v>
      </c>
      <c r="N754" s="17">
        <v>0.78300000000000003</v>
      </c>
      <c r="O754" s="17" t="str">
        <f ca="1">PROPER(Music_Data[[#This Row],[Playlist_subgenre2]])</f>
        <v>Modern</v>
      </c>
    </row>
    <row r="755" spans="1:15">
      <c r="A755" s="17">
        <v>0.499</v>
      </c>
      <c r="B755" s="21">
        <v>999</v>
      </c>
      <c r="C755" s="16">
        <v>0.79100000000000004</v>
      </c>
      <c r="D755" s="16" t="str">
        <f ca="1">PROPER(Music_Data[[#This Row],[Playlist_genre2]])</f>
        <v>Latin</v>
      </c>
      <c r="E755" s="17">
        <v>0.66900000000000004</v>
      </c>
      <c r="F755" t="s">
        <v>11260</v>
      </c>
      <c r="G755">
        <v>87</v>
      </c>
      <c r="H755" t="s">
        <v>10614</v>
      </c>
      <c r="I755" t="s">
        <v>11263</v>
      </c>
      <c r="J755" s="22">
        <v>45324</v>
      </c>
      <c r="K755">
        <v>0</v>
      </c>
      <c r="L755">
        <v>8</v>
      </c>
      <c r="M755" s="21">
        <f ca="1">LEFT(Music_Data[[#This Row],[Duration_minutes]],3)/60</f>
        <v>3.7</v>
      </c>
      <c r="N755" s="17">
        <v>0.44600000000000001</v>
      </c>
      <c r="O755" s="17" t="str">
        <f ca="1">PROPER(Music_Data[[#This Row],[Playlist_subgenre2]])</f>
        <v>Reggaeton</v>
      </c>
    </row>
    <row r="756" spans="1:15">
      <c r="A756" s="17">
        <v>0.58099999999999996</v>
      </c>
      <c r="B756" s="21">
        <v>999</v>
      </c>
      <c r="C756" s="16">
        <v>0.80500000000000005</v>
      </c>
      <c r="D756" s="16" t="str">
        <f ca="1">PROPER(Music_Data[[#This Row],[Playlist_genre2]])</f>
        <v>Latin</v>
      </c>
      <c r="E756" s="17">
        <v>0.52800000000000002</v>
      </c>
      <c r="F756" t="s">
        <v>3034</v>
      </c>
      <c r="G756">
        <v>86</v>
      </c>
      <c r="H756" t="s">
        <v>3030</v>
      </c>
      <c r="I756" t="s">
        <v>3040</v>
      </c>
      <c r="J756" s="22">
        <v>45547</v>
      </c>
      <c r="K756">
        <v>0</v>
      </c>
      <c r="L756">
        <v>6</v>
      </c>
      <c r="M756" s="21">
        <f ca="1">LEFT(Music_Data[[#This Row],[Duration_minutes]],3)/60</f>
        <v>2.95</v>
      </c>
      <c r="N756" s="17">
        <v>3.0300000000000001E-2</v>
      </c>
      <c r="O756" s="17" t="str">
        <f ca="1">PROPER(Music_Data[[#This Row],[Playlist_subgenre2]])</f>
        <v>Modern</v>
      </c>
    </row>
    <row r="757" spans="1:15">
      <c r="A757" s="17">
        <v>0.78300000000000003</v>
      </c>
      <c r="B757" s="21">
        <v>103</v>
      </c>
      <c r="C757" s="16">
        <v>0.70499999999999996</v>
      </c>
      <c r="D757" s="16" t="str">
        <f ca="1">PROPER(Music_Data[[#This Row],[Playlist_genre2]])</f>
        <v>Latin</v>
      </c>
      <c r="E757" s="17">
        <v>0.45400000000000001</v>
      </c>
      <c r="F757" t="s">
        <v>3259</v>
      </c>
      <c r="G757">
        <v>86</v>
      </c>
      <c r="H757" t="s">
        <v>3030</v>
      </c>
      <c r="I757" t="s">
        <v>3263</v>
      </c>
      <c r="J757" s="22">
        <v>45519</v>
      </c>
      <c r="K757">
        <v>0</v>
      </c>
      <c r="L757">
        <v>9</v>
      </c>
      <c r="M757" s="21">
        <f ca="1">LEFT(Music_Data[[#This Row],[Duration_minutes]],3)/60</f>
        <v>2.8666666666666667</v>
      </c>
      <c r="N757" s="17">
        <v>0.13800000000000001</v>
      </c>
      <c r="O757" s="17" t="str">
        <f ca="1">PROPER(Music_Data[[#This Row],[Playlist_subgenre2]])</f>
        <v>Modern</v>
      </c>
    </row>
    <row r="758" spans="1:15">
      <c r="A758" s="17">
        <v>0.752</v>
      </c>
      <c r="B758" s="21">
        <v>100</v>
      </c>
      <c r="C758" s="16">
        <v>0.84099999999999997</v>
      </c>
      <c r="D758" s="16" t="str">
        <f ca="1">PROPER(Music_Data[[#This Row],[Playlist_genre2]])</f>
        <v>Latin</v>
      </c>
      <c r="E758" s="17">
        <v>0.67</v>
      </c>
      <c r="F758" t="s">
        <v>3175</v>
      </c>
      <c r="G758">
        <v>86</v>
      </c>
      <c r="H758" t="s">
        <v>3030</v>
      </c>
      <c r="I758" t="s">
        <v>3178</v>
      </c>
      <c r="J758" s="22">
        <v>45560</v>
      </c>
      <c r="K758">
        <v>1</v>
      </c>
      <c r="L758">
        <v>2</v>
      </c>
      <c r="M758" s="21">
        <f ca="1">LEFT(Music_Data[[#This Row],[Duration_minutes]],3)/60</f>
        <v>3.5666666666666669</v>
      </c>
      <c r="N758" s="17">
        <v>0.16700000000000001</v>
      </c>
      <c r="O758" s="17" t="str">
        <f ca="1">PROPER(Music_Data[[#This Row],[Playlist_subgenre2]])</f>
        <v>Modern</v>
      </c>
    </row>
    <row r="759" spans="1:15">
      <c r="A759" s="17">
        <v>0.626</v>
      </c>
      <c r="B759" s="21">
        <v>100</v>
      </c>
      <c r="C759" s="16">
        <v>0.76300000000000001</v>
      </c>
      <c r="D759" s="16" t="str">
        <f ca="1">PROPER(Music_Data[[#This Row],[Playlist_genre2]])</f>
        <v>Latin</v>
      </c>
      <c r="E759" s="17">
        <v>0.78</v>
      </c>
      <c r="F759" t="s">
        <v>11252</v>
      </c>
      <c r="G759">
        <v>85</v>
      </c>
      <c r="H759" t="s">
        <v>10614</v>
      </c>
      <c r="I759" t="s">
        <v>11255</v>
      </c>
      <c r="J759" s="22">
        <v>45435</v>
      </c>
      <c r="K759">
        <v>0</v>
      </c>
      <c r="L759">
        <v>5</v>
      </c>
      <c r="M759" s="21">
        <f ca="1">LEFT(Music_Data[[#This Row],[Duration_minutes]],3)/60</f>
        <v>2.6</v>
      </c>
      <c r="N759" s="17">
        <v>8.5900000000000004E-2</v>
      </c>
      <c r="O759" s="17" t="str">
        <f ca="1">PROPER(Music_Data[[#This Row],[Playlist_subgenre2]])</f>
        <v>Reggaeton</v>
      </c>
    </row>
    <row r="760" spans="1:15">
      <c r="A760" s="17">
        <v>0.35599999999999998</v>
      </c>
      <c r="B760" s="21">
        <v>169</v>
      </c>
      <c r="C760" s="16">
        <v>0.52900000000000003</v>
      </c>
      <c r="D760" s="16" t="str">
        <f ca="1">PROPER(Music_Data[[#This Row],[Playlist_genre2]])</f>
        <v>Latin</v>
      </c>
      <c r="E760" s="17">
        <v>0.65900000000000003</v>
      </c>
      <c r="F760" t="s">
        <v>13171</v>
      </c>
      <c r="G760">
        <v>85</v>
      </c>
      <c r="H760" t="s">
        <v>3030</v>
      </c>
      <c r="I760" t="s">
        <v>3365</v>
      </c>
      <c r="J760" s="22">
        <v>45540</v>
      </c>
      <c r="K760">
        <v>1</v>
      </c>
      <c r="L760">
        <v>3</v>
      </c>
      <c r="M760" s="21">
        <f ca="1">LEFT(Music_Data[[#This Row],[Duration_minutes]],3)/60</f>
        <v>2.5</v>
      </c>
      <c r="N760" s="17">
        <v>0.28999999999999998</v>
      </c>
      <c r="O760" s="17" t="str">
        <f ca="1">PROPER(Music_Data[[#This Row],[Playlist_subgenre2]])</f>
        <v>Modern</v>
      </c>
    </row>
    <row r="761" spans="1:15">
      <c r="A761" s="17">
        <v>0.76400000000000001</v>
      </c>
      <c r="B761" s="21">
        <v>148</v>
      </c>
      <c r="C761" s="16">
        <v>0.66600000000000004</v>
      </c>
      <c r="D761" s="16" t="str">
        <f ca="1">PROPER(Music_Data[[#This Row],[Playlist_genre2]])</f>
        <v>Latin</v>
      </c>
      <c r="E761" s="17">
        <v>0.72899999999999998</v>
      </c>
      <c r="F761" t="s">
        <v>3285</v>
      </c>
      <c r="G761">
        <v>85</v>
      </c>
      <c r="H761" t="s">
        <v>3030</v>
      </c>
      <c r="I761" t="s">
        <v>3290</v>
      </c>
      <c r="J761" s="22">
        <v>45526</v>
      </c>
      <c r="K761">
        <v>0</v>
      </c>
      <c r="L761">
        <v>4</v>
      </c>
      <c r="M761" s="21">
        <f ca="1">LEFT(Music_Data[[#This Row],[Duration_minutes]],3)/60</f>
        <v>2.7166666666666668</v>
      </c>
      <c r="N761" s="17">
        <v>0.36599999999999999</v>
      </c>
      <c r="O761" s="17" t="str">
        <f ca="1">PROPER(Music_Data[[#This Row],[Playlist_subgenre2]])</f>
        <v>Modern</v>
      </c>
    </row>
    <row r="762" spans="1:15">
      <c r="A762" s="17">
        <v>0.77800000000000002</v>
      </c>
      <c r="B762" s="21">
        <v>960</v>
      </c>
      <c r="C762" s="16">
        <v>0.91100000000000003</v>
      </c>
      <c r="D762" s="16" t="str">
        <f ca="1">PROPER(Music_Data[[#This Row],[Playlist_genre2]])</f>
        <v>Latin</v>
      </c>
      <c r="E762" s="17">
        <v>0.34499999999999997</v>
      </c>
      <c r="F762" t="s">
        <v>6635</v>
      </c>
      <c r="G762">
        <v>84</v>
      </c>
      <c r="H762" t="s">
        <v>6628</v>
      </c>
      <c r="I762" t="s">
        <v>6641</v>
      </c>
      <c r="J762" s="22">
        <v>45212</v>
      </c>
      <c r="K762">
        <v>1</v>
      </c>
      <c r="L762">
        <v>5</v>
      </c>
      <c r="M762" s="21">
        <f ca="1">LEFT(Music_Data[[#This Row],[Duration_minutes]],3)/60</f>
        <v>2.7</v>
      </c>
      <c r="N762" s="17">
        <v>8.8700000000000001E-2</v>
      </c>
      <c r="O762" s="17" t="str">
        <f ca="1">PROPER(Music_Data[[#This Row],[Playlist_subgenre2]])</f>
        <v>Chill</v>
      </c>
    </row>
    <row r="763" spans="1:15">
      <c r="A763" s="17">
        <v>0.77800000000000002</v>
      </c>
      <c r="B763" s="21">
        <v>960</v>
      </c>
      <c r="C763" s="16">
        <v>0.91100000000000003</v>
      </c>
      <c r="D763" s="16" t="str">
        <f ca="1">PROPER(Music_Data[[#This Row],[Playlist_genre2]])</f>
        <v>Latin</v>
      </c>
      <c r="E763" s="17">
        <v>0.34499999999999997</v>
      </c>
      <c r="F763" t="s">
        <v>6635</v>
      </c>
      <c r="G763">
        <v>84</v>
      </c>
      <c r="H763" t="s">
        <v>10614</v>
      </c>
      <c r="I763" t="s">
        <v>6641</v>
      </c>
      <c r="J763" s="22">
        <v>45212</v>
      </c>
      <c r="K763">
        <v>1</v>
      </c>
      <c r="L763">
        <v>5</v>
      </c>
      <c r="M763" s="21">
        <f ca="1">LEFT(Music_Data[[#This Row],[Duration_minutes]],3)/60</f>
        <v>2.7</v>
      </c>
      <c r="N763" s="17">
        <v>8.8700000000000001E-2</v>
      </c>
      <c r="O763" s="17" t="str">
        <f ca="1">PROPER(Music_Data[[#This Row],[Playlist_subgenre2]])</f>
        <v>Reggaeton</v>
      </c>
    </row>
    <row r="764" spans="1:15">
      <c r="A764" s="17">
        <v>0.53600000000000003</v>
      </c>
      <c r="B764" s="21">
        <v>975</v>
      </c>
      <c r="C764" s="16">
        <v>0.71599999999999997</v>
      </c>
      <c r="D764" s="16" t="str">
        <f ca="1">PROPER(Music_Data[[#This Row],[Playlist_genre2]])</f>
        <v>Latin</v>
      </c>
      <c r="E764" s="17">
        <v>0.35899999999999999</v>
      </c>
      <c r="F764" t="s">
        <v>3155</v>
      </c>
      <c r="G764">
        <v>84</v>
      </c>
      <c r="H764" t="s">
        <v>3030</v>
      </c>
      <c r="I764" t="s">
        <v>3161</v>
      </c>
      <c r="J764" s="22">
        <v>45204</v>
      </c>
      <c r="K764">
        <v>0</v>
      </c>
      <c r="L764">
        <v>2</v>
      </c>
      <c r="M764" s="21">
        <f ca="1">LEFT(Music_Data[[#This Row],[Duration_minutes]],3)/60</f>
        <v>4</v>
      </c>
      <c r="N764" s="17">
        <v>0.45200000000000001</v>
      </c>
      <c r="O764" s="17" t="str">
        <f ca="1">PROPER(Music_Data[[#This Row],[Playlist_subgenre2]])</f>
        <v>Modern</v>
      </c>
    </row>
    <row r="765" spans="1:15">
      <c r="A765" s="17">
        <v>0.71199999999999997</v>
      </c>
      <c r="B765" s="21">
        <v>919</v>
      </c>
      <c r="C765" s="16">
        <v>0.84799999999999998</v>
      </c>
      <c r="D765" s="16" t="str">
        <f ca="1">PROPER(Music_Data[[#This Row],[Playlist_genre2]])</f>
        <v>Latin</v>
      </c>
      <c r="E765" s="17">
        <v>0.69199999999999995</v>
      </c>
      <c r="F765" t="s">
        <v>623</v>
      </c>
      <c r="G765">
        <v>84</v>
      </c>
      <c r="H765" t="s">
        <v>3030</v>
      </c>
      <c r="I765">
        <v>57</v>
      </c>
      <c r="J765" s="22">
        <v>45604</v>
      </c>
      <c r="K765">
        <v>0</v>
      </c>
      <c r="L765">
        <v>1</v>
      </c>
      <c r="M765" s="21">
        <f ca="1">LEFT(Music_Data[[#This Row],[Duration_minutes]],3)/60</f>
        <v>4.9666666666666668</v>
      </c>
      <c r="N765" s="17">
        <v>0.221</v>
      </c>
      <c r="O765" s="17" t="str">
        <f ca="1">PROPER(Music_Data[[#This Row],[Playlist_subgenre2]])</f>
        <v>Modern</v>
      </c>
    </row>
    <row r="766" spans="1:15">
      <c r="A766" s="17">
        <v>0.71199999999999997</v>
      </c>
      <c r="B766" s="21">
        <v>919</v>
      </c>
      <c r="C766" s="16">
        <v>0.84799999999999998</v>
      </c>
      <c r="D766" s="16" t="str">
        <f ca="1">PROPER(Music_Data[[#This Row],[Playlist_genre2]])</f>
        <v>Latin</v>
      </c>
      <c r="E766" s="17">
        <v>0.69199999999999995</v>
      </c>
      <c r="F766" t="s">
        <v>623</v>
      </c>
      <c r="G766">
        <v>84</v>
      </c>
      <c r="H766" t="s">
        <v>10614</v>
      </c>
      <c r="I766">
        <v>57</v>
      </c>
      <c r="J766" s="22">
        <v>45604</v>
      </c>
      <c r="K766">
        <v>0</v>
      </c>
      <c r="L766">
        <v>1</v>
      </c>
      <c r="M766" s="21">
        <f ca="1">LEFT(Music_Data[[#This Row],[Duration_minutes]],3)/60</f>
        <v>4.9666666666666668</v>
      </c>
      <c r="N766" s="17">
        <v>0.221</v>
      </c>
      <c r="O766" s="17" t="str">
        <f ca="1">PROPER(Music_Data[[#This Row],[Playlist_subgenre2]])</f>
        <v>Reggaeton</v>
      </c>
    </row>
    <row r="767" spans="1:15">
      <c r="A767" s="17">
        <v>0.70699999999999996</v>
      </c>
      <c r="B767" s="21">
        <v>820</v>
      </c>
      <c r="C767" s="16">
        <v>0.78600000000000003</v>
      </c>
      <c r="D767" s="16" t="str">
        <f ca="1">PROPER(Music_Data[[#This Row],[Playlist_genre2]])</f>
        <v>Latin</v>
      </c>
      <c r="E767" s="17">
        <v>0.69099999999999995</v>
      </c>
      <c r="F767" t="s">
        <v>3188</v>
      </c>
      <c r="G767">
        <v>84</v>
      </c>
      <c r="H767" t="s">
        <v>3030</v>
      </c>
      <c r="I767" t="s">
        <v>3192</v>
      </c>
      <c r="J767" s="22">
        <v>45527</v>
      </c>
      <c r="K767">
        <v>0</v>
      </c>
      <c r="L767">
        <v>7</v>
      </c>
      <c r="M767" s="21">
        <f ca="1">LEFT(Music_Data[[#This Row],[Duration_minutes]],3)/60</f>
        <v>3.75</v>
      </c>
      <c r="N767" s="17">
        <v>3.9899999999999998E-2</v>
      </c>
      <c r="O767" s="17" t="str">
        <f ca="1">PROPER(Music_Data[[#This Row],[Playlist_subgenre2]])</f>
        <v>Modern</v>
      </c>
    </row>
    <row r="768" spans="1:15">
      <c r="A768" s="17">
        <v>0.51900000000000002</v>
      </c>
      <c r="B768" s="21">
        <v>100</v>
      </c>
      <c r="C768" s="16">
        <v>0.76300000000000001</v>
      </c>
      <c r="D768" s="16" t="str">
        <f ca="1">PROPER(Music_Data[[#This Row],[Playlist_genre2]])</f>
        <v>Latin</v>
      </c>
      <c r="E768" s="17">
        <v>0.80400000000000005</v>
      </c>
      <c r="F768" t="s">
        <v>3124</v>
      </c>
      <c r="G768">
        <v>83</v>
      </c>
      <c r="H768" t="s">
        <v>10614</v>
      </c>
      <c r="I768" t="s">
        <v>3127</v>
      </c>
      <c r="J768" s="22">
        <v>45513</v>
      </c>
      <c r="K768">
        <v>0</v>
      </c>
      <c r="L768">
        <v>6</v>
      </c>
      <c r="M768" s="21">
        <f ca="1">LEFT(Music_Data[[#This Row],[Duration_minutes]],3)/60</f>
        <v>2.2333333333333334</v>
      </c>
      <c r="N768" s="17">
        <v>0.22</v>
      </c>
      <c r="O768" s="17" t="str">
        <f ca="1">PROPER(Music_Data[[#This Row],[Playlist_subgenre2]])</f>
        <v>Reggaeton</v>
      </c>
    </row>
    <row r="769" spans="1:15">
      <c r="A769" s="17">
        <v>0.73799999999999999</v>
      </c>
      <c r="B769" s="21">
        <v>169</v>
      </c>
      <c r="C769" s="16">
        <v>0.84099999999999997</v>
      </c>
      <c r="D769" s="16" t="str">
        <f ca="1">PROPER(Music_Data[[#This Row],[Playlist_genre2]])</f>
        <v>Latin</v>
      </c>
      <c r="E769" s="17">
        <v>0.48399999999999999</v>
      </c>
      <c r="F769" t="s">
        <v>10681</v>
      </c>
      <c r="G769">
        <v>83</v>
      </c>
      <c r="H769" t="s">
        <v>10614</v>
      </c>
      <c r="I769" t="s">
        <v>10687</v>
      </c>
      <c r="J769" s="22">
        <v>45148</v>
      </c>
      <c r="K769">
        <v>0</v>
      </c>
      <c r="L769">
        <v>7</v>
      </c>
      <c r="M769" s="21">
        <f ca="1">LEFT(Music_Data[[#This Row],[Duration_minutes]],3)/60</f>
        <v>2.8666666666666667</v>
      </c>
      <c r="N769" s="17">
        <v>0.52</v>
      </c>
      <c r="O769" s="17" t="str">
        <f ca="1">PROPER(Music_Data[[#This Row],[Playlist_subgenre2]])</f>
        <v>Reggaeton</v>
      </c>
    </row>
    <row r="770" spans="1:15">
      <c r="A770" s="17">
        <v>0.58299999999999996</v>
      </c>
      <c r="B770" s="21">
        <v>115</v>
      </c>
      <c r="C770" s="16">
        <v>0.66900000000000004</v>
      </c>
      <c r="D770" s="16" t="str">
        <f ca="1">PROPER(Music_Data[[#This Row],[Playlist_genre2]])</f>
        <v>Latin</v>
      </c>
      <c r="E770" s="17">
        <v>0.27100000000000002</v>
      </c>
      <c r="F770" t="s">
        <v>11291</v>
      </c>
      <c r="G770">
        <v>83</v>
      </c>
      <c r="H770" t="s">
        <v>10614</v>
      </c>
      <c r="I770" t="s">
        <v>11294</v>
      </c>
      <c r="J770" s="22">
        <v>45503</v>
      </c>
      <c r="K770">
        <v>1</v>
      </c>
      <c r="L770">
        <v>1</v>
      </c>
      <c r="M770" s="21">
        <f ca="1">LEFT(Music_Data[[#This Row],[Duration_minutes]],3)/60</f>
        <v>3.9</v>
      </c>
      <c r="N770" s="17">
        <v>0.60299999999999998</v>
      </c>
      <c r="O770" s="17" t="str">
        <f ca="1">PROPER(Music_Data[[#This Row],[Playlist_subgenre2]])</f>
        <v>Reggaeton</v>
      </c>
    </row>
    <row r="771" spans="1:15">
      <c r="A771" s="17">
        <v>0.72399999999999998</v>
      </c>
      <c r="B771" s="21">
        <v>101</v>
      </c>
      <c r="C771" s="16">
        <v>0.55600000000000005</v>
      </c>
      <c r="D771" s="16" t="str">
        <f ca="1">PROPER(Music_Data[[#This Row],[Playlist_genre2]])</f>
        <v>Latin</v>
      </c>
      <c r="E771" s="17">
        <v>0.68100000000000005</v>
      </c>
      <c r="F771" t="s">
        <v>3116</v>
      </c>
      <c r="G771">
        <v>82</v>
      </c>
      <c r="H771" t="s">
        <v>3030</v>
      </c>
      <c r="I771" t="s">
        <v>3121</v>
      </c>
      <c r="J771" s="22">
        <v>45596</v>
      </c>
      <c r="K771">
        <v>1</v>
      </c>
      <c r="L771">
        <v>0</v>
      </c>
      <c r="M771" s="21">
        <f ca="1">LEFT(Music_Data[[#This Row],[Duration_minutes]],3)/60</f>
        <v>4.0999999999999996</v>
      </c>
      <c r="N771" s="17">
        <v>0.26700000000000002</v>
      </c>
      <c r="O771" s="17" t="str">
        <f ca="1">PROPER(Music_Data[[#This Row],[Playlist_subgenre2]])</f>
        <v>Modern</v>
      </c>
    </row>
    <row r="772" spans="1:15">
      <c r="A772" s="17">
        <v>0.64200000000000002</v>
      </c>
      <c r="B772" s="21">
        <v>833</v>
      </c>
      <c r="C772" s="16">
        <v>0.46300000000000002</v>
      </c>
      <c r="D772" s="16" t="str">
        <f ca="1">PROPER(Music_Data[[#This Row],[Playlist_genre2]])</f>
        <v>Latin</v>
      </c>
      <c r="E772" s="17">
        <v>0.33900000000000002</v>
      </c>
      <c r="F772" t="s">
        <v>4983</v>
      </c>
      <c r="G772">
        <v>82</v>
      </c>
      <c r="H772" t="s">
        <v>13090</v>
      </c>
      <c r="I772" t="s">
        <v>4988</v>
      </c>
      <c r="J772" s="22">
        <v>44680</v>
      </c>
      <c r="K772">
        <v>1</v>
      </c>
      <c r="L772">
        <v>1</v>
      </c>
      <c r="M772" s="21">
        <f ca="1">LEFT(Music_Data[[#This Row],[Duration_minutes]],3)/60</f>
        <v>3.15</v>
      </c>
      <c r="N772" s="17">
        <v>0.314</v>
      </c>
      <c r="O772" s="17" t="str">
        <f ca="1">PROPER(Music_Data[[#This Row],[Playlist_subgenre2]])</f>
        <v>Afro-Latin</v>
      </c>
    </row>
    <row r="773" spans="1:15">
      <c r="A773" s="17">
        <v>0.83199999999999996</v>
      </c>
      <c r="B773" s="21">
        <v>985</v>
      </c>
      <c r="C773" s="16">
        <v>0.74199999999999999</v>
      </c>
      <c r="D773" s="16" t="str">
        <f ca="1">PROPER(Music_Data[[#This Row],[Playlist_genre2]])</f>
        <v>Latin</v>
      </c>
      <c r="E773" s="17">
        <v>0.71599999999999997</v>
      </c>
      <c r="F773" t="s">
        <v>3197</v>
      </c>
      <c r="G773">
        <v>82</v>
      </c>
      <c r="H773" t="s">
        <v>3030</v>
      </c>
      <c r="I773" t="s">
        <v>3201</v>
      </c>
      <c r="J773" s="22">
        <v>45568</v>
      </c>
      <c r="K773">
        <v>1</v>
      </c>
      <c r="L773">
        <v>8</v>
      </c>
      <c r="M773" s="21">
        <f ca="1">LEFT(Music_Data[[#This Row],[Duration_minutes]],3)/60</f>
        <v>3.25</v>
      </c>
      <c r="N773" s="17">
        <v>8.5699999999999998E-2</v>
      </c>
      <c r="O773" s="17" t="str">
        <f ca="1">PROPER(Music_Data[[#This Row],[Playlist_subgenre2]])</f>
        <v>Modern</v>
      </c>
    </row>
    <row r="774" spans="1:15">
      <c r="A774" s="17">
        <v>0.64600000000000002</v>
      </c>
      <c r="B774" s="21">
        <v>176</v>
      </c>
      <c r="C774" s="16">
        <v>0.75600000000000001</v>
      </c>
      <c r="D774" s="16" t="str">
        <f ca="1">PROPER(Music_Data[[#This Row],[Playlist_genre2]])</f>
        <v>Latin</v>
      </c>
      <c r="E774" s="17">
        <v>0.42899999999999999</v>
      </c>
      <c r="F774" t="s">
        <v>10876</v>
      </c>
      <c r="G774">
        <v>82</v>
      </c>
      <c r="H774" t="s">
        <v>10614</v>
      </c>
      <c r="I774" t="s">
        <v>10882</v>
      </c>
      <c r="J774" s="22">
        <v>43644</v>
      </c>
      <c r="K774">
        <v>1</v>
      </c>
      <c r="L774">
        <v>7</v>
      </c>
      <c r="M774" s="21">
        <f ca="1">LEFT(Music_Data[[#This Row],[Duration_minutes]],3)/60</f>
        <v>4.0333333333333332</v>
      </c>
      <c r="N774" s="17">
        <v>0.152</v>
      </c>
      <c r="O774" s="17" t="str">
        <f ca="1">PROPER(Music_Data[[#This Row],[Playlist_subgenre2]])</f>
        <v>Reggaeton</v>
      </c>
    </row>
    <row r="775" spans="1:15">
      <c r="A775" s="17">
        <v>0.70099999999999996</v>
      </c>
      <c r="B775" s="21">
        <v>175</v>
      </c>
      <c r="C775" s="16">
        <v>0.73</v>
      </c>
      <c r="D775" s="16" t="str">
        <f ca="1">PROPER(Music_Data[[#This Row],[Playlist_genre2]])</f>
        <v>Latin</v>
      </c>
      <c r="E775" s="17">
        <v>0.78500000000000003</v>
      </c>
      <c r="F775" t="s">
        <v>10939</v>
      </c>
      <c r="G775">
        <v>82</v>
      </c>
      <c r="H775" t="s">
        <v>10614</v>
      </c>
      <c r="I775" t="s">
        <v>10945</v>
      </c>
      <c r="J775" s="22">
        <v>42307</v>
      </c>
      <c r="K775">
        <v>0</v>
      </c>
      <c r="L775">
        <v>5</v>
      </c>
      <c r="M775" s="21">
        <f ca="1">LEFT(Music_Data[[#This Row],[Duration_minutes]],3)/60</f>
        <v>3.45</v>
      </c>
      <c r="N775" s="17">
        <v>0.13200000000000001</v>
      </c>
      <c r="O775" s="17" t="str">
        <f ca="1">PROPER(Music_Data[[#This Row],[Playlist_subgenre2]])</f>
        <v>Reggaeton</v>
      </c>
    </row>
    <row r="776" spans="1:15">
      <c r="A776" s="17">
        <v>0.73699999999999999</v>
      </c>
      <c r="B776" s="21">
        <v>919</v>
      </c>
      <c r="C776" s="16">
        <v>0.70799999999999996</v>
      </c>
      <c r="D776" s="16" t="str">
        <f ca="1">PROPER(Music_Data[[#This Row],[Playlist_genre2]])</f>
        <v>Latin</v>
      </c>
      <c r="E776" s="17">
        <v>0.60699999999999998</v>
      </c>
      <c r="F776" t="s">
        <v>11024</v>
      </c>
      <c r="G776">
        <v>82</v>
      </c>
      <c r="H776" t="s">
        <v>10614</v>
      </c>
      <c r="I776" t="s">
        <v>11156</v>
      </c>
      <c r="J776" s="22">
        <v>45008</v>
      </c>
      <c r="K776">
        <v>1</v>
      </c>
      <c r="L776">
        <v>1</v>
      </c>
      <c r="M776" s="21">
        <f ca="1">LEFT(Music_Data[[#This Row],[Duration_minutes]],3)/60</f>
        <v>3.2833333333333332</v>
      </c>
      <c r="N776" s="17">
        <v>7.3899999999999993E-2</v>
      </c>
      <c r="O776" s="17" t="str">
        <f ca="1">PROPER(Music_Data[[#This Row],[Playlist_subgenre2]])</f>
        <v>Reggaeton</v>
      </c>
    </row>
    <row r="777" spans="1:15">
      <c r="A777" s="17">
        <v>0.56299999999999994</v>
      </c>
      <c r="B777" s="21">
        <v>105</v>
      </c>
      <c r="C777" s="16">
        <v>0.83299999999999996</v>
      </c>
      <c r="D777" s="16" t="str">
        <f ca="1">PROPER(Music_Data[[#This Row],[Playlist_genre2]])</f>
        <v>Latin</v>
      </c>
      <c r="E777" s="17">
        <v>0.34300000000000003</v>
      </c>
      <c r="F777" t="s">
        <v>350</v>
      </c>
      <c r="G777">
        <v>82</v>
      </c>
      <c r="H777" t="s">
        <v>3030</v>
      </c>
      <c r="I777" t="s">
        <v>357</v>
      </c>
      <c r="J777" s="22">
        <v>45611</v>
      </c>
      <c r="K777">
        <v>0</v>
      </c>
      <c r="L777">
        <v>4</v>
      </c>
      <c r="M777" s="21">
        <f ca="1">LEFT(Music_Data[[#This Row],[Duration_minutes]],3)/60</f>
        <v>3.0333333333333332</v>
      </c>
      <c r="N777" s="17">
        <v>0.52800000000000002</v>
      </c>
      <c r="O777" s="17" t="str">
        <f ca="1">PROPER(Music_Data[[#This Row],[Playlist_subgenre2]])</f>
        <v>Modern</v>
      </c>
    </row>
    <row r="778" spans="1:15">
      <c r="A778" s="17">
        <v>0.57799999999999996</v>
      </c>
      <c r="B778" s="21">
        <v>199</v>
      </c>
      <c r="C778" s="16">
        <v>0.73399999999999999</v>
      </c>
      <c r="D778" s="16" t="str">
        <f ca="1">PROPER(Music_Data[[#This Row],[Playlist_genre2]])</f>
        <v>Latin</v>
      </c>
      <c r="E778" s="17">
        <v>0.88</v>
      </c>
      <c r="F778" t="s">
        <v>3322</v>
      </c>
      <c r="G778">
        <v>82</v>
      </c>
      <c r="H778" t="s">
        <v>3030</v>
      </c>
      <c r="I778" t="s">
        <v>3328</v>
      </c>
      <c r="J778" s="22">
        <v>45510</v>
      </c>
      <c r="K778">
        <v>1</v>
      </c>
      <c r="L778">
        <v>1</v>
      </c>
      <c r="M778" s="21">
        <f ca="1">LEFT(Music_Data[[#This Row],[Duration_minutes]],3)/60</f>
        <v>2.3666666666666667</v>
      </c>
      <c r="N778" s="17">
        <v>0.155</v>
      </c>
      <c r="O778" s="17" t="str">
        <f ca="1">PROPER(Music_Data[[#This Row],[Playlist_subgenre2]])</f>
        <v>Modern</v>
      </c>
    </row>
    <row r="779" spans="1:15">
      <c r="A779" s="17">
        <v>0.71199999999999997</v>
      </c>
      <c r="B779" s="21">
        <v>920</v>
      </c>
      <c r="C779" s="16">
        <v>0.91100000000000003</v>
      </c>
      <c r="D779" s="16" t="str">
        <f ca="1">PROPER(Music_Data[[#This Row],[Playlist_genre2]])</f>
        <v>Latin</v>
      </c>
      <c r="E779" s="17">
        <v>0.42499999999999999</v>
      </c>
      <c r="F779" t="s">
        <v>10711</v>
      </c>
      <c r="G779">
        <v>81</v>
      </c>
      <c r="H779" t="s">
        <v>10614</v>
      </c>
      <c r="I779" t="s">
        <v>10716</v>
      </c>
      <c r="J779" s="22">
        <v>44687</v>
      </c>
      <c r="K779">
        <v>0</v>
      </c>
      <c r="L779">
        <v>1</v>
      </c>
      <c r="M779" s="21">
        <f ca="1">LEFT(Music_Data[[#This Row],[Duration_minutes]],3)/60</f>
        <v>2.9666666666666668</v>
      </c>
      <c r="N779" s="17">
        <v>9.01E-2</v>
      </c>
      <c r="O779" s="17" t="str">
        <f ca="1">PROPER(Music_Data[[#This Row],[Playlist_subgenre2]])</f>
        <v>Reggaeton</v>
      </c>
    </row>
    <row r="780" spans="1:15">
      <c r="A780" s="17">
        <v>0.83399999999999996</v>
      </c>
      <c r="B780" s="21">
        <v>139</v>
      </c>
      <c r="C780" s="16">
        <v>0.78300000000000003</v>
      </c>
      <c r="D780" s="16" t="str">
        <f ca="1">PROPER(Music_Data[[#This Row],[Playlist_genre2]])</f>
        <v>Latin</v>
      </c>
      <c r="E780" s="17">
        <v>0.92</v>
      </c>
      <c r="F780" t="s">
        <v>3303</v>
      </c>
      <c r="G780">
        <v>81</v>
      </c>
      <c r="H780" t="s">
        <v>3030</v>
      </c>
      <c r="I780" t="s">
        <v>3306</v>
      </c>
      <c r="J780" s="22">
        <v>45527</v>
      </c>
      <c r="K780">
        <v>0</v>
      </c>
      <c r="L780">
        <v>3</v>
      </c>
      <c r="M780" s="21">
        <f ca="1">LEFT(Music_Data[[#This Row],[Duration_minutes]],3)/60</f>
        <v>2.6666666666666665</v>
      </c>
      <c r="N780" s="17">
        <v>0.53900000000000003</v>
      </c>
      <c r="O780" s="17" t="str">
        <f ca="1">PROPER(Music_Data[[#This Row],[Playlist_subgenre2]])</f>
        <v>Modern</v>
      </c>
    </row>
    <row r="781" spans="1:15">
      <c r="A781" s="17">
        <v>0.442</v>
      </c>
      <c r="B781" s="21">
        <v>100</v>
      </c>
      <c r="C781" s="16">
        <v>0.77600000000000002</v>
      </c>
      <c r="D781" s="16" t="str">
        <f ca="1">PROPER(Music_Data[[#This Row],[Playlist_genre2]])</f>
        <v>Latin</v>
      </c>
      <c r="E781" s="17">
        <v>0.83799999999999997</v>
      </c>
      <c r="F781" t="s">
        <v>3124</v>
      </c>
      <c r="G781">
        <v>81</v>
      </c>
      <c r="H781" t="s">
        <v>3030</v>
      </c>
      <c r="I781" t="s">
        <v>3127</v>
      </c>
      <c r="J781" s="22">
        <v>45485</v>
      </c>
      <c r="K781">
        <v>0</v>
      </c>
      <c r="L781">
        <v>6</v>
      </c>
      <c r="M781" s="21">
        <f ca="1">LEFT(Music_Data[[#This Row],[Duration_minutes]],3)/60</f>
        <v>2.2666666666666666</v>
      </c>
      <c r="N781" s="17">
        <v>0.31900000000000001</v>
      </c>
      <c r="O781" s="17" t="str">
        <f ca="1">PROPER(Music_Data[[#This Row],[Playlist_subgenre2]])</f>
        <v>Modern</v>
      </c>
    </row>
    <row r="782" spans="1:15">
      <c r="A782" s="17">
        <v>0.52400000000000002</v>
      </c>
      <c r="B782" s="21">
        <v>839</v>
      </c>
      <c r="C782" s="16">
        <v>0.65300000000000002</v>
      </c>
      <c r="D782" s="16" t="str">
        <f ca="1">PROPER(Music_Data[[#This Row],[Playlist_genre2]])</f>
        <v>Latin</v>
      </c>
      <c r="E782" s="17">
        <v>0.55300000000000005</v>
      </c>
      <c r="F782" t="s">
        <v>6793</v>
      </c>
      <c r="G782">
        <v>81</v>
      </c>
      <c r="H782" t="s">
        <v>6628</v>
      </c>
      <c r="I782" t="s">
        <v>6799</v>
      </c>
      <c r="J782" s="22">
        <v>44169</v>
      </c>
      <c r="K782">
        <v>0</v>
      </c>
      <c r="L782">
        <v>11</v>
      </c>
      <c r="M782" s="21">
        <f ca="1">LEFT(Music_Data[[#This Row],[Duration_minutes]],3)/60</f>
        <v>2.6666666666666665</v>
      </c>
      <c r="N782" s="17">
        <v>0.112</v>
      </c>
      <c r="O782" s="17" t="str">
        <f ca="1">PROPER(Music_Data[[#This Row],[Playlist_subgenre2]])</f>
        <v>Chill</v>
      </c>
    </row>
    <row r="783" spans="1:15">
      <c r="A783" s="17">
        <v>0.79500000000000004</v>
      </c>
      <c r="B783" s="21">
        <v>949</v>
      </c>
      <c r="C783" s="16">
        <v>0.84499999999999997</v>
      </c>
      <c r="D783" s="16" t="str">
        <f ca="1">PROPER(Music_Data[[#This Row],[Playlist_genre2]])</f>
        <v>Latin</v>
      </c>
      <c r="E783" s="17">
        <v>0.68100000000000005</v>
      </c>
      <c r="F783" t="s">
        <v>10673</v>
      </c>
      <c r="G783">
        <v>81</v>
      </c>
      <c r="H783" t="s">
        <v>10614</v>
      </c>
      <c r="I783" t="s">
        <v>10679</v>
      </c>
      <c r="J783" s="22">
        <v>45114</v>
      </c>
      <c r="K783">
        <v>0</v>
      </c>
      <c r="L783">
        <v>9</v>
      </c>
      <c r="M783" s="21">
        <f ca="1">LEFT(Music_Data[[#This Row],[Duration_minutes]],3)/60</f>
        <v>3.2833333333333332</v>
      </c>
      <c r="N783" s="17">
        <v>0.34300000000000003</v>
      </c>
      <c r="O783" s="17" t="str">
        <f ca="1">PROPER(Music_Data[[#This Row],[Playlist_subgenre2]])</f>
        <v>Reggaeton</v>
      </c>
    </row>
    <row r="784" spans="1:15">
      <c r="A784" s="17">
        <v>0.68600000000000005</v>
      </c>
      <c r="B784" s="21">
        <v>799</v>
      </c>
      <c r="C784" s="16">
        <v>0.64700000000000002</v>
      </c>
      <c r="D784" s="16" t="str">
        <f ca="1">PROPER(Music_Data[[#This Row],[Playlist_genre2]])</f>
        <v>Latin</v>
      </c>
      <c r="E784" s="17">
        <v>0.26800000000000002</v>
      </c>
      <c r="F784" t="s">
        <v>13200</v>
      </c>
      <c r="G784">
        <v>80</v>
      </c>
      <c r="H784" t="s">
        <v>6628</v>
      </c>
      <c r="I784" t="s">
        <v>6715</v>
      </c>
      <c r="J784" s="22">
        <v>44687</v>
      </c>
      <c r="K784">
        <v>0</v>
      </c>
      <c r="L784">
        <v>3</v>
      </c>
      <c r="M784" s="21">
        <f ca="1">LEFT(Music_Data[[#This Row],[Duration_minutes]],3)/60</f>
        <v>4.3</v>
      </c>
      <c r="N784" s="17">
        <v>0.08</v>
      </c>
      <c r="O784" s="17" t="str">
        <f ca="1">PROPER(Music_Data[[#This Row],[Playlist_subgenre2]])</f>
        <v>Chill</v>
      </c>
    </row>
    <row r="785" spans="1:15">
      <c r="A785" s="17">
        <v>0.78200000000000003</v>
      </c>
      <c r="B785" s="21">
        <v>128</v>
      </c>
      <c r="C785" s="16">
        <v>0.621</v>
      </c>
      <c r="D785" s="16" t="str">
        <f ca="1">PROPER(Music_Data[[#This Row],[Playlist_genre2]])</f>
        <v>Latin</v>
      </c>
      <c r="E785" s="17">
        <v>0.55000000000000004</v>
      </c>
      <c r="F785" t="s">
        <v>6783</v>
      </c>
      <c r="G785">
        <v>80</v>
      </c>
      <c r="H785" t="s">
        <v>6628</v>
      </c>
      <c r="I785" t="s">
        <v>6787</v>
      </c>
      <c r="J785" s="22">
        <v>44748</v>
      </c>
      <c r="K785">
        <v>1</v>
      </c>
      <c r="L785">
        <v>2</v>
      </c>
      <c r="M785" s="21">
        <f ca="1">LEFT(Music_Data[[#This Row],[Duration_minutes]],3)/60</f>
        <v>3.3</v>
      </c>
      <c r="N785" s="17">
        <v>1.2500000000000001E-2</v>
      </c>
      <c r="O785" s="17" t="str">
        <f ca="1">PROPER(Music_Data[[#This Row],[Playlist_subgenre2]])</f>
        <v>Chill</v>
      </c>
    </row>
    <row r="786" spans="1:15">
      <c r="A786" s="17">
        <v>0.63100000000000001</v>
      </c>
      <c r="B786" s="21">
        <v>111</v>
      </c>
      <c r="C786" s="16">
        <v>0.70599999999999996</v>
      </c>
      <c r="D786" s="16" t="str">
        <f ca="1">PROPER(Music_Data[[#This Row],[Playlist_genre2]])</f>
        <v>Latin</v>
      </c>
      <c r="E786" s="17">
        <v>0.28899999999999998</v>
      </c>
      <c r="F786" t="s">
        <v>3268</v>
      </c>
      <c r="G786">
        <v>80</v>
      </c>
      <c r="H786" t="s">
        <v>3030</v>
      </c>
      <c r="I786" t="s">
        <v>3271</v>
      </c>
      <c r="J786" s="22">
        <v>45582</v>
      </c>
      <c r="K786">
        <v>0</v>
      </c>
      <c r="L786">
        <v>0</v>
      </c>
      <c r="M786" s="21">
        <f ca="1">LEFT(Music_Data[[#This Row],[Duration_minutes]],3)/60</f>
        <v>2.85</v>
      </c>
      <c r="N786" s="17">
        <v>0.65600000000000003</v>
      </c>
      <c r="O786" s="17" t="str">
        <f ca="1">PROPER(Music_Data[[#This Row],[Playlist_subgenre2]])</f>
        <v>Modern</v>
      </c>
    </row>
    <row r="787" spans="1:15">
      <c r="A787" s="17">
        <v>0.46400000000000002</v>
      </c>
      <c r="B787" s="21">
        <v>795</v>
      </c>
      <c r="C787" s="16">
        <v>0.373</v>
      </c>
      <c r="D787" s="16" t="str">
        <f ca="1">PROPER(Music_Data[[#This Row],[Playlist_genre2]])</f>
        <v>Latin</v>
      </c>
      <c r="E787" s="17">
        <v>0.30099999999999999</v>
      </c>
      <c r="F787" t="s">
        <v>3249</v>
      </c>
      <c r="G787">
        <v>80</v>
      </c>
      <c r="H787" t="s">
        <v>3030</v>
      </c>
      <c r="I787" t="s">
        <v>3252</v>
      </c>
      <c r="J787" s="22">
        <v>45561</v>
      </c>
      <c r="K787">
        <v>0</v>
      </c>
      <c r="L787">
        <v>4</v>
      </c>
      <c r="M787" s="21">
        <f ca="1">LEFT(Music_Data[[#This Row],[Duration_minutes]],3)/60</f>
        <v>3.95</v>
      </c>
      <c r="N787" s="17">
        <v>0.86</v>
      </c>
      <c r="O787" s="17" t="str">
        <f ca="1">PROPER(Music_Data[[#This Row],[Playlist_subgenre2]])</f>
        <v>Modern</v>
      </c>
    </row>
    <row r="788" spans="1:15">
      <c r="A788" s="17">
        <v>0.42099999999999999</v>
      </c>
      <c r="B788" s="21">
        <v>982</v>
      </c>
      <c r="C788" s="16">
        <v>0.53700000000000003</v>
      </c>
      <c r="D788" s="16" t="str">
        <f ca="1">PROPER(Music_Data[[#This Row],[Playlist_genre2]])</f>
        <v>Latin</v>
      </c>
      <c r="E788" s="17">
        <v>0.52400000000000002</v>
      </c>
      <c r="F788" t="s">
        <v>13180</v>
      </c>
      <c r="G788">
        <v>80</v>
      </c>
      <c r="H788" t="s">
        <v>6628</v>
      </c>
      <c r="I788" t="s">
        <v>6831</v>
      </c>
      <c r="J788" s="22">
        <v>44827</v>
      </c>
      <c r="K788">
        <v>1</v>
      </c>
      <c r="L788">
        <v>5</v>
      </c>
      <c r="M788" s="21">
        <f ca="1">LEFT(Music_Data[[#This Row],[Duration_minutes]],3)/60</f>
        <v>3.0666666666666669</v>
      </c>
      <c r="N788" s="17">
        <v>0.82699999999999996</v>
      </c>
      <c r="O788" s="17" t="str">
        <f ca="1">PROPER(Music_Data[[#This Row],[Playlist_subgenre2]])</f>
        <v>Chill</v>
      </c>
    </row>
    <row r="789" spans="1:15">
      <c r="A789" s="17">
        <v>0.47499999999999998</v>
      </c>
      <c r="B789" s="21">
        <v>980</v>
      </c>
      <c r="C789" s="16">
        <v>0.80100000000000005</v>
      </c>
      <c r="D789" s="16" t="str">
        <f ca="1">PROPER(Music_Data[[#This Row],[Playlist_genre2]])</f>
        <v>Latin</v>
      </c>
      <c r="E789" s="17">
        <v>0.23400000000000001</v>
      </c>
      <c r="F789" t="s">
        <v>2907</v>
      </c>
      <c r="G789">
        <v>79</v>
      </c>
      <c r="H789" t="s">
        <v>10614</v>
      </c>
      <c r="I789" t="s">
        <v>10721</v>
      </c>
      <c r="J789" s="22">
        <v>44687</v>
      </c>
      <c r="K789">
        <v>0</v>
      </c>
      <c r="L789">
        <v>7</v>
      </c>
      <c r="M789" s="21">
        <f ca="1">LEFT(Music_Data[[#This Row],[Duration_minutes]],3)/60</f>
        <v>3.55</v>
      </c>
      <c r="N789" s="17">
        <v>0.14099999999999999</v>
      </c>
      <c r="O789" s="17" t="str">
        <f ca="1">PROPER(Music_Data[[#This Row],[Playlist_subgenre2]])</f>
        <v>Reggaeton</v>
      </c>
    </row>
    <row r="790" spans="1:15">
      <c r="A790" s="17">
        <v>0.71499999999999997</v>
      </c>
      <c r="B790" s="21">
        <v>106</v>
      </c>
      <c r="C790" s="16">
        <v>0.65</v>
      </c>
      <c r="D790" s="16" t="str">
        <f ca="1">PROPER(Music_Data[[#This Row],[Playlist_genre2]])</f>
        <v>Latin</v>
      </c>
      <c r="E790" s="17">
        <v>0.187</v>
      </c>
      <c r="F790" t="s">
        <v>2907</v>
      </c>
      <c r="G790">
        <v>79</v>
      </c>
      <c r="H790" t="s">
        <v>10614</v>
      </c>
      <c r="I790" t="s">
        <v>10727</v>
      </c>
      <c r="J790" s="22">
        <v>44687</v>
      </c>
      <c r="K790">
        <v>0</v>
      </c>
      <c r="L790">
        <v>5</v>
      </c>
      <c r="M790" s="21">
        <f ca="1">LEFT(Music_Data[[#This Row],[Duration_minutes]],3)/60</f>
        <v>4.05</v>
      </c>
      <c r="N790" s="17">
        <v>9.9299999999999999E-2</v>
      </c>
      <c r="O790" s="17" t="str">
        <f ca="1">PROPER(Music_Data[[#This Row],[Playlist_subgenre2]])</f>
        <v>Reggaeton</v>
      </c>
    </row>
    <row r="791" spans="1:15">
      <c r="A791" s="17">
        <v>0.67400000000000004</v>
      </c>
      <c r="B791" s="21">
        <v>999</v>
      </c>
      <c r="C791" s="16">
        <v>0.80400000000000005</v>
      </c>
      <c r="D791" s="16" t="str">
        <f ca="1">PROPER(Music_Data[[#This Row],[Playlist_genre2]])</f>
        <v>Latin</v>
      </c>
      <c r="E791" s="17">
        <v>0.29199999999999998</v>
      </c>
      <c r="F791" t="s">
        <v>2907</v>
      </c>
      <c r="G791">
        <v>79</v>
      </c>
      <c r="H791" t="s">
        <v>10614</v>
      </c>
      <c r="I791" t="s">
        <v>11085</v>
      </c>
      <c r="J791" s="22">
        <v>44687</v>
      </c>
      <c r="K791">
        <v>0</v>
      </c>
      <c r="L791">
        <v>5</v>
      </c>
      <c r="M791" s="21">
        <f ca="1">LEFT(Music_Data[[#This Row],[Duration_minutes]],3)/60</f>
        <v>4.083333333333333</v>
      </c>
      <c r="N791" s="17">
        <v>0.29399999999999998</v>
      </c>
      <c r="O791" s="17" t="str">
        <f ca="1">PROPER(Music_Data[[#This Row],[Playlist_subgenre2]])</f>
        <v>Reggaeton</v>
      </c>
    </row>
    <row r="792" spans="1:15">
      <c r="A792" s="17">
        <v>0.68200000000000005</v>
      </c>
      <c r="B792" s="21">
        <v>100</v>
      </c>
      <c r="C792" s="16">
        <v>0.75</v>
      </c>
      <c r="D792" s="16" t="str">
        <f ca="1">PROPER(Music_Data[[#This Row],[Playlist_genre2]])</f>
        <v>Latin</v>
      </c>
      <c r="E792" s="17">
        <v>0.61799999999999999</v>
      </c>
      <c r="F792" t="s">
        <v>13205</v>
      </c>
      <c r="G792">
        <v>79</v>
      </c>
      <c r="H792" t="s">
        <v>3030</v>
      </c>
      <c r="I792" t="s">
        <v>3317</v>
      </c>
      <c r="J792" s="22">
        <v>45561</v>
      </c>
      <c r="K792">
        <v>1</v>
      </c>
      <c r="L792">
        <v>10</v>
      </c>
      <c r="M792" s="21">
        <f ca="1">LEFT(Music_Data[[#This Row],[Duration_minutes]],3)/60</f>
        <v>2.75</v>
      </c>
      <c r="N792" s="17">
        <v>0.16800000000000001</v>
      </c>
      <c r="O792" s="17" t="str">
        <f ca="1">PROPER(Music_Data[[#This Row],[Playlist_subgenre2]])</f>
        <v>Modern</v>
      </c>
    </row>
    <row r="793" spans="1:15">
      <c r="A793" s="17">
        <v>0.61399999999999999</v>
      </c>
      <c r="B793" s="21">
        <v>119</v>
      </c>
      <c r="C793" s="16">
        <v>0.65800000000000003</v>
      </c>
      <c r="D793" s="16" t="str">
        <f ca="1">PROPER(Music_Data[[#This Row],[Playlist_genre2]])</f>
        <v>Latin</v>
      </c>
      <c r="E793" s="17">
        <v>0.46500000000000002</v>
      </c>
      <c r="F793" t="s">
        <v>3133</v>
      </c>
      <c r="G793">
        <v>79</v>
      </c>
      <c r="H793" t="s">
        <v>3030</v>
      </c>
      <c r="I793" t="s">
        <v>3140</v>
      </c>
      <c r="J793" s="22">
        <v>45583</v>
      </c>
      <c r="K793">
        <v>1</v>
      </c>
      <c r="L793">
        <v>10</v>
      </c>
      <c r="M793" s="21">
        <f ca="1">LEFT(Music_Data[[#This Row],[Duration_minutes]],3)/60</f>
        <v>2.9666666666666668</v>
      </c>
      <c r="N793" s="17">
        <v>0.105</v>
      </c>
      <c r="O793" s="17" t="str">
        <f ca="1">PROPER(Music_Data[[#This Row],[Playlist_subgenre2]])</f>
        <v>Modern</v>
      </c>
    </row>
    <row r="794" spans="1:15">
      <c r="A794" s="17">
        <v>0.66500000000000004</v>
      </c>
      <c r="B794" s="21">
        <v>100</v>
      </c>
      <c r="C794" s="16">
        <v>0.85799999999999998</v>
      </c>
      <c r="D794" s="16" t="str">
        <f ca="1">PROPER(Music_Data[[#This Row],[Playlist_genre2]])</f>
        <v>Latin</v>
      </c>
      <c r="E794" s="17">
        <v>0.65900000000000003</v>
      </c>
      <c r="F794" t="s">
        <v>6837</v>
      </c>
      <c r="G794">
        <v>79</v>
      </c>
      <c r="H794" t="s">
        <v>6628</v>
      </c>
      <c r="I794" t="s">
        <v>6843</v>
      </c>
      <c r="J794" s="22">
        <v>45261</v>
      </c>
      <c r="K794">
        <v>1</v>
      </c>
      <c r="L794">
        <v>11</v>
      </c>
      <c r="M794" s="21">
        <f ca="1">LEFT(Music_Data[[#This Row],[Duration_minutes]],3)/60</f>
        <v>3.25</v>
      </c>
      <c r="N794" s="17">
        <v>0.126</v>
      </c>
      <c r="O794" s="17" t="str">
        <f ca="1">PROPER(Music_Data[[#This Row],[Playlist_subgenre2]])</f>
        <v>Chill</v>
      </c>
    </row>
    <row r="795" spans="1:15">
      <c r="A795" s="17">
        <v>0.66500000000000004</v>
      </c>
      <c r="B795" s="21">
        <v>100</v>
      </c>
      <c r="C795" s="16">
        <v>0.85799999999999998</v>
      </c>
      <c r="D795" s="16" t="str">
        <f ca="1">PROPER(Music_Data[[#This Row],[Playlist_genre2]])</f>
        <v>Latin</v>
      </c>
      <c r="E795" s="17">
        <v>0.65900000000000003</v>
      </c>
      <c r="F795" t="s">
        <v>6837</v>
      </c>
      <c r="G795">
        <v>79</v>
      </c>
      <c r="H795" t="s">
        <v>10614</v>
      </c>
      <c r="I795" t="s">
        <v>6843</v>
      </c>
      <c r="J795" s="22">
        <v>45261</v>
      </c>
      <c r="K795">
        <v>1</v>
      </c>
      <c r="L795">
        <v>11</v>
      </c>
      <c r="M795" s="21">
        <f ca="1">LEFT(Music_Data[[#This Row],[Duration_minutes]],3)/60</f>
        <v>3.25</v>
      </c>
      <c r="N795" s="17">
        <v>0.126</v>
      </c>
      <c r="O795" s="17" t="str">
        <f ca="1">PROPER(Music_Data[[#This Row],[Playlist_subgenre2]])</f>
        <v>Reggaeton</v>
      </c>
    </row>
    <row r="796" spans="1:15">
      <c r="A796" s="17">
        <v>0.70899999999999996</v>
      </c>
      <c r="B796" s="21">
        <v>194</v>
      </c>
      <c r="C796" s="16">
        <v>0.74399999999999999</v>
      </c>
      <c r="D796" s="16" t="str">
        <f ca="1">PROPER(Music_Data[[#This Row],[Playlist_genre2]])</f>
        <v>Latin</v>
      </c>
      <c r="E796" s="17">
        <v>0.71199999999999997</v>
      </c>
      <c r="F796" t="s">
        <v>490</v>
      </c>
      <c r="G796">
        <v>79</v>
      </c>
      <c r="H796" t="s">
        <v>3030</v>
      </c>
      <c r="I796" t="s">
        <v>497</v>
      </c>
      <c r="J796" s="22">
        <v>45581</v>
      </c>
      <c r="K796">
        <v>0</v>
      </c>
      <c r="L796">
        <v>6</v>
      </c>
      <c r="M796" s="21">
        <f ca="1">LEFT(Music_Data[[#This Row],[Duration_minutes]],3)/60</f>
        <v>2.1666666666666665</v>
      </c>
      <c r="N796" s="17">
        <v>5.0099999999999999E-2</v>
      </c>
      <c r="O796" s="17" t="str">
        <f ca="1">PROPER(Music_Data[[#This Row],[Playlist_subgenre2]])</f>
        <v>Modern</v>
      </c>
    </row>
    <row r="797" spans="1:15">
      <c r="A797" s="17">
        <v>0.70899999999999996</v>
      </c>
      <c r="B797" s="21">
        <v>999</v>
      </c>
      <c r="C797" s="16">
        <v>0.72499999999999998</v>
      </c>
      <c r="D797" s="16" t="str">
        <f ca="1">PROPER(Music_Data[[#This Row],[Playlist_genre2]])</f>
        <v>Latin</v>
      </c>
      <c r="E797" s="17">
        <v>0.64800000000000002</v>
      </c>
      <c r="F797" t="s">
        <v>11218</v>
      </c>
      <c r="G797">
        <v>79</v>
      </c>
      <c r="H797" t="s">
        <v>10614</v>
      </c>
      <c r="I797" t="s">
        <v>11221</v>
      </c>
      <c r="J797" s="22">
        <v>45386</v>
      </c>
      <c r="K797">
        <v>0</v>
      </c>
      <c r="L797">
        <v>3</v>
      </c>
      <c r="M797" s="21">
        <f ca="1">LEFT(Music_Data[[#This Row],[Duration_minutes]],3)/60</f>
        <v>3.2166666666666668</v>
      </c>
      <c r="N797" s="17">
        <v>0.32100000000000001</v>
      </c>
      <c r="O797" s="17" t="str">
        <f ca="1">PROPER(Music_Data[[#This Row],[Playlist_subgenre2]])</f>
        <v>Reggaeton</v>
      </c>
    </row>
    <row r="798" spans="1:15">
      <c r="A798" s="17">
        <v>0.16200000000000001</v>
      </c>
      <c r="B798" s="21">
        <v>184</v>
      </c>
      <c r="C798" s="16">
        <v>0.45900000000000002</v>
      </c>
      <c r="D798" s="16" t="str">
        <f ca="1">PROPER(Music_Data[[#This Row],[Playlist_genre2]])</f>
        <v>Latin</v>
      </c>
      <c r="E798" s="17">
        <v>0.48299999999999998</v>
      </c>
      <c r="F798" t="s">
        <v>3293</v>
      </c>
      <c r="G798">
        <v>79</v>
      </c>
      <c r="H798" t="s">
        <v>3030</v>
      </c>
      <c r="I798" t="s">
        <v>3297</v>
      </c>
      <c r="J798" s="22">
        <v>45575</v>
      </c>
      <c r="K798">
        <v>1</v>
      </c>
      <c r="L798">
        <v>0</v>
      </c>
      <c r="M798" s="21">
        <f ca="1">LEFT(Music_Data[[#This Row],[Duration_minutes]],3)/60</f>
        <v>2.5499999999999998</v>
      </c>
      <c r="N798" s="17">
        <v>0.92900000000000005</v>
      </c>
      <c r="O798" s="17" t="str">
        <f ca="1">PROPER(Music_Data[[#This Row],[Playlist_subgenre2]])</f>
        <v>Modern</v>
      </c>
    </row>
    <row r="799" spans="1:15">
      <c r="A799" s="17">
        <v>0.47899999999999998</v>
      </c>
      <c r="B799" s="21">
        <v>169</v>
      </c>
      <c r="C799" s="16">
        <v>0.81200000000000006</v>
      </c>
      <c r="D799" s="16" t="str">
        <f ca="1">PROPER(Music_Data[[#This Row],[Playlist_genre2]])</f>
        <v>Latin</v>
      </c>
      <c r="E799" s="17">
        <v>0.55900000000000005</v>
      </c>
      <c r="F799" t="s">
        <v>11133</v>
      </c>
      <c r="G799">
        <v>79</v>
      </c>
      <c r="H799" t="s">
        <v>10614</v>
      </c>
      <c r="I799" t="s">
        <v>11139</v>
      </c>
      <c r="J799" s="22">
        <v>45002</v>
      </c>
      <c r="K799">
        <v>0</v>
      </c>
      <c r="L799">
        <v>2</v>
      </c>
      <c r="M799" s="21">
        <f ca="1">LEFT(Music_Data[[#This Row],[Duration_minutes]],3)/60</f>
        <v>3.9</v>
      </c>
      <c r="N799" s="17">
        <v>0.21299999999999999</v>
      </c>
      <c r="O799" s="17" t="str">
        <f ca="1">PROPER(Music_Data[[#This Row],[Playlist_subgenre2]])</f>
        <v>Reggaeton</v>
      </c>
    </row>
    <row r="800" spans="1:15">
      <c r="A800" s="17">
        <v>0.52200000000000002</v>
      </c>
      <c r="B800" s="21">
        <v>110</v>
      </c>
      <c r="C800" s="16">
        <v>0.75</v>
      </c>
      <c r="D800" s="16" t="str">
        <f ca="1">PROPER(Music_Data[[#This Row],[Playlist_genre2]])</f>
        <v>Latin</v>
      </c>
      <c r="E800" s="17">
        <v>0.60099999999999998</v>
      </c>
      <c r="F800" t="s">
        <v>13178</v>
      </c>
      <c r="G800">
        <v>78</v>
      </c>
      <c r="H800" t="s">
        <v>6628</v>
      </c>
      <c r="I800" t="s">
        <v>6680</v>
      </c>
      <c r="J800" s="22">
        <v>44287</v>
      </c>
      <c r="K800">
        <v>1</v>
      </c>
      <c r="L800">
        <v>9</v>
      </c>
      <c r="M800" s="21">
        <f ca="1">LEFT(Music_Data[[#This Row],[Duration_minutes]],3)/60</f>
        <v>5.35</v>
      </c>
      <c r="N800" s="17">
        <v>0.28199999999999997</v>
      </c>
      <c r="O800" s="17" t="str">
        <f ca="1">PROPER(Music_Data[[#This Row],[Playlist_subgenre2]])</f>
        <v>Chill</v>
      </c>
    </row>
    <row r="801" spans="1:15">
      <c r="A801" s="17">
        <v>0.78900000000000003</v>
      </c>
      <c r="B801" s="21">
        <v>919</v>
      </c>
      <c r="C801" s="16">
        <v>0.75700000000000001</v>
      </c>
      <c r="D801" s="16" t="str">
        <f ca="1">PROPER(Music_Data[[#This Row],[Playlist_genre2]])</f>
        <v>Latin</v>
      </c>
      <c r="E801" s="17">
        <v>0.46400000000000002</v>
      </c>
      <c r="F801" t="s">
        <v>6623</v>
      </c>
      <c r="G801">
        <v>78</v>
      </c>
      <c r="H801" t="s">
        <v>6628</v>
      </c>
      <c r="I801" t="s">
        <v>6631</v>
      </c>
      <c r="J801" s="22">
        <v>44652</v>
      </c>
      <c r="K801">
        <v>0</v>
      </c>
      <c r="L801">
        <v>5</v>
      </c>
      <c r="M801" s="21">
        <f ca="1">LEFT(Music_Data[[#This Row],[Duration_minutes]],3)/60</f>
        <v>3.3666666666666667</v>
      </c>
      <c r="N801" s="17">
        <v>0.307</v>
      </c>
      <c r="O801" s="17" t="str">
        <f ca="1">PROPER(Music_Data[[#This Row],[Playlist_subgenre2]])</f>
        <v>Chill</v>
      </c>
    </row>
    <row r="802" spans="1:15">
      <c r="A802" s="17">
        <v>0.78900000000000003</v>
      </c>
      <c r="B802" s="21">
        <v>919</v>
      </c>
      <c r="C802" s="16">
        <v>0.75700000000000001</v>
      </c>
      <c r="D802" s="16" t="str">
        <f ca="1">PROPER(Music_Data[[#This Row],[Playlist_genre2]])</f>
        <v>Latin</v>
      </c>
      <c r="E802" s="17">
        <v>0.46400000000000002</v>
      </c>
      <c r="F802" t="s">
        <v>6623</v>
      </c>
      <c r="G802">
        <v>78</v>
      </c>
      <c r="H802" t="s">
        <v>10614</v>
      </c>
      <c r="I802" t="s">
        <v>6631</v>
      </c>
      <c r="J802" s="22">
        <v>44652</v>
      </c>
      <c r="K802">
        <v>0</v>
      </c>
      <c r="L802">
        <v>5</v>
      </c>
      <c r="M802" s="21">
        <f ca="1">LEFT(Music_Data[[#This Row],[Duration_minutes]],3)/60</f>
        <v>3.3666666666666667</v>
      </c>
      <c r="N802" s="17">
        <v>0.307</v>
      </c>
      <c r="O802" s="17" t="str">
        <f ca="1">PROPER(Music_Data[[#This Row],[Playlist_subgenre2]])</f>
        <v>Reggaeton</v>
      </c>
    </row>
    <row r="803" spans="1:15">
      <c r="A803" s="17">
        <v>0.627</v>
      </c>
      <c r="B803" s="21">
        <v>155</v>
      </c>
      <c r="C803" s="16">
        <v>0.68700000000000006</v>
      </c>
      <c r="D803" s="16" t="str">
        <f ca="1">PROPER(Music_Data[[#This Row],[Playlist_genre2]])</f>
        <v>Latin</v>
      </c>
      <c r="E803" s="17">
        <v>0.47</v>
      </c>
      <c r="F803" t="s">
        <v>3098</v>
      </c>
      <c r="G803">
        <v>78</v>
      </c>
      <c r="H803" t="s">
        <v>3030</v>
      </c>
      <c r="I803" t="s">
        <v>3103</v>
      </c>
      <c r="J803" s="22">
        <v>45611</v>
      </c>
      <c r="K803">
        <v>1</v>
      </c>
      <c r="L803">
        <v>7</v>
      </c>
      <c r="M803" s="21">
        <f ca="1">LEFT(Music_Data[[#This Row],[Duration_minutes]],3)/60</f>
        <v>3.4333333333333331</v>
      </c>
      <c r="N803" s="17">
        <v>0.32600000000000001</v>
      </c>
      <c r="O803" s="17" t="str">
        <f ca="1">PROPER(Music_Data[[#This Row],[Playlist_subgenre2]])</f>
        <v>Modern</v>
      </c>
    </row>
    <row r="804" spans="1:15">
      <c r="A804" s="17">
        <v>0.85599999999999998</v>
      </c>
      <c r="B804" s="21">
        <v>919</v>
      </c>
      <c r="C804" s="16">
        <v>0.81499999999999995</v>
      </c>
      <c r="D804" s="16" t="str">
        <f ca="1">PROPER(Music_Data[[#This Row],[Playlist_genre2]])</f>
        <v>Latin</v>
      </c>
      <c r="E804" s="17">
        <v>0.872</v>
      </c>
      <c r="F804" t="s">
        <v>13189</v>
      </c>
      <c r="G804">
        <v>78</v>
      </c>
      <c r="H804" t="s">
        <v>10614</v>
      </c>
      <c r="I804" t="s">
        <v>10757</v>
      </c>
      <c r="J804" s="22">
        <v>37803</v>
      </c>
      <c r="K804">
        <v>0</v>
      </c>
      <c r="L804">
        <v>1</v>
      </c>
      <c r="M804" s="21">
        <f ca="1">LEFT(Music_Data[[#This Row],[Duration_minutes]],3)/60</f>
        <v>2.5166666666666666</v>
      </c>
      <c r="N804" s="17">
        <v>0.4</v>
      </c>
      <c r="O804" s="17" t="str">
        <f ca="1">PROPER(Music_Data[[#This Row],[Playlist_subgenre2]])</f>
        <v>Reggaeton</v>
      </c>
    </row>
    <row r="805" spans="1:15">
      <c r="A805" s="17">
        <v>0.621</v>
      </c>
      <c r="B805" s="21">
        <v>139</v>
      </c>
      <c r="C805" s="16">
        <v>0.78700000000000003</v>
      </c>
      <c r="D805" s="16" t="str">
        <f ca="1">PROPER(Music_Data[[#This Row],[Playlist_genre2]])</f>
        <v>Latin</v>
      </c>
      <c r="E805" s="17">
        <v>0.13</v>
      </c>
      <c r="F805" t="s">
        <v>2907</v>
      </c>
      <c r="G805">
        <v>77</v>
      </c>
      <c r="H805" t="s">
        <v>10614</v>
      </c>
      <c r="I805" t="s">
        <v>10663</v>
      </c>
      <c r="J805" s="22">
        <v>45212</v>
      </c>
      <c r="K805">
        <v>0</v>
      </c>
      <c r="L805">
        <v>4</v>
      </c>
      <c r="M805" s="21">
        <f ca="1">LEFT(Music_Data[[#This Row],[Duration_minutes]],3)/60</f>
        <v>4.45</v>
      </c>
      <c r="N805" s="17">
        <v>0.15</v>
      </c>
      <c r="O805" s="17" t="str">
        <f ca="1">PROPER(Music_Data[[#This Row],[Playlist_subgenre2]])</f>
        <v>Reggaeton</v>
      </c>
    </row>
    <row r="806" spans="1:15">
      <c r="A806" s="17">
        <v>0.82399999999999995</v>
      </c>
      <c r="B806" s="21">
        <v>124</v>
      </c>
      <c r="C806" s="16">
        <v>0.747</v>
      </c>
      <c r="D806" s="16" t="str">
        <f ca="1">PROPER(Music_Data[[#This Row],[Playlist_genre2]])</f>
        <v>Latin</v>
      </c>
      <c r="E806" s="17">
        <v>0.79300000000000004</v>
      </c>
      <c r="F806" t="s">
        <v>3338</v>
      </c>
      <c r="G806">
        <v>77</v>
      </c>
      <c r="H806" t="s">
        <v>3030</v>
      </c>
      <c r="I806" t="s">
        <v>3342</v>
      </c>
      <c r="J806" s="22">
        <v>45541</v>
      </c>
      <c r="K806">
        <v>0</v>
      </c>
      <c r="L806">
        <v>7</v>
      </c>
      <c r="M806" s="21">
        <f ca="1">LEFT(Music_Data[[#This Row],[Duration_minutes]],3)/60</f>
        <v>2.8</v>
      </c>
      <c r="N806" s="17">
        <v>0.184</v>
      </c>
      <c r="O806" s="17" t="str">
        <f ca="1">PROPER(Music_Data[[#This Row],[Playlist_subgenre2]])</f>
        <v>Modern</v>
      </c>
    </row>
    <row r="807" spans="1:15">
      <c r="A807" s="17">
        <v>0.872</v>
      </c>
      <c r="B807" s="21">
        <v>128</v>
      </c>
      <c r="C807" s="16">
        <v>0.81599999999999995</v>
      </c>
      <c r="D807" s="16" t="str">
        <f ca="1">PROPER(Music_Data[[#This Row],[Playlist_genre2]])</f>
        <v>Latin</v>
      </c>
      <c r="E807" s="17">
        <v>0.94</v>
      </c>
      <c r="F807" t="s">
        <v>3380</v>
      </c>
      <c r="G807">
        <v>77</v>
      </c>
      <c r="H807" t="s">
        <v>3030</v>
      </c>
      <c r="I807" t="s">
        <v>3383</v>
      </c>
      <c r="J807" s="22">
        <v>45577</v>
      </c>
      <c r="K807">
        <v>0</v>
      </c>
      <c r="L807">
        <v>11</v>
      </c>
      <c r="M807" s="21">
        <f ca="1">LEFT(Music_Data[[#This Row],[Duration_minutes]],3)/60</f>
        <v>2.6166666666666667</v>
      </c>
      <c r="N807" s="17">
        <v>0.25</v>
      </c>
      <c r="O807" s="17" t="str">
        <f ca="1">PROPER(Music_Data[[#This Row],[Playlist_subgenre2]])</f>
        <v>Modern</v>
      </c>
    </row>
    <row r="808" spans="1:15">
      <c r="A808" s="17">
        <v>0.85399999999999998</v>
      </c>
      <c r="B808" s="21">
        <v>117</v>
      </c>
      <c r="C808" s="16">
        <v>0.78600000000000003</v>
      </c>
      <c r="D808" s="16" t="str">
        <f ca="1">PROPER(Music_Data[[#This Row],[Playlist_genre2]])</f>
        <v>Latin</v>
      </c>
      <c r="E808" s="17">
        <v>0.52200000000000002</v>
      </c>
      <c r="F808" t="s">
        <v>10633</v>
      </c>
      <c r="G808">
        <v>77</v>
      </c>
      <c r="H808" t="s">
        <v>10614</v>
      </c>
      <c r="I808" t="s">
        <v>10636</v>
      </c>
      <c r="J808" s="22">
        <v>45407</v>
      </c>
      <c r="K808">
        <v>0</v>
      </c>
      <c r="L808">
        <v>10</v>
      </c>
      <c r="M808" s="21">
        <f ca="1">LEFT(Music_Data[[#This Row],[Duration_minutes]],3)/60</f>
        <v>4.6333333333333337</v>
      </c>
      <c r="N808" s="17">
        <v>0.16900000000000001</v>
      </c>
      <c r="O808" s="17" t="str">
        <f ca="1">PROPER(Music_Data[[#This Row],[Playlist_subgenre2]])</f>
        <v>Reggaeton</v>
      </c>
    </row>
    <row r="809" spans="1:15">
      <c r="A809" s="17">
        <v>0.69</v>
      </c>
      <c r="B809" s="21">
        <v>151</v>
      </c>
      <c r="C809" s="16">
        <v>0.83899999999999997</v>
      </c>
      <c r="D809" s="16" t="str">
        <f ca="1">PROPER(Music_Data[[#This Row],[Playlist_genre2]])</f>
        <v>Latin</v>
      </c>
      <c r="E809" s="17">
        <v>0.74399999999999999</v>
      </c>
      <c r="F809" t="s">
        <v>2907</v>
      </c>
      <c r="G809">
        <v>76</v>
      </c>
      <c r="H809" t="s">
        <v>6628</v>
      </c>
      <c r="I809" t="s">
        <v>6747</v>
      </c>
      <c r="J809" s="22">
        <v>44687</v>
      </c>
      <c r="K809">
        <v>1</v>
      </c>
      <c r="L809">
        <v>11</v>
      </c>
      <c r="M809" s="21">
        <f ca="1">LEFT(Music_Data[[#This Row],[Duration_minutes]],3)/60</f>
        <v>3.2666666666666666</v>
      </c>
      <c r="N809" s="17">
        <v>0.20699999999999999</v>
      </c>
      <c r="O809" s="17" t="str">
        <f ca="1">PROPER(Music_Data[[#This Row],[Playlist_subgenre2]])</f>
        <v>Chill</v>
      </c>
    </row>
    <row r="810" spans="1:15">
      <c r="A810" s="17">
        <v>0.68400000000000005</v>
      </c>
      <c r="B810" s="21">
        <v>114</v>
      </c>
      <c r="C810" s="16">
        <v>0.79500000000000004</v>
      </c>
      <c r="D810" s="16" t="str">
        <f ca="1">PROPER(Music_Data[[#This Row],[Playlist_genre2]])</f>
        <v>Latin</v>
      </c>
      <c r="E810" s="17">
        <v>0.41899999999999998</v>
      </c>
      <c r="F810" t="s">
        <v>10729</v>
      </c>
      <c r="G810">
        <v>76</v>
      </c>
      <c r="H810" t="s">
        <v>10614</v>
      </c>
      <c r="I810" t="s">
        <v>10735</v>
      </c>
      <c r="J810" s="22">
        <v>44687</v>
      </c>
      <c r="K810">
        <v>0</v>
      </c>
      <c r="L810">
        <v>11</v>
      </c>
      <c r="M810" s="21">
        <f ca="1">LEFT(Music_Data[[#This Row],[Duration_minutes]],3)/60</f>
        <v>3.95</v>
      </c>
      <c r="N810" s="17">
        <v>2.2499999999999999E-2</v>
      </c>
      <c r="O810" s="17" t="str">
        <f ca="1">PROPER(Music_Data[[#This Row],[Playlist_subgenre2]])</f>
        <v>Reggaeton</v>
      </c>
    </row>
    <row r="811" spans="1:15">
      <c r="A811" s="17">
        <v>0.86</v>
      </c>
      <c r="B811" s="21">
        <v>939</v>
      </c>
      <c r="C811" s="16">
        <v>0.73699999999999999</v>
      </c>
      <c r="D811" s="16" t="str">
        <f ca="1">PROPER(Music_Data[[#This Row],[Playlist_genre2]])</f>
        <v>Latin</v>
      </c>
      <c r="E811" s="17">
        <v>0.65600000000000003</v>
      </c>
      <c r="F811" t="s">
        <v>8362</v>
      </c>
      <c r="G811">
        <v>76</v>
      </c>
      <c r="H811" t="s">
        <v>10614</v>
      </c>
      <c r="I811" t="s">
        <v>8366</v>
      </c>
      <c r="J811" s="22">
        <v>43489</v>
      </c>
      <c r="K811">
        <v>0</v>
      </c>
      <c r="L811">
        <v>8</v>
      </c>
      <c r="M811" s="21">
        <f ca="1">LEFT(Music_Data[[#This Row],[Duration_minutes]],3)/60</f>
        <v>3.2166666666666668</v>
      </c>
      <c r="N811" s="17">
        <v>0.11</v>
      </c>
      <c r="O811" s="17" t="str">
        <f ca="1">PROPER(Music_Data[[#This Row],[Playlist_subgenre2]])</f>
        <v>Reggaeton</v>
      </c>
    </row>
    <row r="812" spans="1:15">
      <c r="A812" s="17">
        <v>0.67300000000000004</v>
      </c>
      <c r="B812" s="21">
        <v>920</v>
      </c>
      <c r="C812" s="16">
        <v>0.45300000000000001</v>
      </c>
      <c r="D812" s="16" t="str">
        <f ca="1">PROPER(Music_Data[[#This Row],[Playlist_genre2]])</f>
        <v>Latin</v>
      </c>
      <c r="E812" s="17">
        <v>0.26600000000000001</v>
      </c>
      <c r="F812" t="s">
        <v>6701</v>
      </c>
      <c r="G812">
        <v>76</v>
      </c>
      <c r="H812" t="s">
        <v>6628</v>
      </c>
      <c r="I812" t="s">
        <v>6707</v>
      </c>
      <c r="J812" s="22">
        <v>44609</v>
      </c>
      <c r="K812">
        <v>1</v>
      </c>
      <c r="L812">
        <v>8</v>
      </c>
      <c r="M812" s="21">
        <f ca="1">LEFT(Music_Data[[#This Row],[Duration_minutes]],3)/60</f>
        <v>2.65</v>
      </c>
      <c r="N812" s="17">
        <v>0.32</v>
      </c>
      <c r="O812" s="17" t="str">
        <f ca="1">PROPER(Music_Data[[#This Row],[Playlist_subgenre2]])</f>
        <v>Chill</v>
      </c>
    </row>
    <row r="813" spans="1:15">
      <c r="A813" s="17">
        <v>0.73699999999999999</v>
      </c>
      <c r="B813" s="21">
        <v>101</v>
      </c>
      <c r="C813" s="16">
        <v>0.77900000000000003</v>
      </c>
      <c r="D813" s="16" t="str">
        <f ca="1">PROPER(Music_Data[[#This Row],[Playlist_genre2]])</f>
        <v>Latin</v>
      </c>
      <c r="E813" s="17">
        <v>0.44500000000000001</v>
      </c>
      <c r="F813" t="s">
        <v>3045</v>
      </c>
      <c r="G813">
        <v>76</v>
      </c>
      <c r="H813" t="s">
        <v>3030</v>
      </c>
      <c r="I813" t="s">
        <v>3048</v>
      </c>
      <c r="J813" s="22">
        <v>45603</v>
      </c>
      <c r="K813">
        <v>1</v>
      </c>
      <c r="L813">
        <v>11</v>
      </c>
      <c r="M813" s="21">
        <f ca="1">LEFT(Music_Data[[#This Row],[Duration_minutes]],3)/60</f>
        <v>2.8333333333333335</v>
      </c>
      <c r="N813" s="17">
        <v>0.13400000000000001</v>
      </c>
      <c r="O813" s="17" t="str">
        <f ca="1">PROPER(Music_Data[[#This Row],[Playlist_subgenre2]])</f>
        <v>Modern</v>
      </c>
    </row>
    <row r="814" spans="1:15">
      <c r="A814" s="17">
        <v>0.76600000000000001</v>
      </c>
      <c r="B814" s="21">
        <v>130</v>
      </c>
      <c r="C814" s="16">
        <v>0.76200000000000001</v>
      </c>
      <c r="D814" s="16" t="str">
        <f ca="1">PROPER(Music_Data[[#This Row],[Playlist_genre2]])</f>
        <v>Latin</v>
      </c>
      <c r="E814" s="17">
        <v>0.442</v>
      </c>
      <c r="F814" t="s">
        <v>11015</v>
      </c>
      <c r="G814">
        <v>76</v>
      </c>
      <c r="H814" t="s">
        <v>10614</v>
      </c>
      <c r="I814" t="s">
        <v>11018</v>
      </c>
      <c r="J814" s="22">
        <v>44371</v>
      </c>
      <c r="K814">
        <v>1</v>
      </c>
      <c r="L814">
        <v>7</v>
      </c>
      <c r="M814" s="21">
        <f ca="1">LEFT(Music_Data[[#This Row],[Duration_minutes]],3)/60</f>
        <v>4.7833333333333332</v>
      </c>
      <c r="N814" s="17">
        <v>7.7600000000000004E-3</v>
      </c>
      <c r="O814" s="17" t="str">
        <f ca="1">PROPER(Music_Data[[#This Row],[Playlist_subgenre2]])</f>
        <v>Reggaeton</v>
      </c>
    </row>
    <row r="815" spans="1:15">
      <c r="A815" s="17">
        <v>0.496</v>
      </c>
      <c r="B815" s="21">
        <v>100</v>
      </c>
      <c r="C815" s="16">
        <v>0.69599999999999995</v>
      </c>
      <c r="D815" s="16" t="str">
        <f ca="1">PROPER(Music_Data[[#This Row],[Playlist_genre2]])</f>
        <v>Latin</v>
      </c>
      <c r="E815" s="17">
        <v>0.47599999999999998</v>
      </c>
      <c r="F815" t="s">
        <v>11299</v>
      </c>
      <c r="G815">
        <v>76</v>
      </c>
      <c r="H815" t="s">
        <v>10614</v>
      </c>
      <c r="I815" t="s">
        <v>11304</v>
      </c>
      <c r="J815" s="22">
        <v>45513</v>
      </c>
      <c r="K815">
        <v>0</v>
      </c>
      <c r="L815">
        <v>9</v>
      </c>
      <c r="M815" s="21">
        <f ca="1">LEFT(Music_Data[[#This Row],[Duration_minutes]],3)/60</f>
        <v>3.0666666666666669</v>
      </c>
      <c r="N815" s="17">
        <v>0.27300000000000002</v>
      </c>
      <c r="O815" s="17" t="str">
        <f ca="1">PROPER(Music_Data[[#This Row],[Playlist_subgenre2]])</f>
        <v>Reggaeton</v>
      </c>
    </row>
    <row r="816" spans="1:15">
      <c r="A816" s="17">
        <v>0.50700000000000001</v>
      </c>
      <c r="B816" s="21">
        <v>999</v>
      </c>
      <c r="C816" s="16">
        <v>0.755</v>
      </c>
      <c r="D816" s="16" t="str">
        <f ca="1">PROPER(Music_Data[[#This Row],[Playlist_genre2]])</f>
        <v>Latin</v>
      </c>
      <c r="E816" s="17">
        <v>0.60599999999999998</v>
      </c>
      <c r="F816" t="s">
        <v>11299</v>
      </c>
      <c r="G816">
        <v>76</v>
      </c>
      <c r="H816" t="s">
        <v>10614</v>
      </c>
      <c r="I816" t="s">
        <v>11316</v>
      </c>
      <c r="J816" s="22">
        <v>45513</v>
      </c>
      <c r="K816">
        <v>0</v>
      </c>
      <c r="L816">
        <v>3</v>
      </c>
      <c r="M816" s="21">
        <f ca="1">LEFT(Music_Data[[#This Row],[Duration_minutes]],3)/60</f>
        <v>2.0666666666666669</v>
      </c>
      <c r="N816" s="17">
        <v>0.29299999999999998</v>
      </c>
      <c r="O816" s="17" t="str">
        <f ca="1">PROPER(Music_Data[[#This Row],[Playlist_subgenre2]])</f>
        <v>Reggaeton</v>
      </c>
    </row>
    <row r="817" spans="1:15">
      <c r="A817" s="17">
        <v>0.42199999999999999</v>
      </c>
      <c r="B817" s="21">
        <v>124</v>
      </c>
      <c r="C817" s="16">
        <v>0.57299999999999995</v>
      </c>
      <c r="D817" s="16" t="str">
        <f ca="1">PROPER(Music_Data[[#This Row],[Playlist_genre2]])</f>
        <v>Latin</v>
      </c>
      <c r="E817" s="17">
        <v>0.69299999999999995</v>
      </c>
      <c r="F817" t="s">
        <v>13115</v>
      </c>
      <c r="G817">
        <v>76</v>
      </c>
      <c r="H817" t="s">
        <v>13090</v>
      </c>
      <c r="I817" t="s">
        <v>13118</v>
      </c>
      <c r="J817" s="22">
        <v>44901</v>
      </c>
      <c r="K817">
        <v>0</v>
      </c>
      <c r="L817">
        <v>10</v>
      </c>
      <c r="M817" s="21">
        <f ca="1">LEFT(Music_Data[[#This Row],[Duration_minutes]],3)/60</f>
        <v>3.0666666666666669</v>
      </c>
      <c r="N817" s="17">
        <v>0.55100000000000005</v>
      </c>
      <c r="O817" s="17" t="str">
        <f ca="1">PROPER(Music_Data[[#This Row],[Playlist_subgenre2]])</f>
        <v>Afro-Latin</v>
      </c>
    </row>
    <row r="818" spans="1:15">
      <c r="A818" s="17">
        <v>0.71899999999999997</v>
      </c>
      <c r="B818" s="21">
        <v>104</v>
      </c>
      <c r="C818" s="16">
        <v>0.70699999999999996</v>
      </c>
      <c r="D818" s="16" t="str">
        <f ca="1">PROPER(Music_Data[[#This Row],[Playlist_genre2]])</f>
        <v>Latin</v>
      </c>
      <c r="E818" s="17">
        <v>0.70099999999999996</v>
      </c>
      <c r="F818" t="s">
        <v>3145</v>
      </c>
      <c r="G818">
        <v>76</v>
      </c>
      <c r="H818" t="s">
        <v>3030</v>
      </c>
      <c r="I818" t="s">
        <v>3149</v>
      </c>
      <c r="J818" s="22">
        <v>45596</v>
      </c>
      <c r="K818">
        <v>0</v>
      </c>
      <c r="L818">
        <v>4</v>
      </c>
      <c r="M818" s="21">
        <f ca="1">LEFT(Music_Data[[#This Row],[Duration_minutes]],3)/60</f>
        <v>2.7</v>
      </c>
      <c r="N818" s="17">
        <v>0.223</v>
      </c>
      <c r="O818" s="17" t="str">
        <f ca="1">PROPER(Music_Data[[#This Row],[Playlist_subgenre2]])</f>
        <v>Modern</v>
      </c>
    </row>
    <row r="819" spans="1:15">
      <c r="A819" s="17">
        <v>0.47599999999999998</v>
      </c>
      <c r="B819" s="21">
        <v>129</v>
      </c>
      <c r="C819" s="16">
        <v>0.79300000000000004</v>
      </c>
      <c r="D819" s="16" t="str">
        <f ca="1">PROPER(Music_Data[[#This Row],[Playlist_genre2]])</f>
        <v>Latin</v>
      </c>
      <c r="E819" s="17">
        <v>0.57799999999999996</v>
      </c>
      <c r="F819" t="s">
        <v>11268</v>
      </c>
      <c r="G819">
        <v>75</v>
      </c>
      <c r="H819" t="s">
        <v>10614</v>
      </c>
      <c r="I819" t="s">
        <v>11271</v>
      </c>
      <c r="J819" s="22">
        <v>45156</v>
      </c>
      <c r="K819">
        <v>0</v>
      </c>
      <c r="L819">
        <v>5</v>
      </c>
      <c r="M819" s="21">
        <f ca="1">LEFT(Music_Data[[#This Row],[Duration_minutes]],3)/60</f>
        <v>3.2333333333333334</v>
      </c>
      <c r="N819" s="17">
        <v>0.13200000000000001</v>
      </c>
      <c r="O819" s="17" t="str">
        <f ca="1">PROPER(Music_Data[[#This Row],[Playlist_subgenre2]])</f>
        <v>Reggaeton</v>
      </c>
    </row>
    <row r="820" spans="1:15">
      <c r="A820" s="17">
        <v>0.498</v>
      </c>
      <c r="B820" s="21">
        <v>122</v>
      </c>
      <c r="C820" s="16">
        <v>0.876</v>
      </c>
      <c r="D820" s="16" t="str">
        <f ca="1">PROPER(Music_Data[[#This Row],[Playlist_genre2]])</f>
        <v>Latin</v>
      </c>
      <c r="E820" s="17">
        <v>0.42799999999999999</v>
      </c>
      <c r="F820" t="s">
        <v>2907</v>
      </c>
      <c r="G820">
        <v>75</v>
      </c>
      <c r="H820" t="s">
        <v>6628</v>
      </c>
      <c r="I820" t="s">
        <v>6740</v>
      </c>
      <c r="J820" s="22">
        <v>44687</v>
      </c>
      <c r="K820">
        <v>1</v>
      </c>
      <c r="L820">
        <v>10</v>
      </c>
      <c r="M820" s="21">
        <f ca="1">LEFT(Music_Data[[#This Row],[Duration_minutes]],3)/60</f>
        <v>2.8833333333333333</v>
      </c>
      <c r="N820" s="17">
        <v>7.0599999999999996E-2</v>
      </c>
      <c r="O820" s="17" t="str">
        <f ca="1">PROPER(Music_Data[[#This Row],[Playlist_subgenre2]])</f>
        <v>Chill</v>
      </c>
    </row>
    <row r="821" spans="1:15">
      <c r="A821" s="17">
        <v>0.64800000000000002</v>
      </c>
      <c r="B821" s="21">
        <v>179</v>
      </c>
      <c r="C821" s="16">
        <v>0.64400000000000002</v>
      </c>
      <c r="D821" s="16" t="str">
        <f ca="1">PROPER(Music_Data[[#This Row],[Playlist_genre2]])</f>
        <v>Latin</v>
      </c>
      <c r="E821" s="17">
        <v>0.44</v>
      </c>
      <c r="F821" t="s">
        <v>2907</v>
      </c>
      <c r="G821">
        <v>75</v>
      </c>
      <c r="H821" t="s">
        <v>10614</v>
      </c>
      <c r="I821" t="s">
        <v>10779</v>
      </c>
      <c r="J821" s="22">
        <v>44351</v>
      </c>
      <c r="K821">
        <v>1</v>
      </c>
      <c r="L821">
        <v>1</v>
      </c>
      <c r="M821" s="21">
        <f ca="1">LEFT(Music_Data[[#This Row],[Duration_minutes]],3)/60</f>
        <v>3.4333333333333331</v>
      </c>
      <c r="N821" s="17">
        <v>0.27600000000000002</v>
      </c>
      <c r="O821" s="17" t="str">
        <f ca="1">PROPER(Music_Data[[#This Row],[Playlist_subgenre2]])</f>
        <v>Reggaeton</v>
      </c>
    </row>
    <row r="822" spans="1:15">
      <c r="A822" s="17">
        <v>0.57299999999999995</v>
      </c>
      <c r="B822" s="21">
        <v>109</v>
      </c>
      <c r="C822" s="16">
        <v>0.73099999999999998</v>
      </c>
      <c r="D822" s="16" t="str">
        <f ca="1">PROPER(Music_Data[[#This Row],[Playlist_genre2]])</f>
        <v>Latin</v>
      </c>
      <c r="E822" s="17">
        <v>0.14499999999999999</v>
      </c>
      <c r="F822" t="s">
        <v>10729</v>
      </c>
      <c r="G822">
        <v>75</v>
      </c>
      <c r="H822" t="s">
        <v>10614</v>
      </c>
      <c r="I822" t="s">
        <v>10808</v>
      </c>
      <c r="J822" s="22">
        <v>44162</v>
      </c>
      <c r="K822">
        <v>0</v>
      </c>
      <c r="L822">
        <v>4</v>
      </c>
      <c r="M822" s="21">
        <f ca="1">LEFT(Music_Data[[#This Row],[Duration_minutes]],3)/60</f>
        <v>3.4166666666666665</v>
      </c>
      <c r="N822" s="17">
        <v>0.40100000000000002</v>
      </c>
      <c r="O822" s="17" t="str">
        <f ca="1">PROPER(Music_Data[[#This Row],[Playlist_subgenre2]])</f>
        <v>Reggaeton</v>
      </c>
    </row>
    <row r="823" spans="1:15">
      <c r="A823" s="17">
        <v>0.59499999999999997</v>
      </c>
      <c r="B823" s="21">
        <v>108</v>
      </c>
      <c r="C823" s="16">
        <v>0.77700000000000002</v>
      </c>
      <c r="D823" s="16" t="str">
        <f ca="1">PROPER(Music_Data[[#This Row],[Playlist_genre2]])</f>
        <v>Latin</v>
      </c>
      <c r="E823" s="17">
        <v>0.54600000000000004</v>
      </c>
      <c r="F823" t="s">
        <v>13201</v>
      </c>
      <c r="G823">
        <v>75</v>
      </c>
      <c r="H823" t="s">
        <v>6628</v>
      </c>
      <c r="I823" t="s">
        <v>6727</v>
      </c>
      <c r="J823" s="22">
        <v>44687</v>
      </c>
      <c r="K823">
        <v>1</v>
      </c>
      <c r="L823">
        <v>2</v>
      </c>
      <c r="M823" s="21">
        <f ca="1">LEFT(Music_Data[[#This Row],[Duration_minutes]],3)/60</f>
        <v>4.0666666666666664</v>
      </c>
      <c r="N823" s="17">
        <v>0.59</v>
      </c>
      <c r="O823" s="17" t="str">
        <f ca="1">PROPER(Music_Data[[#This Row],[Playlist_subgenre2]])</f>
        <v>Chill</v>
      </c>
    </row>
    <row r="824" spans="1:15">
      <c r="A824" s="17">
        <v>0.74</v>
      </c>
      <c r="B824" s="21">
        <v>117</v>
      </c>
      <c r="C824" s="16">
        <v>0.748</v>
      </c>
      <c r="D824" s="16" t="str">
        <f ca="1">PROPER(Music_Data[[#This Row],[Playlist_genre2]])</f>
        <v>Latin</v>
      </c>
      <c r="E824" s="17">
        <v>0.61799999999999999</v>
      </c>
      <c r="F824" t="s">
        <v>3229</v>
      </c>
      <c r="G824">
        <v>75</v>
      </c>
      <c r="H824" t="s">
        <v>3030</v>
      </c>
      <c r="I824" t="s">
        <v>3233</v>
      </c>
      <c r="J824" s="22">
        <v>45589</v>
      </c>
      <c r="K824">
        <v>0</v>
      </c>
      <c r="L824">
        <v>7</v>
      </c>
      <c r="M824" s="21">
        <f ca="1">LEFT(Music_Data[[#This Row],[Duration_minutes]],3)/60</f>
        <v>3.3</v>
      </c>
      <c r="N824" s="17">
        <v>2.92E-2</v>
      </c>
      <c r="O824" s="17" t="str">
        <f ca="1">PROPER(Music_Data[[#This Row],[Playlist_subgenre2]])</f>
        <v>Modern</v>
      </c>
    </row>
    <row r="825" spans="1:15">
      <c r="A825" s="17">
        <v>0.85599999999999998</v>
      </c>
      <c r="B825" s="21">
        <v>136</v>
      </c>
      <c r="C825" s="16">
        <v>0.69099999999999995</v>
      </c>
      <c r="D825" s="16" t="str">
        <f ca="1">PROPER(Music_Data[[#This Row],[Playlist_genre2]])</f>
        <v>Latin</v>
      </c>
      <c r="E825" s="17">
        <v>0.71299999999999997</v>
      </c>
      <c r="F825" t="s">
        <v>3241</v>
      </c>
      <c r="G825">
        <v>75</v>
      </c>
      <c r="H825" t="s">
        <v>3030</v>
      </c>
      <c r="I825" t="s">
        <v>3245</v>
      </c>
      <c r="J825" s="22">
        <v>45596</v>
      </c>
      <c r="K825">
        <v>0</v>
      </c>
      <c r="L825">
        <v>6</v>
      </c>
      <c r="M825" s="21">
        <f ca="1">LEFT(Music_Data[[#This Row],[Duration_minutes]],3)/60</f>
        <v>2.6166666666666667</v>
      </c>
      <c r="N825" s="17">
        <v>0.2</v>
      </c>
      <c r="O825" s="17" t="str">
        <f ca="1">PROPER(Music_Data[[#This Row],[Playlist_subgenre2]])</f>
        <v>Modern</v>
      </c>
    </row>
    <row r="826" spans="1:15">
      <c r="A826" s="17">
        <v>0.72399999999999998</v>
      </c>
      <c r="B826" s="21">
        <v>831</v>
      </c>
      <c r="C826" s="16">
        <v>0.56899999999999995</v>
      </c>
      <c r="D826" s="16" t="str">
        <f ca="1">PROPER(Music_Data[[#This Row],[Playlist_genre2]])</f>
        <v>Latin</v>
      </c>
      <c r="E826" s="17">
        <v>0.56200000000000006</v>
      </c>
      <c r="F826" t="s">
        <v>6818</v>
      </c>
      <c r="G826">
        <v>75</v>
      </c>
      <c r="H826" t="s">
        <v>6628</v>
      </c>
      <c r="I826" t="s">
        <v>6822</v>
      </c>
      <c r="J826" s="22">
        <v>45033</v>
      </c>
      <c r="K826">
        <v>0</v>
      </c>
      <c r="L826">
        <v>6</v>
      </c>
      <c r="M826" s="21">
        <f ca="1">LEFT(Music_Data[[#This Row],[Duration_minutes]],3)/60</f>
        <v>3.2333333333333334</v>
      </c>
      <c r="N826" s="17">
        <v>0.22800000000000001</v>
      </c>
      <c r="O826" s="17" t="str">
        <f ca="1">PROPER(Music_Data[[#This Row],[Playlist_subgenre2]])</f>
        <v>Chill</v>
      </c>
    </row>
    <row r="827" spans="1:15">
      <c r="A827" s="17">
        <v>0.61699999999999999</v>
      </c>
      <c r="B827" s="21">
        <v>173</v>
      </c>
      <c r="C827" s="16">
        <v>0.70299999999999996</v>
      </c>
      <c r="D827" s="16" t="str">
        <f ca="1">PROPER(Music_Data[[#This Row],[Playlist_genre2]])</f>
        <v>Latin</v>
      </c>
      <c r="E827" s="17">
        <v>0.48599999999999999</v>
      </c>
      <c r="F827" t="s">
        <v>11242</v>
      </c>
      <c r="G827">
        <v>75</v>
      </c>
      <c r="H827" t="s">
        <v>10614</v>
      </c>
      <c r="I827" t="s">
        <v>11248</v>
      </c>
      <c r="J827" s="22">
        <v>45378</v>
      </c>
      <c r="K827">
        <v>1</v>
      </c>
      <c r="L827">
        <v>5</v>
      </c>
      <c r="M827" s="21">
        <f ca="1">LEFT(Music_Data[[#This Row],[Duration_minutes]],3)/60</f>
        <v>4.583333333333333</v>
      </c>
      <c r="N827" s="17">
        <v>0.215</v>
      </c>
      <c r="O827" s="17" t="str">
        <f ca="1">PROPER(Music_Data[[#This Row],[Playlist_subgenre2]])</f>
        <v>Reggaeton</v>
      </c>
    </row>
    <row r="828" spans="1:15">
      <c r="A828" s="17">
        <v>0.79100000000000004</v>
      </c>
      <c r="B828" s="21">
        <v>926</v>
      </c>
      <c r="C828" s="16">
        <v>0.63900000000000001</v>
      </c>
      <c r="D828" s="16" t="str">
        <f ca="1">PROPER(Music_Data[[#This Row],[Playlist_genre2]])</f>
        <v>Latin</v>
      </c>
      <c r="E828" s="17">
        <v>0.93300000000000005</v>
      </c>
      <c r="F828" t="s">
        <v>10876</v>
      </c>
      <c r="G828">
        <v>75</v>
      </c>
      <c r="H828" t="s">
        <v>10614</v>
      </c>
      <c r="I828" t="s">
        <v>10889</v>
      </c>
      <c r="J828" s="22">
        <v>43644</v>
      </c>
      <c r="K828">
        <v>0</v>
      </c>
      <c r="L828">
        <v>10</v>
      </c>
      <c r="M828" s="21">
        <f ca="1">LEFT(Music_Data[[#This Row],[Duration_minutes]],3)/60</f>
        <v>3.7</v>
      </c>
      <c r="N828" s="17">
        <v>2.75E-2</v>
      </c>
      <c r="O828" s="17" t="str">
        <f ca="1">PROPER(Music_Data[[#This Row],[Playlist_subgenre2]])</f>
        <v>Reggaeton</v>
      </c>
    </row>
    <row r="829" spans="1:15">
      <c r="A829" s="17">
        <v>0.67500000000000004</v>
      </c>
      <c r="B829" s="21">
        <v>793</v>
      </c>
      <c r="C829" s="16">
        <v>0.627</v>
      </c>
      <c r="D829" s="16" t="str">
        <f ca="1">PROPER(Music_Data[[#This Row],[Playlist_genre2]])</f>
        <v>Latin</v>
      </c>
      <c r="E829" s="17">
        <v>0.96099999999999997</v>
      </c>
      <c r="F829" t="s">
        <v>11001</v>
      </c>
      <c r="G829">
        <v>75</v>
      </c>
      <c r="H829" t="s">
        <v>10614</v>
      </c>
      <c r="I829" t="s">
        <v>11006</v>
      </c>
      <c r="J829" s="22">
        <v>43644</v>
      </c>
      <c r="K829">
        <v>0</v>
      </c>
      <c r="L829">
        <v>5</v>
      </c>
      <c r="M829" s="21">
        <f ca="1">LEFT(Music_Data[[#This Row],[Duration_minutes]],3)/60</f>
        <v>4.6166666666666663</v>
      </c>
      <c r="N829" s="17">
        <v>0.125</v>
      </c>
      <c r="O829" s="17" t="str">
        <f ca="1">PROPER(Music_Data[[#This Row],[Playlist_subgenre2]])</f>
        <v>Reggaeton</v>
      </c>
    </row>
    <row r="830" spans="1:15">
      <c r="A830" s="17">
        <v>0.59399999999999997</v>
      </c>
      <c r="B830" s="21">
        <v>125</v>
      </c>
      <c r="C830" s="16">
        <v>0.69399999999999995</v>
      </c>
      <c r="D830" s="16" t="str">
        <f ca="1">PROPER(Music_Data[[#This Row],[Playlist_genre2]])</f>
        <v>Latin</v>
      </c>
      <c r="E830" s="17">
        <v>0.67200000000000004</v>
      </c>
      <c r="F830" t="s">
        <v>13169</v>
      </c>
      <c r="G830">
        <v>75</v>
      </c>
      <c r="H830" t="s">
        <v>3030</v>
      </c>
      <c r="I830" t="s">
        <v>3172</v>
      </c>
      <c r="J830" s="22">
        <v>45603</v>
      </c>
      <c r="K830">
        <v>0</v>
      </c>
      <c r="L830">
        <v>8</v>
      </c>
      <c r="M830" s="21">
        <f ca="1">LEFT(Music_Data[[#This Row],[Duration_minutes]],3)/60</f>
        <v>5.1166666666666663</v>
      </c>
      <c r="N830" s="17">
        <v>0.39600000000000002</v>
      </c>
      <c r="O830" s="17" t="str">
        <f ca="1">PROPER(Music_Data[[#This Row],[Playlist_subgenre2]])</f>
        <v>Modern</v>
      </c>
    </row>
    <row r="831" spans="1:15">
      <c r="A831" s="17">
        <v>0.88</v>
      </c>
      <c r="B831" s="21">
        <v>180</v>
      </c>
      <c r="C831" s="16">
        <v>0.72</v>
      </c>
      <c r="D831" s="16" t="str">
        <f ca="1">PROPER(Music_Data[[#This Row],[Playlist_genre2]])</f>
        <v>Latin</v>
      </c>
      <c r="E831" s="17">
        <v>0.46300000000000002</v>
      </c>
      <c r="F831" t="s">
        <v>11194</v>
      </c>
      <c r="G831">
        <v>75</v>
      </c>
      <c r="H831" t="s">
        <v>10614</v>
      </c>
      <c r="I831" t="s">
        <v>11197</v>
      </c>
      <c r="J831" s="22">
        <v>45267</v>
      </c>
      <c r="K831">
        <v>1</v>
      </c>
      <c r="L831">
        <v>9</v>
      </c>
      <c r="M831" s="21">
        <f ca="1">LEFT(Music_Data[[#This Row],[Duration_minutes]],3)/60</f>
        <v>3.2833333333333332</v>
      </c>
      <c r="N831" s="17">
        <v>5.62E-2</v>
      </c>
      <c r="O831" s="17" t="str">
        <f ca="1">PROPER(Music_Data[[#This Row],[Playlist_subgenre2]])</f>
        <v>Reggaeton</v>
      </c>
    </row>
    <row r="832" spans="1:15">
      <c r="A832" s="17">
        <v>0.76500000000000001</v>
      </c>
      <c r="B832" s="21">
        <v>174</v>
      </c>
      <c r="C832" s="16">
        <v>0.69099999999999995</v>
      </c>
      <c r="D832" s="16" t="str">
        <f ca="1">PROPER(Music_Data[[#This Row],[Playlist_genre2]])</f>
        <v>Latin</v>
      </c>
      <c r="E832" s="17">
        <v>0.85499999999999998</v>
      </c>
      <c r="F832" t="s">
        <v>10810</v>
      </c>
      <c r="G832">
        <v>74</v>
      </c>
      <c r="H832" t="s">
        <v>10614</v>
      </c>
      <c r="I832" t="s">
        <v>10816</v>
      </c>
      <c r="J832" s="22">
        <v>43980</v>
      </c>
      <c r="K832">
        <v>1</v>
      </c>
      <c r="L832">
        <v>8</v>
      </c>
      <c r="M832" s="21">
        <f ca="1">LEFT(Music_Data[[#This Row],[Duration_minutes]],3)/60</f>
        <v>4.0999999999999996</v>
      </c>
      <c r="N832" s="17">
        <v>0.46400000000000002</v>
      </c>
      <c r="O832" s="17" t="str">
        <f ca="1">PROPER(Music_Data[[#This Row],[Playlist_subgenre2]])</f>
        <v>Reggaeton</v>
      </c>
    </row>
    <row r="833" spans="1:15">
      <c r="A833" s="17">
        <v>0.86</v>
      </c>
      <c r="B833" s="21">
        <v>175</v>
      </c>
      <c r="C833" s="16">
        <v>0.72499999999999998</v>
      </c>
      <c r="D833" s="16" t="str">
        <f ca="1">PROPER(Music_Data[[#This Row],[Playlist_genre2]])</f>
        <v>Latin</v>
      </c>
      <c r="E833" s="17">
        <v>0.79100000000000004</v>
      </c>
      <c r="F833" t="s">
        <v>10761</v>
      </c>
      <c r="G833">
        <v>74</v>
      </c>
      <c r="H833" t="s">
        <v>10614</v>
      </c>
      <c r="I833" t="s">
        <v>10764</v>
      </c>
      <c r="J833" s="22">
        <v>44411</v>
      </c>
      <c r="K833">
        <v>1</v>
      </c>
      <c r="L833">
        <v>1</v>
      </c>
      <c r="M833" s="21">
        <f ca="1">LEFT(Music_Data[[#This Row],[Duration_minutes]],3)/60</f>
        <v>3.8333333333333335</v>
      </c>
      <c r="N833" s="17">
        <v>0.42199999999999999</v>
      </c>
      <c r="O833" s="17" t="str">
        <f ca="1">PROPER(Music_Data[[#This Row],[Playlist_subgenre2]])</f>
        <v>Reggaeton</v>
      </c>
    </row>
    <row r="834" spans="1:15">
      <c r="A834" s="17">
        <v>0.8</v>
      </c>
      <c r="B834" s="21">
        <v>143</v>
      </c>
      <c r="C834" s="16">
        <v>0.65200000000000002</v>
      </c>
      <c r="D834" s="16" t="str">
        <f ca="1">PROPER(Music_Data[[#This Row],[Playlist_genre2]])</f>
        <v>Latin</v>
      </c>
      <c r="E834" s="17">
        <v>0.23400000000000001</v>
      </c>
      <c r="F834" t="s">
        <v>2907</v>
      </c>
      <c r="G834">
        <v>74</v>
      </c>
      <c r="H834" t="s">
        <v>10614</v>
      </c>
      <c r="I834" t="s">
        <v>10691</v>
      </c>
      <c r="J834" s="22">
        <v>45064</v>
      </c>
      <c r="K834">
        <v>0</v>
      </c>
      <c r="L834">
        <v>9</v>
      </c>
      <c r="M834" s="21">
        <f ca="1">LEFT(Music_Data[[#This Row],[Duration_minutes]],3)/60</f>
        <v>3.85</v>
      </c>
      <c r="N834" s="17">
        <v>0.14299999999999999</v>
      </c>
      <c r="O834" s="17" t="str">
        <f ca="1">PROPER(Music_Data[[#This Row],[Playlist_subgenre2]])</f>
        <v>Reggaeton</v>
      </c>
    </row>
    <row r="835" spans="1:15">
      <c r="A835" s="17">
        <v>0.60299999999999998</v>
      </c>
      <c r="B835" s="21">
        <v>129</v>
      </c>
      <c r="C835" s="16">
        <v>0.9</v>
      </c>
      <c r="D835" s="16" t="str">
        <f ca="1">PROPER(Music_Data[[#This Row],[Playlist_genre2]])</f>
        <v>Latin</v>
      </c>
      <c r="E835" s="17">
        <v>0.82399999999999995</v>
      </c>
      <c r="F835" t="s">
        <v>2907</v>
      </c>
      <c r="G835">
        <v>74</v>
      </c>
      <c r="H835" t="s">
        <v>10614</v>
      </c>
      <c r="I835" t="s">
        <v>10846</v>
      </c>
      <c r="J835" s="22">
        <v>43890</v>
      </c>
      <c r="K835">
        <v>1</v>
      </c>
      <c r="L835">
        <v>2</v>
      </c>
      <c r="M835" s="21">
        <f ca="1">LEFT(Music_Data[[#This Row],[Duration_minutes]],3)/60</f>
        <v>2.8333333333333335</v>
      </c>
      <c r="N835" s="17">
        <v>0.40200000000000002</v>
      </c>
      <c r="O835" s="17" t="str">
        <f ca="1">PROPER(Music_Data[[#This Row],[Playlist_subgenre2]])</f>
        <v>Reggaeton</v>
      </c>
    </row>
    <row r="836" spans="1:15">
      <c r="A836" s="17">
        <v>0.61599999999999999</v>
      </c>
      <c r="B836" s="21">
        <v>103</v>
      </c>
      <c r="C836" s="16">
        <v>0.79700000000000004</v>
      </c>
      <c r="D836" s="16" t="str">
        <f ca="1">PROPER(Music_Data[[#This Row],[Playlist_genre2]])</f>
        <v>Latin</v>
      </c>
      <c r="E836" s="17">
        <v>0.45100000000000001</v>
      </c>
      <c r="F836" t="s">
        <v>6749</v>
      </c>
      <c r="G836">
        <v>74</v>
      </c>
      <c r="H836" t="s">
        <v>6628</v>
      </c>
      <c r="I836" t="s">
        <v>6754</v>
      </c>
      <c r="J836" s="22">
        <v>44687</v>
      </c>
      <c r="K836">
        <v>0</v>
      </c>
      <c r="L836">
        <v>1</v>
      </c>
      <c r="M836" s="21">
        <f ca="1">LEFT(Music_Data[[#This Row],[Duration_minutes]],3)/60</f>
        <v>5.65</v>
      </c>
      <c r="N836" s="17">
        <v>0.76200000000000001</v>
      </c>
      <c r="O836" s="17" t="str">
        <f ca="1">PROPER(Music_Data[[#This Row],[Playlist_subgenre2]])</f>
        <v>Chill</v>
      </c>
    </row>
    <row r="837" spans="1:15">
      <c r="A837" s="17">
        <v>0.61599999999999999</v>
      </c>
      <c r="B837" s="21">
        <v>103</v>
      </c>
      <c r="C837" s="16">
        <v>0.79700000000000004</v>
      </c>
      <c r="D837" s="16" t="str">
        <f ca="1">PROPER(Music_Data[[#This Row],[Playlist_genre2]])</f>
        <v>Latin</v>
      </c>
      <c r="E837" s="17">
        <v>0.45100000000000001</v>
      </c>
      <c r="F837" t="s">
        <v>6749</v>
      </c>
      <c r="G837">
        <v>74</v>
      </c>
      <c r="H837" t="s">
        <v>10614</v>
      </c>
      <c r="I837" t="s">
        <v>6754</v>
      </c>
      <c r="J837" s="22">
        <v>44687</v>
      </c>
      <c r="K837">
        <v>0</v>
      </c>
      <c r="L837">
        <v>1</v>
      </c>
      <c r="M837" s="21">
        <f ca="1">LEFT(Music_Data[[#This Row],[Duration_minutes]],3)/60</f>
        <v>5.65</v>
      </c>
      <c r="N837" s="17">
        <v>0.76200000000000001</v>
      </c>
      <c r="O837" s="17" t="str">
        <f ca="1">PROPER(Music_Data[[#This Row],[Playlist_subgenre2]])</f>
        <v>Reggaeton</v>
      </c>
    </row>
    <row r="838" spans="1:15">
      <c r="A838" s="17">
        <v>0.59799999999999998</v>
      </c>
      <c r="B838" s="21">
        <v>838</v>
      </c>
      <c r="C838" s="16">
        <v>0.55000000000000004</v>
      </c>
      <c r="D838" s="16" t="str">
        <f ca="1">PROPER(Music_Data[[#This Row],[Playlist_genre2]])</f>
        <v>Latin</v>
      </c>
      <c r="E838" s="17">
        <v>0.54300000000000004</v>
      </c>
      <c r="F838" t="s">
        <v>10652</v>
      </c>
      <c r="G838">
        <v>74</v>
      </c>
      <c r="H838" t="s">
        <v>10614</v>
      </c>
      <c r="I838" t="s">
        <v>10982</v>
      </c>
      <c r="J838" s="22">
        <v>43890</v>
      </c>
      <c r="K838">
        <v>0</v>
      </c>
      <c r="L838">
        <v>11</v>
      </c>
      <c r="M838" s="21">
        <f ca="1">LEFT(Music_Data[[#This Row],[Duration_minutes]],3)/60</f>
        <v>3.8666666666666667</v>
      </c>
      <c r="N838" s="17">
        <v>0.13200000000000001</v>
      </c>
      <c r="O838" s="17" t="str">
        <f ca="1">PROPER(Music_Data[[#This Row],[Playlist_subgenre2]])</f>
        <v>Reggaeton</v>
      </c>
    </row>
    <row r="839" spans="1:15">
      <c r="A839" s="17">
        <v>0.61799999999999999</v>
      </c>
      <c r="B839" s="21">
        <v>819</v>
      </c>
      <c r="C839" s="16">
        <v>0.85599999999999998</v>
      </c>
      <c r="D839" s="16" t="str">
        <f ca="1">PROPER(Music_Data[[#This Row],[Playlist_genre2]])</f>
        <v>Latin</v>
      </c>
      <c r="E839" s="17">
        <v>0.39100000000000001</v>
      </c>
      <c r="F839" t="s">
        <v>13217</v>
      </c>
      <c r="G839">
        <v>74</v>
      </c>
      <c r="H839" t="s">
        <v>10614</v>
      </c>
      <c r="I839" t="s">
        <v>10794</v>
      </c>
      <c r="J839" s="22">
        <v>44162</v>
      </c>
      <c r="K839">
        <v>1</v>
      </c>
      <c r="L839">
        <v>7</v>
      </c>
      <c r="M839" s="21">
        <f ca="1">LEFT(Music_Data[[#This Row],[Duration_minutes]],3)/60</f>
        <v>3.3833333333333333</v>
      </c>
      <c r="N839" s="17">
        <v>3.0300000000000001E-2</v>
      </c>
      <c r="O839" s="17" t="str">
        <f ca="1">PROPER(Music_Data[[#This Row],[Playlist_subgenre2]])</f>
        <v>Reggaeton</v>
      </c>
    </row>
    <row r="840" spans="1:15">
      <c r="A840" s="17">
        <v>0.71799999999999997</v>
      </c>
      <c r="B840" s="21">
        <v>105</v>
      </c>
      <c r="C840" s="16">
        <v>0.84799999999999998</v>
      </c>
      <c r="D840" s="16" t="str">
        <f ca="1">PROPER(Music_Data[[#This Row],[Playlist_genre2]])</f>
        <v>Latin</v>
      </c>
      <c r="E840" s="17">
        <v>0.56399999999999995</v>
      </c>
      <c r="F840" t="s">
        <v>3086</v>
      </c>
      <c r="G840">
        <v>74</v>
      </c>
      <c r="H840" t="s">
        <v>3030</v>
      </c>
      <c r="I840" t="s">
        <v>3090</v>
      </c>
      <c r="J840" s="22">
        <v>45596</v>
      </c>
      <c r="K840">
        <v>0</v>
      </c>
      <c r="L840">
        <v>9</v>
      </c>
      <c r="M840" s="21">
        <f ca="1">LEFT(Music_Data[[#This Row],[Duration_minutes]],3)/60</f>
        <v>2.75</v>
      </c>
      <c r="N840" s="17">
        <v>0.183</v>
      </c>
      <c r="O840" s="17" t="str">
        <f ca="1">PROPER(Music_Data[[#This Row],[Playlist_subgenre2]])</f>
        <v>Modern</v>
      </c>
    </row>
    <row r="841" spans="1:15">
      <c r="A841" s="17">
        <v>0.67300000000000004</v>
      </c>
      <c r="B841" s="21">
        <v>879</v>
      </c>
      <c r="C841" s="16">
        <v>0.81799999999999995</v>
      </c>
      <c r="D841" s="16" t="str">
        <f ca="1">PROPER(Music_Data[[#This Row],[Playlist_genre2]])</f>
        <v>Latin</v>
      </c>
      <c r="E841" s="17">
        <v>0.69499999999999995</v>
      </c>
      <c r="F841" t="s">
        <v>10745</v>
      </c>
      <c r="G841">
        <v>74</v>
      </c>
      <c r="H841" t="s">
        <v>10614</v>
      </c>
      <c r="I841">
        <v>512</v>
      </c>
      <c r="J841" s="22">
        <v>44232</v>
      </c>
      <c r="K841">
        <v>0</v>
      </c>
      <c r="L841">
        <v>4</v>
      </c>
      <c r="M841" s="21">
        <f ca="1">LEFT(Music_Data[[#This Row],[Duration_minutes]],3)/60</f>
        <v>3.2166666666666668</v>
      </c>
      <c r="N841" s="17">
        <v>0.34799999999999998</v>
      </c>
      <c r="O841" s="17" t="str">
        <f ca="1">PROPER(Music_Data[[#This Row],[Playlist_subgenre2]])</f>
        <v>Reggaeton</v>
      </c>
    </row>
    <row r="842" spans="1:15">
      <c r="A842" s="17">
        <v>0.72499999999999998</v>
      </c>
      <c r="B842" s="21">
        <v>105</v>
      </c>
      <c r="C842" s="16">
        <v>0.71099999999999997</v>
      </c>
      <c r="D842" s="16" t="str">
        <f ca="1">PROPER(Music_Data[[#This Row],[Playlist_genre2]])</f>
        <v>Latin</v>
      </c>
      <c r="E842" s="17">
        <v>0.53</v>
      </c>
      <c r="F842" t="s">
        <v>11771</v>
      </c>
      <c r="G842">
        <v>74</v>
      </c>
      <c r="H842" t="s">
        <v>13090</v>
      </c>
      <c r="I842" t="s">
        <v>13127</v>
      </c>
      <c r="J842" s="22">
        <v>44756</v>
      </c>
      <c r="K842">
        <v>0</v>
      </c>
      <c r="L842">
        <v>3</v>
      </c>
      <c r="M842" s="21">
        <f ca="1">LEFT(Music_Data[[#This Row],[Duration_minutes]],3)/60</f>
        <v>3.05</v>
      </c>
      <c r="N842" s="17">
        <v>0.42399999999999999</v>
      </c>
      <c r="O842" s="17" t="str">
        <f ca="1">PROPER(Music_Data[[#This Row],[Playlist_subgenre2]])</f>
        <v>Afro-Latin</v>
      </c>
    </row>
    <row r="843" spans="1:15">
      <c r="A843" s="17">
        <v>0.89200000000000002</v>
      </c>
      <c r="B843" s="21">
        <v>970</v>
      </c>
      <c r="C843" s="16">
        <v>0.79100000000000004</v>
      </c>
      <c r="D843" s="16" t="str">
        <f ca="1">PROPER(Music_Data[[#This Row],[Playlist_genre2]])</f>
        <v>Latin</v>
      </c>
      <c r="E843" s="17">
        <v>0.91600000000000004</v>
      </c>
      <c r="F843" t="s">
        <v>11143</v>
      </c>
      <c r="G843">
        <v>74</v>
      </c>
      <c r="H843" t="s">
        <v>10614</v>
      </c>
      <c r="I843" t="s">
        <v>11146</v>
      </c>
      <c r="J843" s="22">
        <v>45120</v>
      </c>
      <c r="K843">
        <v>1</v>
      </c>
      <c r="L843">
        <v>0</v>
      </c>
      <c r="M843" s="21">
        <f ca="1">LEFT(Music_Data[[#This Row],[Duration_minutes]],3)/60</f>
        <v>2.5</v>
      </c>
      <c r="N843" s="17">
        <v>5.0900000000000001E-2</v>
      </c>
      <c r="O843" s="17" t="str">
        <f ca="1">PROPER(Music_Data[[#This Row],[Playlist_subgenre2]])</f>
        <v>Reggaeton</v>
      </c>
    </row>
    <row r="844" spans="1:15">
      <c r="A844" s="17">
        <v>0.79100000000000004</v>
      </c>
      <c r="B844" s="21">
        <v>920</v>
      </c>
      <c r="C844" s="16">
        <v>0.86</v>
      </c>
      <c r="D844" s="16" t="str">
        <f ca="1">PROPER(Music_Data[[#This Row],[Playlist_genre2]])</f>
        <v>Latin</v>
      </c>
      <c r="E844" s="17">
        <v>0.88700000000000001</v>
      </c>
      <c r="F844" t="s">
        <v>2907</v>
      </c>
      <c r="G844">
        <v>73</v>
      </c>
      <c r="H844" t="s">
        <v>10614</v>
      </c>
      <c r="I844" t="s">
        <v>10839</v>
      </c>
      <c r="J844" s="22">
        <v>43890</v>
      </c>
      <c r="K844">
        <v>1</v>
      </c>
      <c r="L844">
        <v>0</v>
      </c>
      <c r="M844" s="21">
        <f ca="1">LEFT(Music_Data[[#This Row],[Duration_minutes]],3)/60</f>
        <v>2.9166666666666665</v>
      </c>
      <c r="N844" s="17">
        <v>0.16900000000000001</v>
      </c>
      <c r="O844" s="17" t="str">
        <f ca="1">PROPER(Music_Data[[#This Row],[Playlist_subgenre2]])</f>
        <v>Reggaeton</v>
      </c>
    </row>
    <row r="845" spans="1:15">
      <c r="A845" s="17">
        <v>0.78600000000000003</v>
      </c>
      <c r="B845" s="21">
        <v>196</v>
      </c>
      <c r="C845" s="16">
        <v>0.66300000000000003</v>
      </c>
      <c r="D845" s="16" t="str">
        <f ca="1">PROPER(Music_Data[[#This Row],[Playlist_genre2]])</f>
        <v>Latin</v>
      </c>
      <c r="E845" s="17">
        <v>0.57899999999999996</v>
      </c>
      <c r="F845" t="s">
        <v>10739</v>
      </c>
      <c r="G845">
        <v>73</v>
      </c>
      <c r="H845" t="s">
        <v>10614</v>
      </c>
      <c r="I845" t="s">
        <v>10744</v>
      </c>
      <c r="J845" s="22">
        <v>44687</v>
      </c>
      <c r="K845">
        <v>0</v>
      </c>
      <c r="L845">
        <v>11</v>
      </c>
      <c r="M845" s="21">
        <f ca="1">LEFT(Music_Data[[#This Row],[Duration_minutes]],3)/60</f>
        <v>3.3</v>
      </c>
      <c r="N845" s="17">
        <v>0.22900000000000001</v>
      </c>
      <c r="O845" s="17" t="str">
        <f ca="1">PROPER(Music_Data[[#This Row],[Playlist_subgenre2]])</f>
        <v>Reggaeton</v>
      </c>
    </row>
    <row r="846" spans="1:15">
      <c r="A846" s="17">
        <v>0.72399999999999998</v>
      </c>
      <c r="B846" s="21">
        <v>946</v>
      </c>
      <c r="C846" s="16">
        <v>0.84699999999999998</v>
      </c>
      <c r="D846" s="16" t="str">
        <f ca="1">PROPER(Music_Data[[#This Row],[Playlist_genre2]])</f>
        <v>Latin</v>
      </c>
      <c r="E846" s="17">
        <v>0.39600000000000002</v>
      </c>
      <c r="F846" t="s">
        <v>10666</v>
      </c>
      <c r="G846">
        <v>73</v>
      </c>
      <c r="H846" t="s">
        <v>10614</v>
      </c>
      <c r="I846" t="s">
        <v>10671</v>
      </c>
      <c r="J846" s="22">
        <v>45212</v>
      </c>
      <c r="K846">
        <v>1</v>
      </c>
      <c r="L846">
        <v>1</v>
      </c>
      <c r="M846" s="21">
        <f ca="1">LEFT(Music_Data[[#This Row],[Duration_minutes]],3)/60</f>
        <v>3.6</v>
      </c>
      <c r="N846" s="17">
        <v>8.6900000000000005E-2</v>
      </c>
      <c r="O846" s="17" t="str">
        <f ca="1">PROPER(Music_Data[[#This Row],[Playlist_subgenre2]])</f>
        <v>Reggaeton</v>
      </c>
    </row>
    <row r="847" spans="1:15">
      <c r="A847" s="17">
        <v>0.80600000000000005</v>
      </c>
      <c r="B847" s="21">
        <v>123</v>
      </c>
      <c r="C847" s="16">
        <v>0.76300000000000001</v>
      </c>
      <c r="D847" s="16" t="str">
        <f ca="1">PROPER(Music_Data[[#This Row],[Playlist_genre2]])</f>
        <v>Latin</v>
      </c>
      <c r="E847" s="17">
        <v>0.59399999999999997</v>
      </c>
      <c r="F847" t="s">
        <v>3368</v>
      </c>
      <c r="G847">
        <v>73</v>
      </c>
      <c r="H847" t="s">
        <v>3030</v>
      </c>
      <c r="I847" t="s">
        <v>3372</v>
      </c>
      <c r="J847" s="22">
        <v>45589</v>
      </c>
      <c r="K847">
        <v>1</v>
      </c>
      <c r="L847">
        <v>2</v>
      </c>
      <c r="M847" s="21">
        <f ca="1">LEFT(Music_Data[[#This Row],[Duration_minutes]],3)/60</f>
        <v>3.2166666666666668</v>
      </c>
      <c r="N847" s="17">
        <v>1.1999999999999999E-3</v>
      </c>
      <c r="O847" s="17" t="str">
        <f ca="1">PROPER(Music_Data[[#This Row],[Playlist_subgenre2]])</f>
        <v>Modern</v>
      </c>
    </row>
    <row r="848" spans="1:15">
      <c r="A848" s="17">
        <v>0.70599999999999996</v>
      </c>
      <c r="B848" s="21">
        <v>140</v>
      </c>
      <c r="C848" s="16">
        <v>0.86299999999999999</v>
      </c>
      <c r="D848" s="16" t="str">
        <f ca="1">PROPER(Music_Data[[#This Row],[Playlist_genre2]])</f>
        <v>Latin</v>
      </c>
      <c r="E848" s="17">
        <v>0.68600000000000005</v>
      </c>
      <c r="F848" t="s">
        <v>10695</v>
      </c>
      <c r="G848">
        <v>73</v>
      </c>
      <c r="H848" t="s">
        <v>10614</v>
      </c>
      <c r="I848" t="s">
        <v>10701</v>
      </c>
      <c r="J848" s="22">
        <v>45002</v>
      </c>
      <c r="K848">
        <v>0</v>
      </c>
      <c r="L848">
        <v>3</v>
      </c>
      <c r="M848" s="21">
        <f ca="1">LEFT(Music_Data[[#This Row],[Duration_minutes]],3)/60</f>
        <v>3.4666666666666668</v>
      </c>
      <c r="N848" s="17">
        <v>0.14299999999999999</v>
      </c>
      <c r="O848" s="17" t="str">
        <f ca="1">PROPER(Music_Data[[#This Row],[Playlist_subgenre2]])</f>
        <v>Reggaeton</v>
      </c>
    </row>
    <row r="849" spans="1:15">
      <c r="A849" s="17">
        <v>0.68100000000000005</v>
      </c>
      <c r="B849" s="21">
        <v>999</v>
      </c>
      <c r="C849" s="16">
        <v>0.72499999999999998</v>
      </c>
      <c r="D849" s="16" t="str">
        <f ca="1">PROPER(Music_Data[[#This Row],[Playlist_genre2]])</f>
        <v>Latin</v>
      </c>
      <c r="E849" s="17">
        <v>0.76200000000000001</v>
      </c>
      <c r="F849" t="s">
        <v>10617</v>
      </c>
      <c r="G849">
        <v>73</v>
      </c>
      <c r="H849" t="s">
        <v>10614</v>
      </c>
      <c r="I849" t="s">
        <v>10620</v>
      </c>
      <c r="J849" s="22">
        <v>45450</v>
      </c>
      <c r="K849">
        <v>0</v>
      </c>
      <c r="L849">
        <v>8</v>
      </c>
      <c r="M849" s="21">
        <f ca="1">LEFT(Music_Data[[#This Row],[Duration_minutes]],3)/60</f>
        <v>3.8333333333333335</v>
      </c>
      <c r="N849" s="17">
        <v>0.318</v>
      </c>
      <c r="O849" s="17" t="str">
        <f ca="1">PROPER(Music_Data[[#This Row],[Playlist_subgenre2]])</f>
        <v>Reggaeton</v>
      </c>
    </row>
    <row r="850" spans="1:15">
      <c r="A850" s="17">
        <v>0.53800000000000003</v>
      </c>
      <c r="B850" s="21">
        <v>800</v>
      </c>
      <c r="C850" s="16">
        <v>0.72</v>
      </c>
      <c r="D850" s="16" t="str">
        <f ca="1">PROPER(Music_Data[[#This Row],[Playlist_genre2]])</f>
        <v>Latin</v>
      </c>
      <c r="E850" s="17">
        <v>0.80500000000000005</v>
      </c>
      <c r="F850" t="s">
        <v>10606</v>
      </c>
      <c r="G850">
        <v>73</v>
      </c>
      <c r="H850" t="s">
        <v>10594</v>
      </c>
      <c r="I850" t="s">
        <v>10612</v>
      </c>
      <c r="J850" s="22">
        <v>35065</v>
      </c>
      <c r="K850">
        <v>1</v>
      </c>
      <c r="L850">
        <v>10</v>
      </c>
      <c r="M850" s="21">
        <f ca="1">LEFT(Music_Data[[#This Row],[Duration_minutes]],3)/60</f>
        <v>2.95</v>
      </c>
      <c r="N850" s="17">
        <v>0.34799999999999998</v>
      </c>
      <c r="O850" s="17" t="str">
        <f ca="1">PROPER(Music_Data[[#This Row],[Playlist_subgenre2]])</f>
        <v>Cumbia</v>
      </c>
    </row>
    <row r="851" spans="1:15">
      <c r="A851" s="17">
        <v>0.44500000000000001</v>
      </c>
      <c r="B851" s="21">
        <v>156</v>
      </c>
      <c r="C851" s="16">
        <v>0.55000000000000004</v>
      </c>
      <c r="D851" s="16" t="str">
        <f ca="1">PROPER(Music_Data[[#This Row],[Playlist_genre2]])</f>
        <v>Latin</v>
      </c>
      <c r="E851" s="17">
        <v>0.51200000000000001</v>
      </c>
      <c r="F851" t="s">
        <v>3275</v>
      </c>
      <c r="G851">
        <v>73</v>
      </c>
      <c r="H851" t="s">
        <v>3030</v>
      </c>
      <c r="I851" t="s">
        <v>3281</v>
      </c>
      <c r="J851" s="22">
        <v>45589</v>
      </c>
      <c r="K851">
        <v>1</v>
      </c>
      <c r="L851">
        <v>7</v>
      </c>
      <c r="M851" s="21">
        <f ca="1">LEFT(Music_Data[[#This Row],[Duration_minutes]],3)/60</f>
        <v>2.7666666666666666</v>
      </c>
      <c r="N851" s="17">
        <v>0.26200000000000001</v>
      </c>
      <c r="O851" s="17" t="str">
        <f ca="1">PROPER(Music_Data[[#This Row],[Playlist_subgenre2]])</f>
        <v>Modern</v>
      </c>
    </row>
    <row r="852" spans="1:15">
      <c r="A852" s="17">
        <v>0.68799999999999994</v>
      </c>
      <c r="B852" s="21">
        <v>153</v>
      </c>
      <c r="C852" s="16">
        <v>0.65900000000000003</v>
      </c>
      <c r="D852" s="16" t="str">
        <f ca="1">PROPER(Music_Data[[#This Row],[Playlist_genre2]])</f>
        <v>Latin</v>
      </c>
      <c r="E852" s="17">
        <v>0.63200000000000001</v>
      </c>
      <c r="F852" t="s">
        <v>10768</v>
      </c>
      <c r="G852">
        <v>73</v>
      </c>
      <c r="H852" t="s">
        <v>10614</v>
      </c>
      <c r="I852" t="s">
        <v>10775</v>
      </c>
      <c r="J852" s="22">
        <v>44385</v>
      </c>
      <c r="K852">
        <v>1</v>
      </c>
      <c r="L852">
        <v>6</v>
      </c>
      <c r="M852" s="21">
        <f ca="1">LEFT(Music_Data[[#This Row],[Duration_minutes]],3)/60</f>
        <v>4.55</v>
      </c>
      <c r="N852" s="17">
        <v>0.20699999999999999</v>
      </c>
      <c r="O852" s="17" t="str">
        <f ca="1">PROPER(Music_Data[[#This Row],[Playlist_subgenre2]])</f>
        <v>Reggaeton</v>
      </c>
    </row>
    <row r="853" spans="1:15">
      <c r="A853" s="17">
        <v>0.70699999999999996</v>
      </c>
      <c r="B853" s="21">
        <v>127</v>
      </c>
      <c r="C853" s="16">
        <v>0.77100000000000002</v>
      </c>
      <c r="D853" s="16" t="str">
        <f ca="1">PROPER(Music_Data[[#This Row],[Playlist_genre2]])</f>
        <v>Latin</v>
      </c>
      <c r="E853" s="17">
        <v>0.317</v>
      </c>
      <c r="F853" t="s">
        <v>10745</v>
      </c>
      <c r="G853">
        <v>73</v>
      </c>
      <c r="H853" t="s">
        <v>10614</v>
      </c>
      <c r="I853" t="s">
        <v>10750</v>
      </c>
      <c r="J853" s="22">
        <v>44652</v>
      </c>
      <c r="K853">
        <v>0</v>
      </c>
      <c r="L853">
        <v>2</v>
      </c>
      <c r="M853" s="21">
        <f ca="1">LEFT(Music_Data[[#This Row],[Duration_minutes]],3)/60</f>
        <v>3.8</v>
      </c>
      <c r="N853" s="17">
        <v>0.38900000000000001</v>
      </c>
      <c r="O853" s="17" t="str">
        <f ca="1">PROPER(Music_Data[[#This Row],[Playlist_subgenre2]])</f>
        <v>Reggaeton</v>
      </c>
    </row>
    <row r="854" spans="1:15">
      <c r="A854" s="17">
        <v>0.63700000000000001</v>
      </c>
      <c r="B854" s="21">
        <v>920</v>
      </c>
      <c r="C854" s="16">
        <v>0.81100000000000005</v>
      </c>
      <c r="D854" s="16" t="str">
        <f ca="1">PROPER(Music_Data[[#This Row],[Playlist_genre2]])</f>
        <v>Latin</v>
      </c>
      <c r="E854" s="17">
        <v>0.47099999999999997</v>
      </c>
      <c r="F854" t="s">
        <v>2907</v>
      </c>
      <c r="G854">
        <v>72</v>
      </c>
      <c r="H854" t="s">
        <v>10614</v>
      </c>
      <c r="I854" t="s">
        <v>10787</v>
      </c>
      <c r="J854" s="22">
        <v>44162</v>
      </c>
      <c r="K854">
        <v>0</v>
      </c>
      <c r="L854">
        <v>10</v>
      </c>
      <c r="M854" s="21">
        <f ca="1">LEFT(Music_Data[[#This Row],[Duration_minutes]],3)/60</f>
        <v>2.1666666666666665</v>
      </c>
      <c r="N854" s="17">
        <v>0.23400000000000001</v>
      </c>
      <c r="O854" s="17" t="str">
        <f ca="1">PROPER(Music_Data[[#This Row],[Playlist_subgenre2]])</f>
        <v>Reggaeton</v>
      </c>
    </row>
    <row r="855" spans="1:15">
      <c r="A855" s="17">
        <v>0.82899999999999996</v>
      </c>
      <c r="B855" s="21">
        <v>961</v>
      </c>
      <c r="C855" s="16">
        <v>0.60699999999999998</v>
      </c>
      <c r="D855" s="16" t="str">
        <f ca="1">PROPER(Music_Data[[#This Row],[Playlist_genre2]])</f>
        <v>Latin</v>
      </c>
      <c r="E855" s="17">
        <v>0.68500000000000005</v>
      </c>
      <c r="F855" t="s">
        <v>13190</v>
      </c>
      <c r="G855">
        <v>72</v>
      </c>
      <c r="H855" t="s">
        <v>10614</v>
      </c>
      <c r="I855" t="s">
        <v>10825</v>
      </c>
      <c r="J855" s="22">
        <v>43890</v>
      </c>
      <c r="K855">
        <v>1</v>
      </c>
      <c r="L855">
        <v>2</v>
      </c>
      <c r="M855" s="21">
        <f ca="1">LEFT(Music_Data[[#This Row],[Duration_minutes]],3)/60</f>
        <v>4.916666666666667</v>
      </c>
      <c r="N855" s="17">
        <v>1.03E-2</v>
      </c>
      <c r="O855" s="17" t="str">
        <f ca="1">PROPER(Music_Data[[#This Row],[Playlist_subgenre2]])</f>
        <v>Reggaeton</v>
      </c>
    </row>
    <row r="856" spans="1:15">
      <c r="A856" s="17">
        <v>0.624</v>
      </c>
      <c r="B856" s="21">
        <v>176</v>
      </c>
      <c r="C856" s="16">
        <v>0.61</v>
      </c>
      <c r="D856" s="16" t="str">
        <f ca="1">PROPER(Music_Data[[#This Row],[Playlist_genre2]])</f>
        <v>Latin</v>
      </c>
      <c r="E856" s="17">
        <v>0.24399999999999999</v>
      </c>
      <c r="F856" t="s">
        <v>10890</v>
      </c>
      <c r="G856">
        <v>72</v>
      </c>
      <c r="H856" t="s">
        <v>10614</v>
      </c>
      <c r="I856" t="s">
        <v>10893</v>
      </c>
      <c r="J856" s="22">
        <v>43616</v>
      </c>
      <c r="K856">
        <v>1</v>
      </c>
      <c r="L856">
        <v>2</v>
      </c>
      <c r="M856" s="21">
        <f ca="1">LEFT(Music_Data[[#This Row],[Duration_minutes]],3)/60</f>
        <v>4.166666666666667</v>
      </c>
      <c r="N856" s="17">
        <v>0.6</v>
      </c>
      <c r="O856" s="17" t="str">
        <f ca="1">PROPER(Music_Data[[#This Row],[Playlist_subgenre2]])</f>
        <v>Reggaeton</v>
      </c>
    </row>
    <row r="857" spans="1:15">
      <c r="A857" s="17">
        <v>0.76200000000000001</v>
      </c>
      <c r="B857" s="21">
        <v>900</v>
      </c>
      <c r="C857" s="16">
        <v>0.81599999999999995</v>
      </c>
      <c r="D857" s="16" t="str">
        <f ca="1">PROPER(Music_Data[[#This Row],[Playlist_genre2]])</f>
        <v>Latin</v>
      </c>
      <c r="E857" s="17">
        <v>0.78200000000000003</v>
      </c>
      <c r="F857" t="s">
        <v>3076</v>
      </c>
      <c r="G857">
        <v>72</v>
      </c>
      <c r="H857" t="s">
        <v>3030</v>
      </c>
      <c r="I857" t="s">
        <v>3080</v>
      </c>
      <c r="J857" s="22">
        <v>45610</v>
      </c>
      <c r="K857">
        <v>1</v>
      </c>
      <c r="L857">
        <v>0</v>
      </c>
      <c r="M857" s="21">
        <f ca="1">LEFT(Music_Data[[#This Row],[Duration_minutes]],3)/60</f>
        <v>3.6333333333333333</v>
      </c>
      <c r="N857" s="17">
        <v>0.53400000000000003</v>
      </c>
      <c r="O857" s="17" t="str">
        <f ca="1">PROPER(Music_Data[[#This Row],[Playlist_subgenre2]])</f>
        <v>Modern</v>
      </c>
    </row>
    <row r="858" spans="1:15">
      <c r="A858" s="17">
        <v>0.71099999999999997</v>
      </c>
      <c r="B858" s="21">
        <v>173</v>
      </c>
      <c r="C858" s="16">
        <v>0.71799999999999997</v>
      </c>
      <c r="D858" s="16" t="str">
        <f ca="1">PROPER(Music_Data[[#This Row],[Playlist_genre2]])</f>
        <v>Latin</v>
      </c>
      <c r="E858" s="17">
        <v>0.92</v>
      </c>
      <c r="F858" t="s">
        <v>10929</v>
      </c>
      <c r="G858">
        <v>72</v>
      </c>
      <c r="H858" t="s">
        <v>10614</v>
      </c>
      <c r="I858" t="s">
        <v>10935</v>
      </c>
      <c r="J858" s="22">
        <v>41894</v>
      </c>
      <c r="K858">
        <v>0</v>
      </c>
      <c r="L858">
        <v>8</v>
      </c>
      <c r="M858" s="21">
        <f ca="1">LEFT(Music_Data[[#This Row],[Duration_minutes]],3)/60</f>
        <v>3.7666666666666666</v>
      </c>
      <c r="N858" s="17">
        <v>0.157</v>
      </c>
      <c r="O858" s="17" t="str">
        <f ca="1">PROPER(Music_Data[[#This Row],[Playlist_subgenre2]])</f>
        <v>Reggaeton</v>
      </c>
    </row>
    <row r="859" spans="1:15">
      <c r="A859" s="17">
        <v>0.48299999999999998</v>
      </c>
      <c r="B859" s="21">
        <v>171</v>
      </c>
      <c r="C859" s="16">
        <v>0.753</v>
      </c>
      <c r="D859" s="16" t="str">
        <f ca="1">PROPER(Music_Data[[#This Row],[Playlist_genre2]])</f>
        <v>Latin</v>
      </c>
      <c r="E859" s="17">
        <v>0.82599999999999996</v>
      </c>
      <c r="F859" t="s">
        <v>3105</v>
      </c>
      <c r="G859">
        <v>72</v>
      </c>
      <c r="H859" t="s">
        <v>3030</v>
      </c>
      <c r="I859" t="s">
        <v>3109</v>
      </c>
      <c r="J859" s="22">
        <v>45596</v>
      </c>
      <c r="K859">
        <v>0</v>
      </c>
      <c r="L859">
        <v>3</v>
      </c>
      <c r="M859" s="21">
        <f ca="1">LEFT(Music_Data[[#This Row],[Duration_minutes]],3)/60</f>
        <v>2.95</v>
      </c>
      <c r="N859" s="17">
        <v>1.89E-2</v>
      </c>
      <c r="O859" s="17" t="str">
        <f ca="1">PROPER(Music_Data[[#This Row],[Playlist_subgenre2]])</f>
        <v>Modern</v>
      </c>
    </row>
    <row r="860" spans="1:15">
      <c r="A860" s="17">
        <v>0.88800000000000001</v>
      </c>
      <c r="B860" s="21">
        <v>130</v>
      </c>
      <c r="C860" s="16">
        <v>0.61699999999999999</v>
      </c>
      <c r="D860" s="16" t="str">
        <f ca="1">PROPER(Music_Data[[#This Row],[Playlist_genre2]])</f>
        <v>Latin</v>
      </c>
      <c r="E860" s="17">
        <v>0.77100000000000002</v>
      </c>
      <c r="F860" t="s">
        <v>6684</v>
      </c>
      <c r="G860">
        <v>72</v>
      </c>
      <c r="H860" t="s">
        <v>6628</v>
      </c>
      <c r="I860" t="s">
        <v>6690</v>
      </c>
      <c r="J860" s="22">
        <v>42538</v>
      </c>
      <c r="K860">
        <v>1</v>
      </c>
      <c r="L860">
        <v>4</v>
      </c>
      <c r="M860" s="21">
        <f ca="1">LEFT(Music_Data[[#This Row],[Duration_minutes]],3)/60</f>
        <v>4</v>
      </c>
      <c r="N860" s="17">
        <v>7.0499999999999993E-2</v>
      </c>
      <c r="O860" s="17" t="str">
        <f ca="1">PROPER(Music_Data[[#This Row],[Playlist_subgenre2]])</f>
        <v>Chill</v>
      </c>
    </row>
    <row r="861" spans="1:15">
      <c r="A861" s="17">
        <v>0.67200000000000004</v>
      </c>
      <c r="B861" s="21">
        <v>939</v>
      </c>
      <c r="C861" s="16">
        <v>0.81699999999999995</v>
      </c>
      <c r="D861" s="16" t="str">
        <f ca="1">PROPER(Music_Data[[#This Row],[Playlist_genre2]])</f>
        <v>Latin</v>
      </c>
      <c r="E861" s="17">
        <v>0.77400000000000002</v>
      </c>
      <c r="F861" t="s">
        <v>13192</v>
      </c>
      <c r="G861">
        <v>72</v>
      </c>
      <c r="H861" t="s">
        <v>10614</v>
      </c>
      <c r="I861" t="s">
        <v>11207</v>
      </c>
      <c r="J861" s="22">
        <v>43679</v>
      </c>
      <c r="K861">
        <v>0</v>
      </c>
      <c r="L861">
        <v>11</v>
      </c>
      <c r="M861" s="21">
        <f ca="1">LEFT(Music_Data[[#This Row],[Duration_minutes]],3)/60</f>
        <v>5.5333333333333332</v>
      </c>
      <c r="N861" s="17">
        <v>0.441</v>
      </c>
      <c r="O861" s="17" t="str">
        <f ca="1">PROPER(Music_Data[[#This Row],[Playlist_subgenre2]])</f>
        <v>Reggaeton</v>
      </c>
    </row>
    <row r="862" spans="1:15">
      <c r="A862" s="17">
        <v>0.61599999999999999</v>
      </c>
      <c r="B862" s="21">
        <v>104</v>
      </c>
      <c r="C862" s="16">
        <v>0.77300000000000002</v>
      </c>
      <c r="D862" s="16" t="str">
        <f ca="1">PROPER(Music_Data[[#This Row],[Playlist_genre2]])</f>
        <v>Latin</v>
      </c>
      <c r="E862" s="17">
        <v>0.25</v>
      </c>
      <c r="F862" t="s">
        <v>3207</v>
      </c>
      <c r="G862">
        <v>72</v>
      </c>
      <c r="H862" t="s">
        <v>3030</v>
      </c>
      <c r="I862" t="s">
        <v>3214</v>
      </c>
      <c r="J862" s="22">
        <v>45526</v>
      </c>
      <c r="K862">
        <v>1</v>
      </c>
      <c r="L862">
        <v>0</v>
      </c>
      <c r="M862" s="21">
        <f ca="1">LEFT(Music_Data[[#This Row],[Duration_minutes]],3)/60</f>
        <v>3.1666666666666665</v>
      </c>
      <c r="N862" s="17">
        <v>5.6500000000000002E-2</v>
      </c>
      <c r="O862" s="17" t="str">
        <f ca="1">PROPER(Music_Data[[#This Row],[Playlist_subgenre2]])</f>
        <v>Modern</v>
      </c>
    </row>
    <row r="863" spans="1:15">
      <c r="A863" s="17">
        <v>0.61599999999999999</v>
      </c>
      <c r="B863" s="21">
        <v>104</v>
      </c>
      <c r="C863" s="16">
        <v>0.77300000000000002</v>
      </c>
      <c r="D863" s="16" t="str">
        <f ca="1">PROPER(Music_Data[[#This Row],[Playlist_genre2]])</f>
        <v>Latin</v>
      </c>
      <c r="E863" s="17">
        <v>0.25</v>
      </c>
      <c r="F863" t="s">
        <v>3207</v>
      </c>
      <c r="G863">
        <v>72</v>
      </c>
      <c r="H863" t="s">
        <v>10614</v>
      </c>
      <c r="I863" t="s">
        <v>3214</v>
      </c>
      <c r="J863" s="22">
        <v>45526</v>
      </c>
      <c r="K863">
        <v>1</v>
      </c>
      <c r="L863">
        <v>0</v>
      </c>
      <c r="M863" s="21">
        <f ca="1">LEFT(Music_Data[[#This Row],[Duration_minutes]],3)/60</f>
        <v>3.1666666666666665</v>
      </c>
      <c r="N863" s="17">
        <v>5.6500000000000002E-2</v>
      </c>
      <c r="O863" s="17" t="str">
        <f ca="1">PROPER(Music_Data[[#This Row],[Playlist_subgenre2]])</f>
        <v>Reggaeton</v>
      </c>
    </row>
    <row r="864" spans="1:15">
      <c r="A864" s="17">
        <v>0.66200000000000003</v>
      </c>
      <c r="B864" s="21">
        <v>959</v>
      </c>
      <c r="C864" s="16">
        <v>0.86299999999999999</v>
      </c>
      <c r="D864" s="16" t="str">
        <f ca="1">PROPER(Music_Data[[#This Row],[Playlist_genre2]])</f>
        <v>Latin</v>
      </c>
      <c r="E864" s="17">
        <v>0.307</v>
      </c>
      <c r="F864" t="s">
        <v>3054</v>
      </c>
      <c r="G864">
        <v>72</v>
      </c>
      <c r="H864" t="s">
        <v>3030</v>
      </c>
      <c r="I864" t="s">
        <v>3058</v>
      </c>
      <c r="J864" s="22">
        <v>45610</v>
      </c>
      <c r="K864">
        <v>0</v>
      </c>
      <c r="L864">
        <v>4</v>
      </c>
      <c r="M864" s="21">
        <f ca="1">LEFT(Music_Data[[#This Row],[Duration_minutes]],3)/60</f>
        <v>4.1333333333333337</v>
      </c>
      <c r="N864" s="17">
        <v>8.43E-2</v>
      </c>
      <c r="O864" s="17" t="str">
        <f ca="1">PROPER(Music_Data[[#This Row],[Playlist_subgenre2]])</f>
        <v>Modern</v>
      </c>
    </row>
    <row r="865" spans="1:15">
      <c r="A865" s="17">
        <v>0.81200000000000006</v>
      </c>
      <c r="B865" s="21">
        <v>162</v>
      </c>
      <c r="C865" s="16">
        <v>0.78500000000000003</v>
      </c>
      <c r="D865" s="16" t="str">
        <f ca="1">PROPER(Music_Data[[#This Row],[Playlist_genre2]])</f>
        <v>Latin</v>
      </c>
      <c r="E865" s="17">
        <v>0.90300000000000002</v>
      </c>
      <c r="F865" t="s">
        <v>11168</v>
      </c>
      <c r="G865">
        <v>72</v>
      </c>
      <c r="H865" t="s">
        <v>10614</v>
      </c>
      <c r="I865" t="s">
        <v>11174</v>
      </c>
      <c r="J865" s="22">
        <v>45247</v>
      </c>
      <c r="K865">
        <v>1</v>
      </c>
      <c r="L865">
        <v>3</v>
      </c>
      <c r="M865" s="21">
        <f ca="1">LEFT(Music_Data[[#This Row],[Duration_minutes]],3)/60</f>
        <v>3.4333333333333331</v>
      </c>
      <c r="N865" s="17">
        <v>0.14699999999999999</v>
      </c>
      <c r="O865" s="17" t="str">
        <f ca="1">PROPER(Music_Data[[#This Row],[Playlist_subgenre2]])</f>
        <v>Reggaeton</v>
      </c>
    </row>
    <row r="866" spans="1:15">
      <c r="A866" s="17">
        <v>0.69399999999999995</v>
      </c>
      <c r="B866" s="21">
        <v>950</v>
      </c>
      <c r="C866" s="16">
        <v>0.70299999999999996</v>
      </c>
      <c r="D866" s="16" t="str">
        <f ca="1">PROPER(Music_Data[[#This Row],[Playlist_genre2]])</f>
        <v>Latin</v>
      </c>
      <c r="E866" s="17">
        <v>0.29799999999999999</v>
      </c>
      <c r="F866" t="s">
        <v>11110</v>
      </c>
      <c r="G866">
        <v>71</v>
      </c>
      <c r="H866" t="s">
        <v>10614</v>
      </c>
      <c r="I866" t="s">
        <v>11113</v>
      </c>
      <c r="J866" s="22">
        <v>44707</v>
      </c>
      <c r="K866">
        <v>0</v>
      </c>
      <c r="L866">
        <v>3</v>
      </c>
      <c r="M866" s="21">
        <f ca="1">LEFT(Music_Data[[#This Row],[Duration_minutes]],3)/60</f>
        <v>4.083333333333333</v>
      </c>
      <c r="N866" s="17">
        <v>0.436</v>
      </c>
      <c r="O866" s="17" t="str">
        <f ca="1">PROPER(Music_Data[[#This Row],[Playlist_subgenre2]])</f>
        <v>Reggaeton</v>
      </c>
    </row>
    <row r="867" spans="1:15">
      <c r="A867" s="17">
        <v>0.41099999999999998</v>
      </c>
      <c r="B867" s="21">
        <v>169</v>
      </c>
      <c r="C867" s="16">
        <v>0.58399999999999996</v>
      </c>
      <c r="D867" s="16" t="str">
        <f ca="1">PROPER(Music_Data[[#This Row],[Playlist_genre2]])</f>
        <v>Latin</v>
      </c>
      <c r="E867" s="17">
        <v>0.41199999999999998</v>
      </c>
      <c r="F867" t="s">
        <v>2907</v>
      </c>
      <c r="G867">
        <v>71</v>
      </c>
      <c r="H867" t="s">
        <v>6628</v>
      </c>
      <c r="I867" t="s">
        <v>6660</v>
      </c>
      <c r="J867" s="22">
        <v>44162</v>
      </c>
      <c r="K867">
        <v>0</v>
      </c>
      <c r="L867">
        <v>10</v>
      </c>
      <c r="M867" s="21">
        <f ca="1">LEFT(Music_Data[[#This Row],[Duration_minutes]],3)/60</f>
        <v>3.6166666666666667</v>
      </c>
      <c r="N867" s="17">
        <v>0.86899999999999999</v>
      </c>
      <c r="O867" s="17" t="str">
        <f ca="1">PROPER(Music_Data[[#This Row],[Playlist_subgenre2]])</f>
        <v>Chill</v>
      </c>
    </row>
    <row r="868" spans="1:15">
      <c r="A868" s="17">
        <v>0.90300000000000002</v>
      </c>
      <c r="B868" s="21">
        <v>782</v>
      </c>
      <c r="C868" s="16">
        <v>0.56399999999999995</v>
      </c>
      <c r="D868" s="16" t="str">
        <f ca="1">PROPER(Music_Data[[#This Row],[Playlist_genre2]])</f>
        <v>Latin</v>
      </c>
      <c r="E868" s="17">
        <v>0.60699999999999998</v>
      </c>
      <c r="F868" t="s">
        <v>2907</v>
      </c>
      <c r="G868">
        <v>71</v>
      </c>
      <c r="H868" t="s">
        <v>10614</v>
      </c>
      <c r="I868" t="s">
        <v>11080</v>
      </c>
      <c r="J868" s="22">
        <v>44687</v>
      </c>
      <c r="K868">
        <v>1</v>
      </c>
      <c r="L868">
        <v>5</v>
      </c>
      <c r="M868" s="21">
        <f ca="1">LEFT(Music_Data[[#This Row],[Duration_minutes]],3)/60</f>
        <v>3.8333333333333335</v>
      </c>
      <c r="N868" s="17">
        <v>0.35599999999999998</v>
      </c>
      <c r="O868" s="17" t="str">
        <f ca="1">PROPER(Music_Data[[#This Row],[Playlist_subgenre2]])</f>
        <v>Reggaeton</v>
      </c>
    </row>
    <row r="869" spans="1:15">
      <c r="A869" s="17">
        <v>0.58399999999999996</v>
      </c>
      <c r="B869" s="21">
        <v>115</v>
      </c>
      <c r="C869" s="16">
        <v>0.84899999999999998</v>
      </c>
      <c r="D869" s="16" t="str">
        <f ca="1">PROPER(Music_Data[[#This Row],[Playlist_genre2]])</f>
        <v>Latin</v>
      </c>
      <c r="E869" s="17">
        <v>0.72399999999999998</v>
      </c>
      <c r="F869" t="s">
        <v>2907</v>
      </c>
      <c r="G869">
        <v>71</v>
      </c>
      <c r="H869" t="s">
        <v>10614</v>
      </c>
      <c r="I869" t="s">
        <v>11091</v>
      </c>
      <c r="J869" s="22">
        <v>44687</v>
      </c>
      <c r="K869">
        <v>0</v>
      </c>
      <c r="L869">
        <v>1</v>
      </c>
      <c r="M869" s="21">
        <f ca="1">LEFT(Music_Data[[#This Row],[Duration_minutes]],3)/60</f>
        <v>2.3166666666666669</v>
      </c>
      <c r="N869" s="17">
        <v>9.2899999999999996E-2</v>
      </c>
      <c r="O869" s="17" t="str">
        <f ca="1">PROPER(Music_Data[[#This Row],[Playlist_subgenre2]])</f>
        <v>Reggaeton</v>
      </c>
    </row>
    <row r="870" spans="1:15">
      <c r="A870" s="17">
        <v>0.54300000000000004</v>
      </c>
      <c r="B870" s="21">
        <v>989</v>
      </c>
      <c r="C870" s="16">
        <v>0.89800000000000002</v>
      </c>
      <c r="D870" s="16" t="str">
        <f ca="1">PROPER(Music_Data[[#This Row],[Playlist_genre2]])</f>
        <v>Latin</v>
      </c>
      <c r="E870" s="17">
        <v>0.35899999999999999</v>
      </c>
      <c r="F870" t="s">
        <v>11209</v>
      </c>
      <c r="G870">
        <v>71</v>
      </c>
      <c r="H870" t="s">
        <v>10614</v>
      </c>
      <c r="I870" t="s">
        <v>11215</v>
      </c>
      <c r="J870" s="22">
        <v>43619</v>
      </c>
      <c r="K870">
        <v>0</v>
      </c>
      <c r="L870">
        <v>6</v>
      </c>
      <c r="M870" s="21">
        <f ca="1">LEFT(Music_Data[[#This Row],[Duration_minutes]],3)/60</f>
        <v>5.083333333333333</v>
      </c>
      <c r="N870" s="17">
        <v>0.34300000000000003</v>
      </c>
      <c r="O870" s="17" t="str">
        <f ca="1">PROPER(Music_Data[[#This Row],[Playlist_subgenre2]])</f>
        <v>Reggaeton</v>
      </c>
    </row>
    <row r="871" spans="1:15">
      <c r="A871" s="17">
        <v>0.71099999999999997</v>
      </c>
      <c r="B871" s="21">
        <v>102</v>
      </c>
      <c r="C871" s="16">
        <v>0.82199999999999995</v>
      </c>
      <c r="D871" s="16" t="str">
        <f ca="1">PROPER(Music_Data[[#This Row],[Playlist_genre2]])</f>
        <v>Latin</v>
      </c>
      <c r="E871" s="17">
        <v>0.93400000000000005</v>
      </c>
      <c r="F871" t="s">
        <v>11160</v>
      </c>
      <c r="G871">
        <v>71</v>
      </c>
      <c r="H871" t="s">
        <v>10614</v>
      </c>
      <c r="I871" t="s">
        <v>11166</v>
      </c>
      <c r="J871" s="22">
        <v>45135</v>
      </c>
      <c r="K871">
        <v>1</v>
      </c>
      <c r="L871">
        <v>6</v>
      </c>
      <c r="M871" s="21">
        <f ca="1">LEFT(Music_Data[[#This Row],[Duration_minutes]],3)/60</f>
        <v>3.3166666666666669</v>
      </c>
      <c r="N871" s="17">
        <v>0.17899999999999999</v>
      </c>
      <c r="O871" s="17" t="str">
        <f ca="1">PROPER(Music_Data[[#This Row],[Playlist_subgenre2]])</f>
        <v>Reggaeton</v>
      </c>
    </row>
    <row r="872" spans="1:15">
      <c r="A872" s="17">
        <v>0.58599999999999997</v>
      </c>
      <c r="B872" s="21">
        <v>189</v>
      </c>
      <c r="C872" s="16">
        <v>0.32600000000000001</v>
      </c>
      <c r="D872" s="16" t="str">
        <f ca="1">PROPER(Music_Data[[#This Row],[Playlist_genre2]])</f>
        <v>Latin</v>
      </c>
      <c r="E872" s="17">
        <v>0.29499999999999998</v>
      </c>
      <c r="F872" t="s">
        <v>3249</v>
      </c>
      <c r="G872">
        <v>71</v>
      </c>
      <c r="H872" t="s">
        <v>6628</v>
      </c>
      <c r="I872" t="s">
        <v>6807</v>
      </c>
      <c r="J872" s="22">
        <v>44511</v>
      </c>
      <c r="K872">
        <v>1</v>
      </c>
      <c r="L872">
        <v>6</v>
      </c>
      <c r="M872" s="21">
        <f ca="1">LEFT(Music_Data[[#This Row],[Duration_minutes]],3)/60</f>
        <v>4.3666666666666663</v>
      </c>
      <c r="N872" s="17">
        <v>0.53100000000000003</v>
      </c>
      <c r="O872" s="17" t="str">
        <f ca="1">PROPER(Music_Data[[#This Row],[Playlist_subgenre2]])</f>
        <v>Chill</v>
      </c>
    </row>
    <row r="873" spans="1:15">
      <c r="A873" s="17">
        <v>0.51600000000000001</v>
      </c>
      <c r="B873" s="21">
        <v>111</v>
      </c>
      <c r="C873" s="16">
        <v>0.87</v>
      </c>
      <c r="D873" s="16" t="str">
        <f ca="1">PROPER(Music_Data[[#This Row],[Playlist_genre2]])</f>
        <v>Latin</v>
      </c>
      <c r="E873" s="17">
        <v>0.53</v>
      </c>
      <c r="F873" t="s">
        <v>541</v>
      </c>
      <c r="G873">
        <v>71</v>
      </c>
      <c r="H873" t="s">
        <v>6628</v>
      </c>
      <c r="I873" t="s">
        <v>6760</v>
      </c>
      <c r="J873" s="22">
        <v>44673</v>
      </c>
      <c r="K873">
        <v>1</v>
      </c>
      <c r="L873">
        <v>1</v>
      </c>
      <c r="M873" s="21">
        <f ca="1">LEFT(Music_Data[[#This Row],[Duration_minutes]],3)/60</f>
        <v>3.5</v>
      </c>
      <c r="N873" s="17">
        <v>0.65600000000000003</v>
      </c>
      <c r="O873" s="17" t="str">
        <f ca="1">PROPER(Music_Data[[#This Row],[Playlist_subgenre2]])</f>
        <v>Chill</v>
      </c>
    </row>
    <row r="874" spans="1:15">
      <c r="A874" s="17">
        <v>0.432</v>
      </c>
      <c r="B874" s="21">
        <v>811</v>
      </c>
      <c r="C874" s="16">
        <v>0.69499999999999995</v>
      </c>
      <c r="D874" s="16" t="str">
        <f ca="1">PROPER(Music_Data[[#This Row],[Playlist_genre2]])</f>
        <v>Latin</v>
      </c>
      <c r="E874" s="17">
        <v>0.76500000000000001</v>
      </c>
      <c r="F874" t="s">
        <v>13216</v>
      </c>
      <c r="G874">
        <v>71</v>
      </c>
      <c r="H874" t="s">
        <v>10594</v>
      </c>
      <c r="I874" t="s">
        <v>10597</v>
      </c>
      <c r="J874" s="22">
        <v>36161</v>
      </c>
      <c r="K874">
        <v>0</v>
      </c>
      <c r="L874">
        <v>11</v>
      </c>
      <c r="M874" s="21">
        <f ca="1">LEFT(Music_Data[[#This Row],[Duration_minutes]],3)/60</f>
        <v>3.6</v>
      </c>
      <c r="N874" s="17">
        <v>0.312</v>
      </c>
      <c r="O874" s="17" t="str">
        <f ca="1">PROPER(Music_Data[[#This Row],[Playlist_subgenre2]])</f>
        <v>Cumbia</v>
      </c>
    </row>
    <row r="875" spans="1:15">
      <c r="A875" s="17">
        <v>0.77900000000000003</v>
      </c>
      <c r="B875" s="21">
        <v>128</v>
      </c>
      <c r="C875" s="16">
        <v>0.93700000000000006</v>
      </c>
      <c r="D875" s="16" t="str">
        <f ca="1">PROPER(Music_Data[[#This Row],[Playlist_genre2]])</f>
        <v>Latin</v>
      </c>
      <c r="E875" s="17">
        <v>0.95</v>
      </c>
      <c r="F875" t="s">
        <v>11283</v>
      </c>
      <c r="G875">
        <v>71</v>
      </c>
      <c r="H875" t="s">
        <v>10614</v>
      </c>
      <c r="I875" t="s">
        <v>11286</v>
      </c>
      <c r="J875" s="22">
        <v>45416</v>
      </c>
      <c r="K875">
        <v>0</v>
      </c>
      <c r="L875">
        <v>4</v>
      </c>
      <c r="M875" s="21">
        <f ca="1">LEFT(Music_Data[[#This Row],[Duration_minutes]],3)/60</f>
        <v>2.5833333333333335</v>
      </c>
      <c r="N875" s="17">
        <v>0.22</v>
      </c>
      <c r="O875" s="17" t="str">
        <f ca="1">PROPER(Music_Data[[#This Row],[Playlist_subgenre2]])</f>
        <v>Reggaeton</v>
      </c>
    </row>
    <row r="876" spans="1:15">
      <c r="A876" s="17">
        <v>0.57799999999999996</v>
      </c>
      <c r="B876" s="21">
        <v>167</v>
      </c>
      <c r="C876" s="16">
        <v>0.72399999999999998</v>
      </c>
      <c r="D876" s="16" t="str">
        <f ca="1">PROPER(Music_Data[[#This Row],[Playlist_genre2]])</f>
        <v>Latin</v>
      </c>
      <c r="E876" s="17">
        <v>0.75700000000000001</v>
      </c>
      <c r="F876" t="s">
        <v>10642</v>
      </c>
      <c r="G876">
        <v>71</v>
      </c>
      <c r="H876" t="s">
        <v>10614</v>
      </c>
      <c r="I876" t="s">
        <v>10649</v>
      </c>
      <c r="J876" s="22">
        <v>45166</v>
      </c>
      <c r="K876">
        <v>1</v>
      </c>
      <c r="L876">
        <v>10</v>
      </c>
      <c r="M876" s="21">
        <f ca="1">LEFT(Music_Data[[#This Row],[Duration_minutes]],3)/60</f>
        <v>3.5166666666666666</v>
      </c>
      <c r="N876" s="17">
        <v>0.63200000000000001</v>
      </c>
      <c r="O876" s="17" t="str">
        <f ca="1">PROPER(Music_Data[[#This Row],[Playlist_subgenre2]])</f>
        <v>Reggaeton</v>
      </c>
    </row>
    <row r="877" spans="1:15">
      <c r="A877" s="17">
        <v>0.70299999999999996</v>
      </c>
      <c r="B877" s="21">
        <v>940</v>
      </c>
      <c r="C877" s="16">
        <v>0.879</v>
      </c>
      <c r="D877" s="16" t="str">
        <f ca="1">PROPER(Music_Data[[#This Row],[Playlist_genre2]])</f>
        <v>Latin</v>
      </c>
      <c r="E877" s="17">
        <v>0.78800000000000003</v>
      </c>
      <c r="F877" t="s">
        <v>10861</v>
      </c>
      <c r="G877">
        <v>71</v>
      </c>
      <c r="H877" t="s">
        <v>10614</v>
      </c>
      <c r="I877" t="s">
        <v>10864</v>
      </c>
      <c r="J877" s="22">
        <v>43706</v>
      </c>
      <c r="K877">
        <v>1</v>
      </c>
      <c r="L877">
        <v>1</v>
      </c>
      <c r="M877" s="21">
        <f ca="1">LEFT(Music_Data[[#This Row],[Duration_minutes]],3)/60</f>
        <v>3.3166666666666669</v>
      </c>
      <c r="N877" s="17">
        <v>0.14299999999999999</v>
      </c>
      <c r="O877" s="17" t="str">
        <f ca="1">PROPER(Music_Data[[#This Row],[Playlist_subgenre2]])</f>
        <v>Reggaeton</v>
      </c>
    </row>
    <row r="878" spans="1:15">
      <c r="A878" s="17">
        <v>0.623</v>
      </c>
      <c r="B878" s="21">
        <v>130</v>
      </c>
      <c r="C878" s="16">
        <v>0.91900000000000004</v>
      </c>
      <c r="D878" s="16" t="str">
        <f ca="1">PROPER(Music_Data[[#This Row],[Playlist_genre2]])</f>
        <v>Latin</v>
      </c>
      <c r="E878" s="17">
        <v>0.77500000000000002</v>
      </c>
      <c r="F878" t="s">
        <v>13202</v>
      </c>
      <c r="G878">
        <v>71</v>
      </c>
      <c r="H878" t="s">
        <v>6628</v>
      </c>
      <c r="I878" t="s">
        <v>13239</v>
      </c>
      <c r="J878" s="22">
        <v>44770</v>
      </c>
      <c r="K878">
        <v>1</v>
      </c>
      <c r="L878">
        <v>7</v>
      </c>
      <c r="M878" s="21">
        <f ca="1">LEFT(Music_Data[[#This Row],[Duration_minutes]],3)/60</f>
        <v>2.6166666666666667</v>
      </c>
      <c r="N878" s="17">
        <v>0.184</v>
      </c>
      <c r="O878" s="17" t="str">
        <f ca="1">PROPER(Music_Data[[#This Row],[Playlist_subgenre2]])</f>
        <v>Chill</v>
      </c>
    </row>
    <row r="879" spans="1:15">
      <c r="A879" s="17">
        <v>0.54900000000000004</v>
      </c>
      <c r="B879" s="21">
        <v>123</v>
      </c>
      <c r="C879" s="16">
        <v>0.61299999999999999</v>
      </c>
      <c r="D879" s="16" t="str">
        <f ca="1">PROPER(Music_Data[[#This Row],[Playlist_genre2]])</f>
        <v>Latin</v>
      </c>
      <c r="E879" s="17">
        <v>0.78</v>
      </c>
      <c r="F879" t="s">
        <v>11796</v>
      </c>
      <c r="G879">
        <v>71</v>
      </c>
      <c r="H879" t="s">
        <v>13090</v>
      </c>
      <c r="I879" t="s">
        <v>8412</v>
      </c>
      <c r="J879" s="22">
        <v>44453</v>
      </c>
      <c r="K879">
        <v>1</v>
      </c>
      <c r="L879">
        <v>9</v>
      </c>
      <c r="M879" s="21">
        <f ca="1">LEFT(Music_Data[[#This Row],[Duration_minutes]],3)/60</f>
        <v>3</v>
      </c>
      <c r="N879" s="17">
        <v>9.7000000000000003E-2</v>
      </c>
      <c r="O879" s="17" t="str">
        <f ca="1">PROPER(Music_Data[[#This Row],[Playlist_subgenre2]])</f>
        <v>Afro-Latin</v>
      </c>
    </row>
    <row r="880" spans="1:15">
      <c r="A880" s="17">
        <v>0.58799999999999997</v>
      </c>
      <c r="B880" s="21">
        <v>142</v>
      </c>
      <c r="C880" s="16">
        <v>0.872</v>
      </c>
      <c r="D880" s="16" t="str">
        <f ca="1">PROPER(Music_Data[[#This Row],[Playlist_genre2]])</f>
        <v>Latin</v>
      </c>
      <c r="E880" s="17">
        <v>0.93</v>
      </c>
      <c r="F880" t="s">
        <v>2907</v>
      </c>
      <c r="G880">
        <v>70</v>
      </c>
      <c r="H880" t="s">
        <v>6628</v>
      </c>
      <c r="I880" t="s">
        <v>6734</v>
      </c>
      <c r="J880" s="22">
        <v>44687</v>
      </c>
      <c r="K880">
        <v>1</v>
      </c>
      <c r="L880">
        <v>0</v>
      </c>
      <c r="M880" s="21">
        <f ca="1">LEFT(Music_Data[[#This Row],[Duration_minutes]],3)/60</f>
        <v>3.8333333333333335</v>
      </c>
      <c r="N880" s="17">
        <v>0.27500000000000002</v>
      </c>
      <c r="O880" s="17" t="str">
        <f ca="1">PROPER(Music_Data[[#This Row],[Playlist_subgenre2]])</f>
        <v>Chill</v>
      </c>
    </row>
    <row r="881" spans="1:15">
      <c r="A881" s="17">
        <v>0.84799999999999998</v>
      </c>
      <c r="B881" s="21">
        <v>179</v>
      </c>
      <c r="C881" s="16">
        <v>0.68500000000000005</v>
      </c>
      <c r="D881" s="16" t="str">
        <f ca="1">PROPER(Music_Data[[#This Row],[Playlist_genre2]])</f>
        <v>Latin</v>
      </c>
      <c r="E881" s="17">
        <v>0.76100000000000001</v>
      </c>
      <c r="F881" t="s">
        <v>2907</v>
      </c>
      <c r="G881">
        <v>70</v>
      </c>
      <c r="H881" t="s">
        <v>10614</v>
      </c>
      <c r="I881" t="s">
        <v>13242</v>
      </c>
      <c r="J881" s="22">
        <v>43890</v>
      </c>
      <c r="K881">
        <v>0</v>
      </c>
      <c r="L881">
        <v>8</v>
      </c>
      <c r="M881" s="21">
        <f ca="1">LEFT(Music_Data[[#This Row],[Duration_minutes]],3)/60</f>
        <v>2.7166666666666668</v>
      </c>
      <c r="N881" s="17">
        <v>8.6099999999999996E-2</v>
      </c>
      <c r="O881" s="17" t="str">
        <f ca="1">PROPER(Music_Data[[#This Row],[Playlist_subgenre2]])</f>
        <v>Reggaeton</v>
      </c>
    </row>
    <row r="882" spans="1:15">
      <c r="A882" s="17">
        <v>0.64500000000000002</v>
      </c>
      <c r="B882" s="21">
        <v>119</v>
      </c>
      <c r="C882" s="16">
        <v>0.80100000000000005</v>
      </c>
      <c r="D882" s="16" t="str">
        <f ca="1">PROPER(Music_Data[[#This Row],[Playlist_genre2]])</f>
        <v>Latin</v>
      </c>
      <c r="E882" s="17">
        <v>0.52800000000000002</v>
      </c>
      <c r="F882" t="s">
        <v>10652</v>
      </c>
      <c r="G882">
        <v>70</v>
      </c>
      <c r="H882" t="s">
        <v>10614</v>
      </c>
      <c r="I882" t="s">
        <v>10657</v>
      </c>
      <c r="J882" s="22">
        <v>45212</v>
      </c>
      <c r="K882">
        <v>0</v>
      </c>
      <c r="L882">
        <v>6</v>
      </c>
      <c r="M882" s="21">
        <f ca="1">LEFT(Music_Data[[#This Row],[Duration_minutes]],3)/60</f>
        <v>3.4666666666666668</v>
      </c>
      <c r="N882" s="17">
        <v>0.60399999999999998</v>
      </c>
      <c r="O882" s="17" t="str">
        <f ca="1">PROPER(Music_Data[[#This Row],[Playlist_subgenre2]])</f>
        <v>Reggaeton</v>
      </c>
    </row>
    <row r="883" spans="1:15">
      <c r="A883" s="17">
        <v>0.76600000000000001</v>
      </c>
      <c r="B883" s="21">
        <v>939</v>
      </c>
      <c r="C883" s="16">
        <v>0.73699999999999999</v>
      </c>
      <c r="D883" s="16" t="str">
        <f ca="1">PROPER(Music_Data[[#This Row],[Playlist_genre2]])</f>
        <v>Latin</v>
      </c>
      <c r="E883" s="17">
        <v>0.66200000000000003</v>
      </c>
      <c r="F883" t="s">
        <v>11033</v>
      </c>
      <c r="G883">
        <v>70</v>
      </c>
      <c r="H883" t="s">
        <v>10614</v>
      </c>
      <c r="I883" t="s">
        <v>11039</v>
      </c>
      <c r="J883" s="22">
        <v>43890</v>
      </c>
      <c r="K883">
        <v>0</v>
      </c>
      <c r="L883">
        <v>10</v>
      </c>
      <c r="M883" s="21">
        <f ca="1">LEFT(Music_Data[[#This Row],[Duration_minutes]],3)/60</f>
        <v>3.2666666666666666</v>
      </c>
      <c r="N883" s="17">
        <v>0.31</v>
      </c>
      <c r="O883" s="17" t="str">
        <f ca="1">PROPER(Music_Data[[#This Row],[Playlist_subgenre2]])</f>
        <v>Reggaeton</v>
      </c>
    </row>
    <row r="884" spans="1:15">
      <c r="A884" s="17">
        <v>0.83599999999999997</v>
      </c>
      <c r="B884" s="21">
        <v>969</v>
      </c>
      <c r="C884" s="16">
        <v>0.746</v>
      </c>
      <c r="D884" s="16" t="str">
        <f ca="1">PROPER(Music_Data[[#This Row],[Playlist_genre2]])</f>
        <v>Latin</v>
      </c>
      <c r="E884" s="17">
        <v>0.874</v>
      </c>
      <c r="F884" t="s">
        <v>10914</v>
      </c>
      <c r="G884">
        <v>70</v>
      </c>
      <c r="H884" t="s">
        <v>10614</v>
      </c>
      <c r="I884" t="s">
        <v>10921</v>
      </c>
      <c r="J884" s="22">
        <v>43756</v>
      </c>
      <c r="K884">
        <v>0</v>
      </c>
      <c r="L884">
        <v>5</v>
      </c>
      <c r="M884" s="21">
        <f ca="1">LEFT(Music_Data[[#This Row],[Duration_minutes]],3)/60</f>
        <v>3.3833333333333333</v>
      </c>
      <c r="N884" s="17">
        <v>0.14499999999999999</v>
      </c>
      <c r="O884" s="17" t="str">
        <f ca="1">PROPER(Music_Data[[#This Row],[Playlist_subgenre2]])</f>
        <v>Reggaeton</v>
      </c>
    </row>
    <row r="885" spans="1:15">
      <c r="A885" s="17">
        <v>0.67300000000000004</v>
      </c>
      <c r="B885" s="21">
        <v>181</v>
      </c>
      <c r="C885" s="16">
        <v>0.65500000000000003</v>
      </c>
      <c r="D885" s="16" t="str">
        <f ca="1">PROPER(Music_Data[[#This Row],[Playlist_genre2]])</f>
        <v>Latin</v>
      </c>
      <c r="E885" s="17">
        <v>0.34200000000000003</v>
      </c>
      <c r="F885" t="s">
        <v>13191</v>
      </c>
      <c r="G885">
        <v>70</v>
      </c>
      <c r="H885" t="s">
        <v>10614</v>
      </c>
      <c r="I885" t="s">
        <v>11101</v>
      </c>
      <c r="J885" s="22">
        <v>44601</v>
      </c>
      <c r="K885">
        <v>0</v>
      </c>
      <c r="L885">
        <v>0</v>
      </c>
      <c r="M885" s="21">
        <f ca="1">LEFT(Music_Data[[#This Row],[Duration_minutes]],3)/60</f>
        <v>4.1500000000000004</v>
      </c>
      <c r="N885" s="17">
        <v>0.47299999999999998</v>
      </c>
      <c r="O885" s="17" t="str">
        <f ca="1">PROPER(Music_Data[[#This Row],[Playlist_subgenre2]])</f>
        <v>Reggaeton</v>
      </c>
    </row>
    <row r="886" spans="1:15">
      <c r="A886" s="17">
        <v>0.59599999999999997</v>
      </c>
      <c r="B886" s="21">
        <v>165</v>
      </c>
      <c r="C886" s="16">
        <v>0.81899999999999995</v>
      </c>
      <c r="D886" s="16" t="str">
        <f ca="1">PROPER(Music_Data[[#This Row],[Playlist_genre2]])</f>
        <v>Latin</v>
      </c>
      <c r="E886" s="17">
        <v>0.622</v>
      </c>
      <c r="F886" t="s">
        <v>10868</v>
      </c>
      <c r="G886">
        <v>70</v>
      </c>
      <c r="H886" t="s">
        <v>10614</v>
      </c>
      <c r="I886" t="s">
        <v>10871</v>
      </c>
      <c r="J886" s="22">
        <v>43658</v>
      </c>
      <c r="K886">
        <v>1</v>
      </c>
      <c r="L886">
        <v>2</v>
      </c>
      <c r="M886" s="21">
        <f ca="1">LEFT(Music_Data[[#This Row],[Duration_minutes]],3)/60</f>
        <v>3.75</v>
      </c>
      <c r="N886" s="17">
        <v>0.22500000000000001</v>
      </c>
      <c r="O886" s="17" t="str">
        <f ca="1">PROPER(Music_Data[[#This Row],[Playlist_subgenre2]])</f>
        <v>Reggaeton</v>
      </c>
    </row>
    <row r="887" spans="1:15">
      <c r="A887" s="17">
        <v>0.70599999999999996</v>
      </c>
      <c r="B887" s="21">
        <v>888</v>
      </c>
      <c r="C887" s="16">
        <v>0.63500000000000001</v>
      </c>
      <c r="D887" s="16" t="str">
        <f ca="1">PROPER(Music_Data[[#This Row],[Playlist_genre2]])</f>
        <v>Latin</v>
      </c>
      <c r="E887" s="17">
        <v>0.443</v>
      </c>
      <c r="F887" t="s">
        <v>11007</v>
      </c>
      <c r="G887">
        <v>70</v>
      </c>
      <c r="H887" t="s">
        <v>10614</v>
      </c>
      <c r="I887" t="s">
        <v>11013</v>
      </c>
      <c r="J887" s="22">
        <v>44281</v>
      </c>
      <c r="K887">
        <v>0</v>
      </c>
      <c r="L887">
        <v>5</v>
      </c>
      <c r="M887" s="21">
        <f ca="1">LEFT(Music_Data[[#This Row],[Duration_minutes]],3)/60</f>
        <v>3.4833333333333334</v>
      </c>
      <c r="N887" s="17">
        <v>0.25600000000000001</v>
      </c>
      <c r="O887" s="17" t="str">
        <f ca="1">PROPER(Music_Data[[#This Row],[Playlist_subgenre2]])</f>
        <v>Reggaeton</v>
      </c>
    </row>
    <row r="888" spans="1:15">
      <c r="A888" s="17">
        <v>0.61699999999999999</v>
      </c>
      <c r="B888" s="21">
        <v>168</v>
      </c>
      <c r="C888" s="16">
        <v>0.71299999999999997</v>
      </c>
      <c r="D888" s="16" t="str">
        <f ca="1">PROPER(Music_Data[[#This Row],[Playlist_genre2]])</f>
        <v>Latin</v>
      </c>
      <c r="E888" s="17">
        <v>0.68200000000000005</v>
      </c>
      <c r="F888" t="s">
        <v>10993</v>
      </c>
      <c r="G888">
        <v>70</v>
      </c>
      <c r="H888" t="s">
        <v>10614</v>
      </c>
      <c r="I888" t="s">
        <v>10996</v>
      </c>
      <c r="J888" s="22">
        <v>44175</v>
      </c>
      <c r="K888">
        <v>1</v>
      </c>
      <c r="L888">
        <v>8</v>
      </c>
      <c r="M888" s="21">
        <f ca="1">LEFT(Music_Data[[#This Row],[Duration_minutes]],3)/60</f>
        <v>3.8666666666666667</v>
      </c>
      <c r="N888" s="17">
        <v>0.122</v>
      </c>
      <c r="O888" s="17" t="str">
        <f ca="1">PROPER(Music_Data[[#This Row],[Playlist_subgenre2]])</f>
        <v>Reggaeton</v>
      </c>
    </row>
    <row r="889" spans="1:15">
      <c r="A889" s="17">
        <v>0.54300000000000004</v>
      </c>
      <c r="B889" s="21">
        <v>139</v>
      </c>
      <c r="C889" s="16">
        <v>0.84</v>
      </c>
      <c r="D889" s="16" t="str">
        <f ca="1">PROPER(Music_Data[[#This Row],[Playlist_genre2]])</f>
        <v>Latin</v>
      </c>
      <c r="E889" s="17">
        <v>0.74</v>
      </c>
      <c r="F889" t="s">
        <v>13208</v>
      </c>
      <c r="G889">
        <v>70</v>
      </c>
      <c r="H889" t="s">
        <v>6628</v>
      </c>
      <c r="I889" t="s">
        <v>6769</v>
      </c>
      <c r="J889" s="22">
        <v>43845</v>
      </c>
      <c r="K889">
        <v>1</v>
      </c>
      <c r="L889">
        <v>0</v>
      </c>
      <c r="M889" s="21">
        <f ca="1">LEFT(Music_Data[[#This Row],[Duration_minutes]],3)/60</f>
        <v>3.75</v>
      </c>
      <c r="N889" s="17">
        <v>0.67800000000000005</v>
      </c>
      <c r="O889" s="17" t="str">
        <f ca="1">PROPER(Music_Data[[#This Row],[Playlist_subgenre2]])</f>
        <v>Chill</v>
      </c>
    </row>
    <row r="890" spans="1:15">
      <c r="A890" s="17">
        <v>0.65500000000000003</v>
      </c>
      <c r="B890" s="21">
        <v>929</v>
      </c>
      <c r="C890" s="16">
        <v>0.64900000000000002</v>
      </c>
      <c r="D890" s="16" t="str">
        <f ca="1">PROPER(Music_Data[[#This Row],[Playlist_genre2]])</f>
        <v>Latin</v>
      </c>
      <c r="E890" s="17">
        <v>0.79300000000000004</v>
      </c>
      <c r="F890" t="s">
        <v>11837</v>
      </c>
      <c r="G890">
        <v>70</v>
      </c>
      <c r="H890" t="s">
        <v>13090</v>
      </c>
      <c r="I890" t="s">
        <v>11840</v>
      </c>
      <c r="J890" s="22">
        <v>44722</v>
      </c>
      <c r="K890">
        <v>0</v>
      </c>
      <c r="L890">
        <v>10</v>
      </c>
      <c r="M890" s="21">
        <f ca="1">LEFT(Music_Data[[#This Row],[Duration_minutes]],3)/60</f>
        <v>2.4500000000000002</v>
      </c>
      <c r="N890" s="17">
        <v>0.307</v>
      </c>
      <c r="O890" s="17" t="str">
        <f ca="1">PROPER(Music_Data[[#This Row],[Playlist_subgenre2]])</f>
        <v>Afro-Latin</v>
      </c>
    </row>
    <row r="891" spans="1:15">
      <c r="A891" s="17">
        <v>0.73899999999999999</v>
      </c>
      <c r="B891" s="21">
        <v>179</v>
      </c>
      <c r="C891" s="16">
        <v>0.70399999999999996</v>
      </c>
      <c r="D891" s="16" t="str">
        <f ca="1">PROPER(Music_Data[[#This Row],[Playlist_genre2]])</f>
        <v>Latin</v>
      </c>
      <c r="E891" s="17">
        <v>0.42499999999999999</v>
      </c>
      <c r="F891" t="s">
        <v>10673</v>
      </c>
      <c r="G891">
        <v>70</v>
      </c>
      <c r="H891" t="s">
        <v>10614</v>
      </c>
      <c r="I891" t="s">
        <v>11123</v>
      </c>
      <c r="J891" s="22">
        <v>44540</v>
      </c>
      <c r="K891">
        <v>1</v>
      </c>
      <c r="L891">
        <v>8</v>
      </c>
      <c r="M891" s="21">
        <f ca="1">LEFT(Music_Data[[#This Row],[Duration_minutes]],3)/60</f>
        <v>3.4666666666666668</v>
      </c>
      <c r="N891" s="17">
        <v>0.32800000000000001</v>
      </c>
      <c r="O891" s="17" t="str">
        <f ca="1">PROPER(Music_Data[[#This Row],[Playlist_subgenre2]])</f>
        <v>Reggaeton</v>
      </c>
    </row>
    <row r="892" spans="1:15">
      <c r="A892" s="17">
        <v>0.71</v>
      </c>
      <c r="B892" s="21">
        <v>920</v>
      </c>
      <c r="C892" s="16">
        <v>0.53500000000000003</v>
      </c>
      <c r="D892" s="16" t="str">
        <f ca="1">PROPER(Music_Data[[#This Row],[Playlist_genre2]])</f>
        <v>Latin</v>
      </c>
      <c r="E892" s="17">
        <v>0.52300000000000002</v>
      </c>
      <c r="F892" t="s">
        <v>13193</v>
      </c>
      <c r="G892">
        <v>70</v>
      </c>
      <c r="H892" t="s">
        <v>10614</v>
      </c>
      <c r="I892" t="s">
        <v>11281</v>
      </c>
      <c r="J892" s="22">
        <v>43749</v>
      </c>
      <c r="K892">
        <v>0</v>
      </c>
      <c r="L892">
        <v>1</v>
      </c>
      <c r="M892" s="21">
        <f ca="1">LEFT(Music_Data[[#This Row],[Duration_minutes]],3)/60</f>
        <v>3.5333333333333332</v>
      </c>
      <c r="N892" s="17">
        <v>0.42799999999999999</v>
      </c>
      <c r="O892" s="17" t="str">
        <f ca="1">PROPER(Music_Data[[#This Row],[Playlist_subgenre2]])</f>
        <v>Reggaeton</v>
      </c>
    </row>
    <row r="893" spans="1:15">
      <c r="A893" s="17">
        <v>0.84599999999999997</v>
      </c>
      <c r="B893" s="21">
        <v>980</v>
      </c>
      <c r="C893" s="16">
        <v>0.73399999999999999</v>
      </c>
      <c r="D893" s="16" t="str">
        <f ca="1">PROPER(Music_Data[[#This Row],[Playlist_genre2]])</f>
        <v>Latin</v>
      </c>
      <c r="E893" s="17">
        <v>0.60399999999999998</v>
      </c>
      <c r="F893" t="s">
        <v>11125</v>
      </c>
      <c r="G893">
        <v>70</v>
      </c>
      <c r="H893" t="s">
        <v>10614</v>
      </c>
      <c r="I893" t="s">
        <v>11128</v>
      </c>
      <c r="J893" s="22">
        <v>44447</v>
      </c>
      <c r="K893">
        <v>0</v>
      </c>
      <c r="L893">
        <v>9</v>
      </c>
      <c r="M893" s="21">
        <f ca="1">LEFT(Music_Data[[#This Row],[Duration_minutes]],3)/60</f>
        <v>3.4833333333333334</v>
      </c>
      <c r="N893" s="17">
        <v>0.16600000000000001</v>
      </c>
      <c r="O893" s="17" t="str">
        <f ca="1">PROPER(Music_Data[[#This Row],[Playlist_subgenre2]])</f>
        <v>Reggaeton</v>
      </c>
    </row>
    <row r="894" spans="1:15">
      <c r="A894" s="17">
        <v>0.63600000000000001</v>
      </c>
      <c r="B894" s="21">
        <v>174</v>
      </c>
      <c r="C894" s="16">
        <v>0.69499999999999995</v>
      </c>
      <c r="D894" s="16" t="str">
        <f ca="1">PROPER(Music_Data[[#This Row],[Playlist_genre2]])</f>
        <v>Latin</v>
      </c>
      <c r="E894" s="17">
        <v>0.57499999999999996</v>
      </c>
      <c r="F894" t="s">
        <v>11069</v>
      </c>
      <c r="G894">
        <v>70</v>
      </c>
      <c r="H894" t="s">
        <v>10614</v>
      </c>
      <c r="I894" t="s">
        <v>11072</v>
      </c>
      <c r="J894" s="22">
        <v>44672</v>
      </c>
      <c r="K894">
        <v>1</v>
      </c>
      <c r="L894">
        <v>5</v>
      </c>
      <c r="M894" s="21">
        <f ca="1">LEFT(Music_Data[[#This Row],[Duration_minutes]],3)/60</f>
        <v>2.8666666666666667</v>
      </c>
      <c r="N894" s="17">
        <v>0.23400000000000001</v>
      </c>
      <c r="O894" s="17" t="str">
        <f ca="1">PROPER(Music_Data[[#This Row],[Playlist_subgenre2]])</f>
        <v>Reggaeton</v>
      </c>
    </row>
    <row r="895" spans="1:15">
      <c r="A895" s="17">
        <v>0.70299999999999996</v>
      </c>
      <c r="B895" s="21">
        <v>169</v>
      </c>
      <c r="C895" s="16">
        <v>0.63900000000000001</v>
      </c>
      <c r="D895" s="16" t="str">
        <f ca="1">PROPER(Music_Data[[#This Row],[Playlist_genre2]])</f>
        <v>Latin</v>
      </c>
      <c r="E895" s="17">
        <v>0.13800000000000001</v>
      </c>
      <c r="F895" t="s">
        <v>11042</v>
      </c>
      <c r="G895">
        <v>70</v>
      </c>
      <c r="H895" t="s">
        <v>10614</v>
      </c>
      <c r="I895" t="s">
        <v>11046</v>
      </c>
      <c r="J895" s="22">
        <v>44474</v>
      </c>
      <c r="K895">
        <v>0</v>
      </c>
      <c r="L895">
        <v>4</v>
      </c>
      <c r="M895" s="21">
        <f ca="1">LEFT(Music_Data[[#This Row],[Duration_minutes]],3)/60</f>
        <v>3.45</v>
      </c>
      <c r="N895" s="17">
        <v>8.8900000000000007E-2</v>
      </c>
      <c r="O895" s="17" t="str">
        <f ca="1">PROPER(Music_Data[[#This Row],[Playlist_subgenre2]])</f>
        <v>Reggaeton</v>
      </c>
    </row>
    <row r="896" spans="1:15">
      <c r="A896" s="17">
        <v>0.69</v>
      </c>
      <c r="B896" s="21">
        <v>106</v>
      </c>
      <c r="C896" s="16">
        <v>0.79900000000000004</v>
      </c>
      <c r="D896" s="16" t="str">
        <f ca="1">PROPER(Music_Data[[#This Row],[Playlist_genre2]])</f>
        <v>Latin</v>
      </c>
      <c r="E896" s="17">
        <v>0.68200000000000005</v>
      </c>
      <c r="F896" t="s">
        <v>10961</v>
      </c>
      <c r="G896">
        <v>70</v>
      </c>
      <c r="H896" t="s">
        <v>10614</v>
      </c>
      <c r="I896" t="s">
        <v>10964</v>
      </c>
      <c r="J896" s="22">
        <v>43392</v>
      </c>
      <c r="K896">
        <v>1</v>
      </c>
      <c r="L896">
        <v>7</v>
      </c>
      <c r="M896" s="21">
        <f ca="1">LEFT(Music_Data[[#This Row],[Duration_minutes]],3)/60</f>
        <v>5.8666666666666663</v>
      </c>
      <c r="N896" s="17">
        <v>0.28199999999999997</v>
      </c>
      <c r="O896" s="17" t="str">
        <f ca="1">PROPER(Music_Data[[#This Row],[Playlist_subgenre2]])</f>
        <v>Reggaeton</v>
      </c>
    </row>
    <row r="897" spans="1:15">
      <c r="A897" s="17">
        <v>0.59</v>
      </c>
      <c r="B897" s="21">
        <v>161</v>
      </c>
      <c r="C897" s="16">
        <v>0.86399999999999999</v>
      </c>
      <c r="D897" s="16" t="str">
        <f ca="1">PROPER(Music_Data[[#This Row],[Playlist_genre2]])</f>
        <v>Latin</v>
      </c>
      <c r="E897" s="17">
        <v>0.57899999999999996</v>
      </c>
      <c r="F897" t="s">
        <v>13173</v>
      </c>
      <c r="G897">
        <v>69</v>
      </c>
      <c r="H897" t="s">
        <v>3394</v>
      </c>
      <c r="I897" t="s">
        <v>13243</v>
      </c>
      <c r="J897" s="22">
        <v>43236</v>
      </c>
      <c r="K897">
        <v>1</v>
      </c>
      <c r="L897">
        <v>1</v>
      </c>
      <c r="M897" s="21">
        <f ca="1">LEFT(Music_Data[[#This Row],[Duration_minutes]],3)/60</f>
        <v>2.8</v>
      </c>
      <c r="N897" s="17">
        <v>1.9599999999999999E-2</v>
      </c>
      <c r="O897" s="17" t="str">
        <f ca="1">PROPER(Music_Data[[#This Row],[Playlist_subgenre2]])</f>
        <v>Hip-Hop</v>
      </c>
    </row>
    <row r="898" spans="1:15">
      <c r="A898" s="17">
        <v>0.70299999999999996</v>
      </c>
      <c r="B898" s="21">
        <v>123</v>
      </c>
      <c r="C898" s="16">
        <v>0.71299999999999997</v>
      </c>
      <c r="D898" s="16" t="str">
        <f ca="1">PROPER(Music_Data[[#This Row],[Playlist_genre2]])</f>
        <v>Latin</v>
      </c>
      <c r="E898" s="17">
        <v>0.57599999999999996</v>
      </c>
      <c r="F898" t="s">
        <v>13188</v>
      </c>
      <c r="G898">
        <v>69</v>
      </c>
      <c r="H898" t="s">
        <v>10614</v>
      </c>
      <c r="I898" t="s">
        <v>10707</v>
      </c>
      <c r="J898" s="22">
        <v>44895</v>
      </c>
      <c r="K898">
        <v>1</v>
      </c>
      <c r="L898">
        <v>8</v>
      </c>
      <c r="M898" s="21">
        <f ca="1">LEFT(Music_Data[[#This Row],[Duration_minutes]],3)/60</f>
        <v>4.25</v>
      </c>
      <c r="N898" s="17">
        <v>0.29799999999999999</v>
      </c>
      <c r="O898" s="17" t="str">
        <f ca="1">PROPER(Music_Data[[#This Row],[Playlist_subgenre2]])</f>
        <v>Reggaeton</v>
      </c>
    </row>
    <row r="899" spans="1:15">
      <c r="A899" s="17">
        <v>0.75800000000000001</v>
      </c>
      <c r="B899" s="21">
        <v>970</v>
      </c>
      <c r="C899" s="16">
        <v>0.86</v>
      </c>
      <c r="D899" s="16" t="str">
        <f ca="1">PROPER(Music_Data[[#This Row],[Playlist_genre2]])</f>
        <v>Latin</v>
      </c>
      <c r="E899" s="17">
        <v>0.45300000000000001</v>
      </c>
      <c r="F899" t="s">
        <v>2907</v>
      </c>
      <c r="G899">
        <v>69</v>
      </c>
      <c r="H899" t="s">
        <v>10614</v>
      </c>
      <c r="I899" t="s">
        <v>10860</v>
      </c>
      <c r="J899" s="22">
        <v>43890</v>
      </c>
      <c r="K899">
        <v>1</v>
      </c>
      <c r="L899">
        <v>11</v>
      </c>
      <c r="M899" s="21">
        <f ca="1">LEFT(Music_Data[[#This Row],[Duration_minutes]],3)/60</f>
        <v>2.8666666666666667</v>
      </c>
      <c r="N899" s="17">
        <v>2.1000000000000001E-2</v>
      </c>
      <c r="O899" s="17" t="str">
        <f ca="1">PROPER(Music_Data[[#This Row],[Playlist_subgenre2]])</f>
        <v>Reggaeton</v>
      </c>
    </row>
    <row r="900" spans="1:15">
      <c r="A900" s="17">
        <v>0.68100000000000005</v>
      </c>
      <c r="B900" s="21">
        <v>140</v>
      </c>
      <c r="C900" s="16">
        <v>0.80700000000000005</v>
      </c>
      <c r="D900" s="16" t="str">
        <f ca="1">PROPER(Music_Data[[#This Row],[Playlist_genre2]])</f>
        <v>Latin</v>
      </c>
      <c r="E900" s="17">
        <v>0.67600000000000005</v>
      </c>
      <c r="F900" t="s">
        <v>10954</v>
      </c>
      <c r="G900">
        <v>69</v>
      </c>
      <c r="H900" t="s">
        <v>10614</v>
      </c>
      <c r="I900" t="s">
        <v>10957</v>
      </c>
      <c r="J900" s="22">
        <v>43042</v>
      </c>
      <c r="K900">
        <v>1</v>
      </c>
      <c r="L900">
        <v>11</v>
      </c>
      <c r="M900" s="21">
        <f ca="1">LEFT(Music_Data[[#This Row],[Duration_minutes]],3)/60</f>
        <v>4.95</v>
      </c>
      <c r="N900" s="17">
        <v>0.42299999999999999</v>
      </c>
      <c r="O900" s="17" t="str">
        <f ca="1">PROPER(Music_Data[[#This Row],[Playlist_subgenre2]])</f>
        <v>Reggaeton</v>
      </c>
    </row>
    <row r="901" spans="1:15">
      <c r="A901" s="17">
        <v>0.7</v>
      </c>
      <c r="B901" s="21">
        <v>939</v>
      </c>
      <c r="C901" s="16">
        <v>0.84299999999999997</v>
      </c>
      <c r="D901" s="16" t="str">
        <f ca="1">PROPER(Music_Data[[#This Row],[Playlist_genre2]])</f>
        <v>Latin</v>
      </c>
      <c r="E901" s="17">
        <v>0.89900000000000002</v>
      </c>
      <c r="F901" t="s">
        <v>11052</v>
      </c>
      <c r="G901">
        <v>69</v>
      </c>
      <c r="H901" t="s">
        <v>10614</v>
      </c>
      <c r="I901" t="s">
        <v>11055</v>
      </c>
      <c r="J901" s="22">
        <v>44602</v>
      </c>
      <c r="K901">
        <v>0</v>
      </c>
      <c r="L901">
        <v>4</v>
      </c>
      <c r="M901" s="21">
        <f ca="1">LEFT(Music_Data[[#This Row],[Duration_minutes]],3)/60</f>
        <v>3.7666666666666666</v>
      </c>
      <c r="N901" s="17">
        <v>9.3399999999999997E-2</v>
      </c>
      <c r="O901" s="17" t="str">
        <f ca="1">PROPER(Music_Data[[#This Row],[Playlist_subgenre2]])</f>
        <v>Reggaeton</v>
      </c>
    </row>
    <row r="902" spans="1:15">
      <c r="A902" s="17">
        <v>0.79400000000000004</v>
      </c>
      <c r="B902" s="21">
        <v>929</v>
      </c>
      <c r="C902" s="16">
        <v>0.84299999999999997</v>
      </c>
      <c r="D902" s="16" t="str">
        <f ca="1">PROPER(Music_Data[[#This Row],[Playlist_genre2]])</f>
        <v>Latin</v>
      </c>
      <c r="E902" s="17">
        <v>0.79600000000000004</v>
      </c>
      <c r="F902" t="s">
        <v>11176</v>
      </c>
      <c r="G902">
        <v>69</v>
      </c>
      <c r="H902" t="s">
        <v>10614</v>
      </c>
      <c r="I902" t="s">
        <v>11182</v>
      </c>
      <c r="J902" s="22">
        <v>45023</v>
      </c>
      <c r="K902">
        <v>0</v>
      </c>
      <c r="L902">
        <v>1</v>
      </c>
      <c r="M902" s="21">
        <f ca="1">LEFT(Music_Data[[#This Row],[Duration_minutes]],3)/60</f>
        <v>4.583333333333333</v>
      </c>
      <c r="N902" s="17">
        <v>0.22600000000000001</v>
      </c>
      <c r="O902" s="17" t="str">
        <f ca="1">PROPER(Music_Data[[#This Row],[Playlist_subgenre2]])</f>
        <v>Reggaeton</v>
      </c>
    </row>
    <row r="903" spans="1:15">
      <c r="A903" s="17">
        <v>0.80900000000000005</v>
      </c>
      <c r="B903" s="21">
        <v>990</v>
      </c>
      <c r="C903" s="16">
        <v>0.72399999999999998</v>
      </c>
      <c r="D903" s="16" t="str">
        <f ca="1">PROPER(Music_Data[[#This Row],[Playlist_genre2]])</f>
        <v>Latin</v>
      </c>
      <c r="E903" s="17">
        <v>0.60599999999999998</v>
      </c>
      <c r="F903" t="s">
        <v>13129</v>
      </c>
      <c r="G903">
        <v>69</v>
      </c>
      <c r="H903" t="s">
        <v>13090</v>
      </c>
      <c r="I903" t="s">
        <v>13134</v>
      </c>
      <c r="J903" s="22">
        <v>45015</v>
      </c>
      <c r="K903">
        <v>0</v>
      </c>
      <c r="L903">
        <v>6</v>
      </c>
      <c r="M903" s="21">
        <f ca="1">LEFT(Music_Data[[#This Row],[Duration_minutes]],3)/60</f>
        <v>3.2333333333333334</v>
      </c>
      <c r="N903" s="17">
        <v>0.182</v>
      </c>
      <c r="O903" s="17" t="str">
        <f ca="1">PROPER(Music_Data[[#This Row],[Playlist_subgenre2]])</f>
        <v>Afro-Latin</v>
      </c>
    </row>
    <row r="904" spans="1:15">
      <c r="A904" s="17">
        <v>0.64900000000000002</v>
      </c>
      <c r="B904" s="21">
        <v>113</v>
      </c>
      <c r="C904" s="16">
        <v>0.78800000000000003</v>
      </c>
      <c r="D904" s="16" t="str">
        <f ca="1">PROPER(Music_Data[[#This Row],[Playlist_genre2]])</f>
        <v>Latin</v>
      </c>
      <c r="E904" s="17">
        <v>0.22900000000000001</v>
      </c>
      <c r="F904" t="s">
        <v>13108</v>
      </c>
      <c r="G904">
        <v>69</v>
      </c>
      <c r="H904" t="s">
        <v>13090</v>
      </c>
      <c r="I904" t="s">
        <v>13113</v>
      </c>
      <c r="J904" s="22">
        <v>45015</v>
      </c>
      <c r="K904">
        <v>1</v>
      </c>
      <c r="L904">
        <v>2</v>
      </c>
      <c r="M904" s="21">
        <f ca="1">LEFT(Music_Data[[#This Row],[Duration_minutes]],3)/60</f>
        <v>2.8166666666666669</v>
      </c>
      <c r="N904" s="17">
        <v>0.253</v>
      </c>
      <c r="O904" s="17" t="str">
        <f ca="1">PROPER(Music_Data[[#This Row],[Playlist_subgenre2]])</f>
        <v>Afro-Latin</v>
      </c>
    </row>
    <row r="905" spans="1:15">
      <c r="A905" s="17">
        <v>0.64700000000000002</v>
      </c>
      <c r="B905" s="21">
        <v>959</v>
      </c>
      <c r="C905" s="16">
        <v>0.85699999999999998</v>
      </c>
      <c r="D905" s="16" t="str">
        <f ca="1">PROPER(Music_Data[[#This Row],[Playlist_genre2]])</f>
        <v>Latin</v>
      </c>
      <c r="E905" s="17">
        <v>0.55300000000000005</v>
      </c>
      <c r="F905" t="s">
        <v>10906</v>
      </c>
      <c r="G905">
        <v>69</v>
      </c>
      <c r="H905" t="s">
        <v>10614</v>
      </c>
      <c r="I905" t="s">
        <v>10909</v>
      </c>
      <c r="J905" s="22">
        <v>43552</v>
      </c>
      <c r="K905">
        <v>0</v>
      </c>
      <c r="L905">
        <v>11</v>
      </c>
      <c r="M905" s="21">
        <f ca="1">LEFT(Music_Data[[#This Row],[Duration_minutes]],3)/60</f>
        <v>4.45</v>
      </c>
      <c r="N905" s="17">
        <v>0.39100000000000001</v>
      </c>
      <c r="O905" s="17" t="str">
        <f ca="1">PROPER(Music_Data[[#This Row],[Playlist_subgenre2]])</f>
        <v>Reggaeton</v>
      </c>
    </row>
    <row r="906" spans="1:15">
      <c r="A906" s="17">
        <v>0.746</v>
      </c>
      <c r="B906" s="21">
        <v>175</v>
      </c>
      <c r="C906" s="16">
        <v>0.746</v>
      </c>
      <c r="D906" s="16" t="str">
        <f ca="1">PROPER(Music_Data[[#This Row],[Playlist_genre2]])</f>
        <v>Latin</v>
      </c>
      <c r="E906" s="17">
        <v>0.73299999999999998</v>
      </c>
      <c r="F906" t="s">
        <v>10947</v>
      </c>
      <c r="G906">
        <v>69</v>
      </c>
      <c r="H906" t="s">
        <v>10614</v>
      </c>
      <c r="I906" s="5">
        <v>0.25</v>
      </c>
      <c r="J906" s="22">
        <v>41546</v>
      </c>
      <c r="K906">
        <v>0</v>
      </c>
      <c r="L906">
        <v>5</v>
      </c>
      <c r="M906" s="21">
        <f ca="1">LEFT(Music_Data[[#This Row],[Duration_minutes]],3)/60</f>
        <v>4.05</v>
      </c>
      <c r="N906" s="17">
        <v>0.152</v>
      </c>
      <c r="O906" s="17" t="str">
        <f ca="1">PROPER(Music_Data[[#This Row],[Playlist_subgenre2]])</f>
        <v>Reggaeton</v>
      </c>
    </row>
    <row r="907" spans="1:15">
      <c r="A907" s="17">
        <v>0.81200000000000006</v>
      </c>
      <c r="B907" s="21">
        <v>878</v>
      </c>
      <c r="C907" s="16">
        <v>0.68300000000000005</v>
      </c>
      <c r="D907" s="16" t="str">
        <f ca="1">PROPER(Music_Data[[#This Row],[Playlist_genre2]])</f>
        <v>Latin</v>
      </c>
      <c r="E907" s="17">
        <v>0.72399999999999998</v>
      </c>
      <c r="F907" t="s">
        <v>10969</v>
      </c>
      <c r="G907">
        <v>69</v>
      </c>
      <c r="H907" t="s">
        <v>10614</v>
      </c>
      <c r="I907" t="s">
        <v>10975</v>
      </c>
      <c r="J907" s="22">
        <v>43245</v>
      </c>
      <c r="K907">
        <v>1</v>
      </c>
      <c r="L907">
        <v>7</v>
      </c>
      <c r="M907" s="21">
        <f ca="1">LEFT(Music_Data[[#This Row],[Duration_minutes]],3)/60</f>
        <v>4.166666666666667</v>
      </c>
      <c r="N907" s="17">
        <v>0.161</v>
      </c>
      <c r="O907" s="17" t="str">
        <f ca="1">PROPER(Music_Data[[#This Row],[Playlist_subgenre2]])</f>
        <v>Reggaeton</v>
      </c>
    </row>
    <row r="908" spans="1:15">
      <c r="A908" s="17">
        <v>0.67100000000000004</v>
      </c>
      <c r="B908" s="21">
        <v>169</v>
      </c>
      <c r="C908" s="16">
        <v>0.71399999999999997</v>
      </c>
      <c r="D908" s="16" t="str">
        <f ca="1">PROPER(Music_Data[[#This Row],[Playlist_genre2]])</f>
        <v>Latin</v>
      </c>
      <c r="E908" s="17">
        <v>0.64100000000000001</v>
      </c>
      <c r="F908" t="s">
        <v>11233</v>
      </c>
      <c r="G908">
        <v>69</v>
      </c>
      <c r="H908" t="s">
        <v>10614</v>
      </c>
      <c r="I908" t="s">
        <v>11239</v>
      </c>
      <c r="J908" s="22">
        <v>43742</v>
      </c>
      <c r="K908">
        <v>1</v>
      </c>
      <c r="L908">
        <v>5</v>
      </c>
      <c r="M908" s="21">
        <f ca="1">LEFT(Music_Data[[#This Row],[Duration_minutes]],3)/60</f>
        <v>3.8166666666666669</v>
      </c>
      <c r="N908" s="17">
        <v>0.29199999999999998</v>
      </c>
      <c r="O908" s="17" t="str">
        <f ca="1">PROPER(Music_Data[[#This Row],[Playlist_subgenre2]])</f>
        <v>Reggaeton</v>
      </c>
    </row>
    <row r="909" spans="1:15">
      <c r="A909" s="17">
        <v>0.745</v>
      </c>
      <c r="B909" s="21">
        <v>949</v>
      </c>
      <c r="C909" s="16">
        <v>0.79300000000000004</v>
      </c>
      <c r="D909" s="16" t="str">
        <f ca="1">PROPER(Music_Data[[#This Row],[Playlist_genre2]])</f>
        <v>Latin</v>
      </c>
      <c r="E909" s="17">
        <v>0.71599999999999997</v>
      </c>
      <c r="F909" t="s">
        <v>11024</v>
      </c>
      <c r="G909">
        <v>69</v>
      </c>
      <c r="H909" t="s">
        <v>10614</v>
      </c>
      <c r="I909" t="s">
        <v>11028</v>
      </c>
      <c r="J909" s="22">
        <v>44399</v>
      </c>
      <c r="K909">
        <v>1</v>
      </c>
      <c r="L909">
        <v>7</v>
      </c>
      <c r="M909" s="21">
        <f ca="1">LEFT(Music_Data[[#This Row],[Duration_minutes]],3)/60</f>
        <v>3.9166666666666665</v>
      </c>
      <c r="N909" s="17">
        <v>0.182</v>
      </c>
      <c r="O909" s="17" t="str">
        <f ca="1">PROPER(Music_Data[[#This Row],[Playlist_subgenre2]])</f>
        <v>Reggaeton</v>
      </c>
    </row>
    <row r="910" spans="1:15">
      <c r="A910" s="17">
        <v>0.76600000000000001</v>
      </c>
      <c r="B910" s="21">
        <v>960</v>
      </c>
      <c r="C910" s="16">
        <v>0.88</v>
      </c>
      <c r="D910" s="16" t="str">
        <f ca="1">PROPER(Music_Data[[#This Row],[Playlist_genre2]])</f>
        <v>Latin</v>
      </c>
      <c r="E910" s="17">
        <v>0.59399999999999997</v>
      </c>
      <c r="F910" t="s">
        <v>11225</v>
      </c>
      <c r="G910">
        <v>69</v>
      </c>
      <c r="H910" t="s">
        <v>10614</v>
      </c>
      <c r="I910" t="s">
        <v>11228</v>
      </c>
      <c r="J910" s="22">
        <v>45400</v>
      </c>
      <c r="K910">
        <v>0</v>
      </c>
      <c r="L910">
        <v>1</v>
      </c>
      <c r="M910" s="21">
        <f ca="1">LEFT(Music_Data[[#This Row],[Duration_minutes]],3)/60</f>
        <v>3.5</v>
      </c>
      <c r="N910" s="17">
        <v>8.8099999999999998E-2</v>
      </c>
      <c r="O910" s="17" t="str">
        <f ca="1">PROPER(Music_Data[[#This Row],[Playlist_subgenre2]])</f>
        <v>Reggaeton</v>
      </c>
    </row>
    <row r="911" spans="1:15">
      <c r="A911" s="17">
        <v>0.76100000000000001</v>
      </c>
      <c r="B911" s="21">
        <v>168</v>
      </c>
      <c r="C911" s="16">
        <v>0.71399999999999997</v>
      </c>
      <c r="D911" s="16" t="str">
        <f ca="1">PROPER(Music_Data[[#This Row],[Playlist_genre2]])</f>
        <v>Latin</v>
      </c>
      <c r="E911" s="17">
        <v>0.90600000000000003</v>
      </c>
      <c r="F911" t="s">
        <v>10984</v>
      </c>
      <c r="G911">
        <v>69</v>
      </c>
      <c r="H911" t="s">
        <v>10614</v>
      </c>
      <c r="I911" t="s">
        <v>10990</v>
      </c>
      <c r="J911" s="22">
        <v>44078</v>
      </c>
      <c r="K911">
        <v>0</v>
      </c>
      <c r="L911">
        <v>5</v>
      </c>
      <c r="M911" s="21">
        <f ca="1">LEFT(Music_Data[[#This Row],[Duration_minutes]],3)/60</f>
        <v>3.8333333333333335</v>
      </c>
      <c r="N911" s="17">
        <v>0.13900000000000001</v>
      </c>
      <c r="O911" s="17" t="str">
        <f ca="1">PROPER(Music_Data[[#This Row],[Playlist_subgenre2]])</f>
        <v>Reggaeton</v>
      </c>
    </row>
    <row r="912" spans="1:15">
      <c r="A912" s="17">
        <v>0.78100000000000003</v>
      </c>
      <c r="B912" s="21">
        <v>107</v>
      </c>
      <c r="C912" s="16">
        <v>0.81100000000000005</v>
      </c>
      <c r="D912" s="16" t="str">
        <f ca="1">PROPER(Music_Data[[#This Row],[Playlist_genre2]])</f>
        <v>Latin</v>
      </c>
      <c r="E912" s="17">
        <v>0.82399999999999995</v>
      </c>
      <c r="F912" t="s">
        <v>5483</v>
      </c>
      <c r="G912">
        <v>69</v>
      </c>
      <c r="H912" t="s">
        <v>13090</v>
      </c>
      <c r="I912" t="s">
        <v>13095</v>
      </c>
      <c r="J912" s="22">
        <v>44602</v>
      </c>
      <c r="K912">
        <v>1</v>
      </c>
      <c r="L912">
        <v>11</v>
      </c>
      <c r="M912" s="21">
        <f ca="1">LEFT(Music_Data[[#This Row],[Duration_minutes]],3)/60</f>
        <v>3.65</v>
      </c>
      <c r="N912" s="17">
        <v>0.376</v>
      </c>
      <c r="O912" s="17" t="str">
        <f ca="1">PROPER(Music_Data[[#This Row],[Playlist_subgenre2]])</f>
        <v>Afro-Latin</v>
      </c>
    </row>
    <row r="913" spans="1:15">
      <c r="A913" s="17">
        <v>0.68899999999999995</v>
      </c>
      <c r="B913" s="21">
        <v>979</v>
      </c>
      <c r="C913" s="16">
        <v>0.88200000000000001</v>
      </c>
      <c r="D913" s="16" t="str">
        <f ca="1">PROPER(Music_Data[[#This Row],[Playlist_genre2]])</f>
        <v>Latin</v>
      </c>
      <c r="E913" s="17">
        <v>0.746</v>
      </c>
      <c r="F913" t="s">
        <v>13220</v>
      </c>
      <c r="G913">
        <v>69</v>
      </c>
      <c r="H913" t="s">
        <v>10614</v>
      </c>
      <c r="I913" t="s">
        <v>10901</v>
      </c>
      <c r="J913" s="22">
        <v>43552</v>
      </c>
      <c r="K913">
        <v>1</v>
      </c>
      <c r="L913">
        <v>6</v>
      </c>
      <c r="M913" s="21">
        <f ca="1">LEFT(Music_Data[[#This Row],[Duration_minutes]],3)/60</f>
        <v>2.6833333333333331</v>
      </c>
      <c r="N913" s="17">
        <v>0.39</v>
      </c>
      <c r="O913" s="17" t="str">
        <f ca="1">PROPER(Music_Data[[#This Row],[Playlist_subgenre2]])</f>
        <v>Reggaeton</v>
      </c>
    </row>
    <row r="914" spans="1:15">
      <c r="A914" s="17">
        <v>0.75900000000000001</v>
      </c>
      <c r="B914" s="21">
        <v>919</v>
      </c>
      <c r="C914" s="16">
        <v>0.78</v>
      </c>
      <c r="D914" s="16" t="str">
        <f ca="1">PROPER(Music_Data[[#This Row],[Playlist_genre2]])</f>
        <v>Latin</v>
      </c>
      <c r="E914" s="17">
        <v>0.57899999999999996</v>
      </c>
      <c r="F914" t="s">
        <v>13219</v>
      </c>
      <c r="G914">
        <v>69</v>
      </c>
      <c r="H914" t="s">
        <v>10614</v>
      </c>
      <c r="I914" t="s">
        <v>10798</v>
      </c>
      <c r="J914" s="22">
        <v>43692</v>
      </c>
      <c r="K914">
        <v>1</v>
      </c>
      <c r="L914">
        <v>1</v>
      </c>
      <c r="M914" s="21">
        <f ca="1">LEFT(Music_Data[[#This Row],[Duration_minutes]],3)/60</f>
        <v>3.35</v>
      </c>
      <c r="N914" s="17">
        <v>0.46200000000000002</v>
      </c>
      <c r="O914" s="17" t="str">
        <f ca="1">PROPER(Music_Data[[#This Row],[Playlist_subgenre2]])</f>
        <v>Reggaeton</v>
      </c>
    </row>
    <row r="915" spans="1:15">
      <c r="A915" s="17">
        <v>0.78700000000000003</v>
      </c>
      <c r="B915" s="21">
        <v>165</v>
      </c>
      <c r="C915" s="16">
        <v>0.80900000000000005</v>
      </c>
      <c r="D915" s="16" t="str">
        <f ca="1">PROPER(Music_Data[[#This Row],[Playlist_genre2]])</f>
        <v>Latin</v>
      </c>
      <c r="E915" s="17">
        <v>0.9</v>
      </c>
      <c r="F915" t="s">
        <v>13170</v>
      </c>
      <c r="G915">
        <v>68</v>
      </c>
      <c r="H915" t="s">
        <v>3030</v>
      </c>
      <c r="I915" t="s">
        <v>3353</v>
      </c>
      <c r="J915" s="22">
        <v>45596</v>
      </c>
      <c r="K915">
        <v>1</v>
      </c>
      <c r="L915">
        <v>8</v>
      </c>
      <c r="M915" s="21">
        <f ca="1">LEFT(Music_Data[[#This Row],[Duration_minutes]],3)/60</f>
        <v>2.4666666666666668</v>
      </c>
      <c r="N915" s="17">
        <v>0.126</v>
      </c>
      <c r="O915" s="17" t="str">
        <f ca="1">PROPER(Music_Data[[#This Row],[Playlist_subgenre2]])</f>
        <v>Modern</v>
      </c>
    </row>
    <row r="916" spans="1:15">
      <c r="A916" s="17">
        <v>0.503</v>
      </c>
      <c r="B916" s="21">
        <v>999</v>
      </c>
      <c r="C916" s="16">
        <v>0.79200000000000004</v>
      </c>
      <c r="D916" s="16" t="str">
        <f ca="1">PROPER(Music_Data[[#This Row],[Playlist_genre2]])</f>
        <v>Latin</v>
      </c>
      <c r="E916" s="17">
        <v>0.38100000000000001</v>
      </c>
      <c r="F916" t="s">
        <v>11787</v>
      </c>
      <c r="G916">
        <v>68</v>
      </c>
      <c r="H916" t="s">
        <v>13090</v>
      </c>
      <c r="I916" t="s">
        <v>11790</v>
      </c>
      <c r="J916" s="22">
        <v>44820</v>
      </c>
      <c r="K916">
        <v>1</v>
      </c>
      <c r="L916">
        <v>1</v>
      </c>
      <c r="M916" s="21">
        <f ca="1">LEFT(Music_Data[[#This Row],[Duration_minutes]],3)/60</f>
        <v>3.0833333333333335</v>
      </c>
      <c r="N916" s="17">
        <v>3.6900000000000002E-2</v>
      </c>
      <c r="O916" s="17" t="str">
        <f ca="1">PROPER(Music_Data[[#This Row],[Playlist_subgenre2]])</f>
        <v>Afro-Latin</v>
      </c>
    </row>
    <row r="917" spans="1:15">
      <c r="A917" s="17">
        <v>0.80100000000000005</v>
      </c>
      <c r="B917" s="21">
        <v>939</v>
      </c>
      <c r="C917" s="16">
        <v>0.76200000000000001</v>
      </c>
      <c r="D917" s="16" t="str">
        <f ca="1">PROPER(Music_Data[[#This Row],[Playlist_genre2]])</f>
        <v>Latin</v>
      </c>
      <c r="E917" s="17">
        <v>0.81</v>
      </c>
      <c r="F917" t="s">
        <v>2907</v>
      </c>
      <c r="G917">
        <v>68</v>
      </c>
      <c r="H917" t="s">
        <v>10614</v>
      </c>
      <c r="I917" t="s">
        <v>10852</v>
      </c>
      <c r="J917" s="22">
        <v>43890</v>
      </c>
      <c r="K917">
        <v>0</v>
      </c>
      <c r="L917">
        <v>1</v>
      </c>
      <c r="M917" s="21">
        <f ca="1">LEFT(Music_Data[[#This Row],[Duration_minutes]],3)/60</f>
        <v>2.2666666666666666</v>
      </c>
      <c r="N917" s="17">
        <v>0.2</v>
      </c>
      <c r="O917" s="17" t="str">
        <f ca="1">PROPER(Music_Data[[#This Row],[Playlist_subgenre2]])</f>
        <v>Reggaeton</v>
      </c>
    </row>
    <row r="918" spans="1:15">
      <c r="A918" s="17">
        <v>0.89600000000000002</v>
      </c>
      <c r="B918" s="21">
        <v>906</v>
      </c>
      <c r="C918" s="16">
        <v>0.66200000000000003</v>
      </c>
      <c r="D918" s="16" t="str">
        <f ca="1">PROPER(Music_Data[[#This Row],[Playlist_genre2]])</f>
        <v>Latin</v>
      </c>
      <c r="E918" s="17">
        <v>0.79</v>
      </c>
      <c r="F918" t="s">
        <v>13172</v>
      </c>
      <c r="G918">
        <v>68</v>
      </c>
      <c r="H918" t="s">
        <v>3394</v>
      </c>
      <c r="I918" t="s">
        <v>3397</v>
      </c>
      <c r="J918" s="22">
        <v>38888</v>
      </c>
      <c r="K918">
        <v>0</v>
      </c>
      <c r="L918">
        <v>5</v>
      </c>
      <c r="M918" s="21">
        <f ca="1">LEFT(Music_Data[[#This Row],[Duration_minutes]],3)/60</f>
        <v>5.083333333333333</v>
      </c>
      <c r="N918" s="17">
        <v>0.318</v>
      </c>
      <c r="O918" s="17" t="str">
        <f ca="1">PROPER(Music_Data[[#This Row],[Playlist_subgenre2]])</f>
        <v>Hip-Hop</v>
      </c>
    </row>
    <row r="919" spans="1:15">
      <c r="A919" s="17">
        <v>0.48499999999999999</v>
      </c>
      <c r="B919" s="21">
        <v>100</v>
      </c>
      <c r="C919" s="16">
        <v>0.84299999999999997</v>
      </c>
      <c r="D919" s="16" t="str">
        <f ca="1">PROPER(Music_Data[[#This Row],[Playlist_genre2]])</f>
        <v>Latin</v>
      </c>
      <c r="E919" s="17">
        <v>0.68899999999999995</v>
      </c>
      <c r="F919" t="s">
        <v>13099</v>
      </c>
      <c r="G919">
        <v>68</v>
      </c>
      <c r="H919" t="s">
        <v>13090</v>
      </c>
      <c r="I919" t="s">
        <v>13105</v>
      </c>
      <c r="J919" s="22">
        <v>44442</v>
      </c>
      <c r="K919">
        <v>0</v>
      </c>
      <c r="L919">
        <v>10</v>
      </c>
      <c r="M919" s="21">
        <f ca="1">LEFT(Music_Data[[#This Row],[Duration_minutes]],3)/60</f>
        <v>3.2</v>
      </c>
      <c r="N919" s="17">
        <v>0.18099999999999999</v>
      </c>
      <c r="O919" s="17" t="str">
        <f ca="1">PROPER(Music_Data[[#This Row],[Playlist_subgenre2]])</f>
        <v>Afro-Latin</v>
      </c>
    </row>
    <row r="920" spans="1:15">
      <c r="A920" s="17">
        <v>0.78600000000000003</v>
      </c>
      <c r="B920" s="21">
        <v>111</v>
      </c>
      <c r="C920" s="16">
        <v>0.78100000000000003</v>
      </c>
      <c r="D920" s="16" t="str">
        <f ca="1">PROPER(Music_Data[[#This Row],[Playlist_genre2]])</f>
        <v>Latin</v>
      </c>
      <c r="E920" s="17">
        <v>0.75900000000000001</v>
      </c>
      <c r="F920" t="s">
        <v>6645</v>
      </c>
      <c r="G920">
        <v>68</v>
      </c>
      <c r="H920" t="s">
        <v>6628</v>
      </c>
      <c r="I920" t="s">
        <v>6649</v>
      </c>
      <c r="J920" s="22">
        <v>45191</v>
      </c>
      <c r="K920">
        <v>0</v>
      </c>
      <c r="L920">
        <v>6</v>
      </c>
      <c r="M920" s="21">
        <f ca="1">LEFT(Music_Data[[#This Row],[Duration_minutes]],3)/60</f>
        <v>3.8</v>
      </c>
      <c r="N920" s="17">
        <v>0.115</v>
      </c>
      <c r="O920" s="17" t="str">
        <f ca="1">PROPER(Music_Data[[#This Row],[Playlist_subgenre2]])</f>
        <v>Chill</v>
      </c>
    </row>
    <row r="921" spans="1:15">
      <c r="A921" s="17">
        <v>0.66200000000000003</v>
      </c>
      <c r="B921" s="21">
        <v>939</v>
      </c>
      <c r="C921" s="16">
        <v>0.89200000000000002</v>
      </c>
      <c r="D921" s="16" t="str">
        <f ca="1">PROPER(Music_Data[[#This Row],[Playlist_genre2]])</f>
        <v>Latin</v>
      </c>
      <c r="E921" s="17">
        <v>0.60699999999999998</v>
      </c>
      <c r="F921" t="s">
        <v>13179</v>
      </c>
      <c r="G921">
        <v>68</v>
      </c>
      <c r="H921" t="s">
        <v>6628</v>
      </c>
      <c r="I921" t="s">
        <v>6813</v>
      </c>
      <c r="J921" s="22">
        <v>44917</v>
      </c>
      <c r="K921">
        <v>1</v>
      </c>
      <c r="L921">
        <v>8</v>
      </c>
      <c r="M921" s="21">
        <f ca="1">LEFT(Music_Data[[#This Row],[Duration_minutes]],3)/60</f>
        <v>3.7833333333333332</v>
      </c>
      <c r="N921" s="17">
        <v>0.16900000000000001</v>
      </c>
      <c r="O921" s="17" t="str">
        <f ca="1">PROPER(Music_Data[[#This Row],[Playlist_subgenre2]])</f>
        <v>Chill</v>
      </c>
    </row>
    <row r="922" spans="1:15">
      <c r="A922" s="17">
        <v>0.66200000000000003</v>
      </c>
      <c r="B922" s="21">
        <v>939</v>
      </c>
      <c r="C922" s="16">
        <v>0.89200000000000002</v>
      </c>
      <c r="D922" s="16" t="str">
        <f ca="1">PROPER(Music_Data[[#This Row],[Playlist_genre2]])</f>
        <v>Latin</v>
      </c>
      <c r="E922" s="17">
        <v>0.60699999999999998</v>
      </c>
      <c r="F922" t="s">
        <v>13179</v>
      </c>
      <c r="G922">
        <v>68</v>
      </c>
      <c r="H922" t="s">
        <v>10614</v>
      </c>
      <c r="I922" t="s">
        <v>6813</v>
      </c>
      <c r="J922" s="22">
        <v>44917</v>
      </c>
      <c r="K922">
        <v>1</v>
      </c>
      <c r="L922">
        <v>8</v>
      </c>
      <c r="M922" s="21">
        <f ca="1">LEFT(Music_Data[[#This Row],[Duration_minutes]],3)/60</f>
        <v>3.7833333333333332</v>
      </c>
      <c r="N922" s="17">
        <v>0.16900000000000001</v>
      </c>
      <c r="O922" s="17" t="str">
        <f ca="1">PROPER(Music_Data[[#This Row],[Playlist_subgenre2]])</f>
        <v>Reggaeton</v>
      </c>
    </row>
    <row r="923" spans="1:15">
      <c r="A923" s="17">
        <v>0.85799999999999998</v>
      </c>
      <c r="B923" s="21">
        <v>925</v>
      </c>
      <c r="C923" s="16">
        <v>0.627</v>
      </c>
      <c r="D923" s="16" t="str">
        <f ca="1">PROPER(Music_Data[[#This Row],[Playlist_genre2]])</f>
        <v>Latin</v>
      </c>
      <c r="E923" s="17">
        <v>0.34200000000000003</v>
      </c>
      <c r="F923" t="s">
        <v>11103</v>
      </c>
      <c r="G923">
        <v>68</v>
      </c>
      <c r="H923" t="s">
        <v>10614</v>
      </c>
      <c r="I923" t="s">
        <v>11106</v>
      </c>
      <c r="J923" s="22">
        <v>44799</v>
      </c>
      <c r="K923">
        <v>0</v>
      </c>
      <c r="L923">
        <v>11</v>
      </c>
      <c r="M923" s="21">
        <f ca="1">LEFT(Music_Data[[#This Row],[Duration_minutes]],3)/60</f>
        <v>3.4833333333333334</v>
      </c>
      <c r="N923" s="17">
        <v>0.26300000000000001</v>
      </c>
      <c r="O923" s="17" t="str">
        <f ca="1">PROPER(Music_Data[[#This Row],[Playlist_subgenre2]])</f>
        <v>Reggaeton</v>
      </c>
    </row>
    <row r="924" spans="1:15">
      <c r="A924" s="17">
        <v>0.48299999999999998</v>
      </c>
      <c r="B924" s="21">
        <v>909</v>
      </c>
      <c r="C924" s="16">
        <v>0.73799999999999999</v>
      </c>
      <c r="D924" s="16" t="str">
        <f ca="1">PROPER(Music_Data[[#This Row],[Playlist_genre2]])</f>
        <v>Latin</v>
      </c>
      <c r="E924" s="17">
        <v>0.77400000000000002</v>
      </c>
      <c r="F924" t="s">
        <v>13216</v>
      </c>
      <c r="G924">
        <v>68</v>
      </c>
      <c r="H924" t="s">
        <v>10594</v>
      </c>
      <c r="I924" t="s">
        <v>10605</v>
      </c>
      <c r="J924" s="22">
        <v>36161</v>
      </c>
      <c r="K924">
        <v>1</v>
      </c>
      <c r="L924">
        <v>0</v>
      </c>
      <c r="M924" s="21">
        <f ca="1">LEFT(Music_Data[[#This Row],[Duration_minutes]],3)/60</f>
        <v>3.0166666666666666</v>
      </c>
      <c r="N924" s="17">
        <v>0.46700000000000003</v>
      </c>
      <c r="O924" s="17" t="str">
        <f ca="1">PROPER(Music_Data[[#This Row],[Playlist_subgenre2]])</f>
        <v>Cumbia</v>
      </c>
    </row>
    <row r="925" spans="1:15">
      <c r="A925" s="17">
        <v>0.80400000000000005</v>
      </c>
      <c r="B925" s="21">
        <v>110</v>
      </c>
      <c r="C925" s="16">
        <v>0.82</v>
      </c>
      <c r="D925" s="16" t="str">
        <f ca="1">PROPER(Music_Data[[#This Row],[Playlist_genre2]])</f>
        <v>Latin</v>
      </c>
      <c r="E925" s="17">
        <v>0.84399999999999997</v>
      </c>
      <c r="F925" t="s">
        <v>6663</v>
      </c>
      <c r="G925">
        <v>68</v>
      </c>
      <c r="H925" t="s">
        <v>6628</v>
      </c>
      <c r="I925" t="s">
        <v>6670</v>
      </c>
      <c r="J925" s="22">
        <v>44273</v>
      </c>
      <c r="K925">
        <v>1</v>
      </c>
      <c r="L925">
        <v>9</v>
      </c>
      <c r="M925" s="21">
        <f ca="1">LEFT(Music_Data[[#This Row],[Duration_minutes]],3)/60</f>
        <v>3.5166666666666666</v>
      </c>
      <c r="N925" s="17">
        <v>0.17499999999999999</v>
      </c>
      <c r="O925" s="17" t="str">
        <f ca="1">PROPER(Music_Data[[#This Row],[Playlist_subgenre2]])</f>
        <v>Chill</v>
      </c>
    </row>
    <row r="926" spans="1:15">
      <c r="A926" s="17">
        <v>0.69399999999999995</v>
      </c>
      <c r="B926" s="21">
        <v>900</v>
      </c>
      <c r="C926" s="16">
        <v>0.86899999999999999</v>
      </c>
      <c r="D926" s="16" t="str">
        <f ca="1">PROPER(Music_Data[[#This Row],[Playlist_genre2]])</f>
        <v>Latin</v>
      </c>
      <c r="E926" s="17">
        <v>0.51100000000000001</v>
      </c>
      <c r="F926" t="s">
        <v>11061</v>
      </c>
      <c r="G926">
        <v>68</v>
      </c>
      <c r="H926" t="s">
        <v>10614</v>
      </c>
      <c r="I926" t="s">
        <v>11064</v>
      </c>
      <c r="J926" s="22">
        <v>44541</v>
      </c>
      <c r="K926">
        <v>0</v>
      </c>
      <c r="L926">
        <v>1</v>
      </c>
      <c r="M926" s="21">
        <f ca="1">LEFT(Music_Data[[#This Row],[Duration_minutes]],3)/60</f>
        <v>3.7333333333333334</v>
      </c>
      <c r="N926" s="17">
        <v>0.35599999999999998</v>
      </c>
      <c r="O926" s="17" t="str">
        <f ca="1">PROPER(Music_Data[[#This Row],[Playlist_subgenre2]])</f>
        <v>Reggaeton</v>
      </c>
    </row>
    <row r="927" spans="1:15">
      <c r="A927" s="17">
        <v>0.76900000000000002</v>
      </c>
      <c r="B927" s="21">
        <v>167</v>
      </c>
      <c r="C927" s="16">
        <v>0.77100000000000002</v>
      </c>
      <c r="D927" s="16" t="str">
        <f ca="1">PROPER(Music_Data[[#This Row],[Playlist_genre2]])</f>
        <v>Latin</v>
      </c>
      <c r="E927" s="17">
        <v>0.93100000000000005</v>
      </c>
      <c r="F927" t="s">
        <v>11185</v>
      </c>
      <c r="G927">
        <v>68</v>
      </c>
      <c r="H927" t="s">
        <v>10614</v>
      </c>
      <c r="I927" t="s">
        <v>11191</v>
      </c>
      <c r="J927" s="22">
        <v>43812</v>
      </c>
      <c r="K927">
        <v>0</v>
      </c>
      <c r="L927">
        <v>0</v>
      </c>
      <c r="M927" s="21">
        <f ca="1">LEFT(Music_Data[[#This Row],[Duration_minutes]],3)/60</f>
        <v>4.8166666666666664</v>
      </c>
      <c r="N927" s="17">
        <v>0.18</v>
      </c>
      <c r="O927" s="17" t="str">
        <f ca="1">PROPER(Music_Data[[#This Row],[Playlist_subgenre2]])</f>
        <v>Reggaeton</v>
      </c>
    </row>
    <row r="928" spans="1:15">
      <c r="A928" s="17">
        <v>0.501</v>
      </c>
      <c r="B928" s="21">
        <v>103</v>
      </c>
      <c r="C928" s="16">
        <v>0.63700000000000001</v>
      </c>
      <c r="D928" s="16" t="str">
        <f ca="1">PROPER(Music_Data[[#This Row],[Playlist_genre2]])</f>
        <v>Latin</v>
      </c>
      <c r="E928" s="17">
        <v>0.43099999999999999</v>
      </c>
      <c r="F928" t="s">
        <v>11814</v>
      </c>
      <c r="G928">
        <v>68</v>
      </c>
      <c r="H928" t="s">
        <v>13090</v>
      </c>
      <c r="I928" t="s">
        <v>11820</v>
      </c>
      <c r="J928" s="22">
        <v>43812</v>
      </c>
      <c r="K928">
        <v>0</v>
      </c>
      <c r="L928">
        <v>0</v>
      </c>
      <c r="M928" s="21">
        <f ca="1">LEFT(Music_Data[[#This Row],[Duration_minutes]],3)/60</f>
        <v>3.0833333333333335</v>
      </c>
      <c r="N928" s="17">
        <v>0.22900000000000001</v>
      </c>
      <c r="O928" s="17" t="str">
        <f ca="1">PROPER(Music_Data[[#This Row],[Playlist_subgenre2]])</f>
        <v>Afro-Latin</v>
      </c>
    </row>
    <row r="929" spans="1:15">
      <c r="A929" s="17">
        <v>0.85599999999999998</v>
      </c>
      <c r="B929" s="21">
        <v>123</v>
      </c>
      <c r="C929" s="16">
        <v>0.748</v>
      </c>
      <c r="D929" s="16" t="str">
        <f ca="1">PROPER(Music_Data[[#This Row],[Playlist_genre2]])</f>
        <v>Latin</v>
      </c>
      <c r="E929" s="17">
        <v>0.92700000000000005</v>
      </c>
      <c r="F929" t="s">
        <v>6692</v>
      </c>
      <c r="G929">
        <v>68</v>
      </c>
      <c r="H929" t="s">
        <v>6628</v>
      </c>
      <c r="I929" t="s">
        <v>6695</v>
      </c>
      <c r="J929" s="22">
        <v>44491</v>
      </c>
      <c r="K929">
        <v>0</v>
      </c>
      <c r="L929">
        <v>11</v>
      </c>
      <c r="M929" s="21">
        <f ca="1">LEFT(Music_Data[[#This Row],[Duration_minutes]],3)/60</f>
        <v>3.15</v>
      </c>
      <c r="N929" s="17">
        <v>8.2400000000000001E-2</v>
      </c>
      <c r="O929" s="17" t="str">
        <f ca="1">PROPER(Music_Data[[#This Row],[Playlist_subgenre2]])</f>
        <v>Chill</v>
      </c>
    </row>
    <row r="930" spans="1:15">
      <c r="A930" s="17">
        <v>0.23499999999999999</v>
      </c>
      <c r="B930" s="21">
        <v>118</v>
      </c>
      <c r="C930" s="16">
        <v>0.498</v>
      </c>
      <c r="D930" s="16" t="str">
        <f ca="1">PROPER(Music_Data[[#This Row],[Playlist_genre2]])</f>
        <v>Lofi</v>
      </c>
      <c r="E930" s="17">
        <v>8.9499999999999996E-2</v>
      </c>
      <c r="F930" t="s">
        <v>13185</v>
      </c>
      <c r="G930">
        <v>73</v>
      </c>
      <c r="H930" t="s">
        <v>10241</v>
      </c>
      <c r="I930" t="s">
        <v>10250</v>
      </c>
      <c r="J930" s="22">
        <v>43381</v>
      </c>
      <c r="K930">
        <v>0</v>
      </c>
      <c r="L930">
        <v>1</v>
      </c>
      <c r="M930" s="21">
        <f ca="1">LEFT(Music_Data[[#This Row],[Duration_minutes]],3)/60</f>
        <v>2.9833333333333334</v>
      </c>
      <c r="N930" s="17">
        <v>0.72</v>
      </c>
      <c r="O930" s="17" t="str">
        <f ca="1">PROPER(Music_Data[[#This Row],[Playlist_subgenre2]])</f>
        <v>Hip-Hop</v>
      </c>
    </row>
    <row r="931" spans="1:15">
      <c r="A931" s="17">
        <v>0.128</v>
      </c>
      <c r="B931" s="21">
        <v>109</v>
      </c>
      <c r="C931" s="16">
        <v>0.52200000000000002</v>
      </c>
      <c r="D931" s="16" t="str">
        <f ca="1">PROPER(Music_Data[[#This Row],[Playlist_genre2]])</f>
        <v>Lofi</v>
      </c>
      <c r="E931" s="17">
        <v>0.124</v>
      </c>
      <c r="F931" t="s">
        <v>10237</v>
      </c>
      <c r="G931">
        <v>70</v>
      </c>
      <c r="H931" t="s">
        <v>10241</v>
      </c>
      <c r="I931" t="s">
        <v>10240</v>
      </c>
      <c r="J931" s="22">
        <v>43343</v>
      </c>
      <c r="K931">
        <v>1</v>
      </c>
      <c r="L931">
        <v>4</v>
      </c>
      <c r="M931" s="21">
        <f ca="1">LEFT(Music_Data[[#This Row],[Duration_minutes]],3)/60</f>
        <v>3.1166666666666667</v>
      </c>
      <c r="N931" s="17">
        <v>0.89400000000000002</v>
      </c>
      <c r="O931" s="17" t="str">
        <f ca="1">PROPER(Music_Data[[#This Row],[Playlist_subgenre2]])</f>
        <v>Hip-Hop</v>
      </c>
    </row>
    <row r="932" spans="1:15">
      <c r="A932" s="17">
        <v>0.93400000000000005</v>
      </c>
      <c r="B932" s="21">
        <v>127</v>
      </c>
      <c r="C932" s="16">
        <v>0.41699999999999998</v>
      </c>
      <c r="D932" s="16" t="str">
        <f ca="1">PROPER(Music_Data[[#This Row],[Playlist_genre2]])</f>
        <v>Metal</v>
      </c>
      <c r="E932" s="17">
        <v>0.28699999999999998</v>
      </c>
      <c r="F932" t="s">
        <v>5663</v>
      </c>
      <c r="G932">
        <v>83</v>
      </c>
      <c r="H932" t="s">
        <v>5635</v>
      </c>
      <c r="I932" t="s">
        <v>5669</v>
      </c>
      <c r="J932" s="22">
        <v>37138</v>
      </c>
      <c r="K932">
        <v>0</v>
      </c>
      <c r="L932">
        <v>7</v>
      </c>
      <c r="M932" s="21">
        <f ca="1">LEFT(Music_Data[[#This Row],[Duration_minutes]],3)/60</f>
        <v>3.5</v>
      </c>
      <c r="N932" s="17">
        <v>2.7799999999999998E-4</v>
      </c>
      <c r="O932" s="17" t="str">
        <f ca="1">PROPER(Music_Data[[#This Row],[Playlist_subgenre2]])</f>
        <v>Classic</v>
      </c>
    </row>
    <row r="933" spans="1:15">
      <c r="A933" s="17">
        <v>0.93400000000000005</v>
      </c>
      <c r="B933" s="21">
        <v>127</v>
      </c>
      <c r="C933" s="16">
        <v>0.41699999999999998</v>
      </c>
      <c r="D933" s="16" t="str">
        <f ca="1">PROPER(Music_Data[[#This Row],[Playlist_genre2]])</f>
        <v>Metal</v>
      </c>
      <c r="E933" s="17">
        <v>0.28699999999999998</v>
      </c>
      <c r="F933" t="s">
        <v>5663</v>
      </c>
      <c r="G933">
        <v>83</v>
      </c>
      <c r="H933" t="s">
        <v>9264</v>
      </c>
      <c r="I933" t="s">
        <v>5669</v>
      </c>
      <c r="J933" s="22">
        <v>37138</v>
      </c>
      <c r="K933">
        <v>0</v>
      </c>
      <c r="L933">
        <v>7</v>
      </c>
      <c r="M933" s="21">
        <f ca="1">LEFT(Music_Data[[#This Row],[Duration_minutes]],3)/60</f>
        <v>3.5</v>
      </c>
      <c r="N933" s="17">
        <v>2.7799999999999998E-4</v>
      </c>
      <c r="O933" s="17" t="str">
        <f ca="1">PROPER(Music_Data[[#This Row],[Playlist_subgenre2]])</f>
        <v>Death</v>
      </c>
    </row>
    <row r="934" spans="1:15">
      <c r="A934" s="17">
        <v>0.98199999999999998</v>
      </c>
      <c r="B934" s="21">
        <v>143</v>
      </c>
      <c r="C934" s="16">
        <v>0.35399999999999998</v>
      </c>
      <c r="D934" s="16" t="str">
        <f ca="1">PROPER(Music_Data[[#This Row],[Playlist_genre2]])</f>
        <v>Metal</v>
      </c>
      <c r="E934" s="17">
        <v>0.19400000000000001</v>
      </c>
      <c r="F934" t="s">
        <v>5712</v>
      </c>
      <c r="G934">
        <v>80</v>
      </c>
      <c r="H934" t="s">
        <v>5635</v>
      </c>
      <c r="I934" t="s">
        <v>5718</v>
      </c>
      <c r="J934" s="22">
        <v>2004</v>
      </c>
      <c r="K934">
        <v>0</v>
      </c>
      <c r="L934">
        <v>4</v>
      </c>
      <c r="M934" s="21">
        <f ca="1">LEFT(Music_Data[[#This Row],[Duration_minutes]],3)/60</f>
        <v>4.2</v>
      </c>
      <c r="N934" s="17">
        <v>2.3699999999999999E-4</v>
      </c>
      <c r="O934" s="17" t="str">
        <f ca="1">PROPER(Music_Data[[#This Row],[Playlist_subgenre2]])</f>
        <v>Classic</v>
      </c>
    </row>
    <row r="935" spans="1:15">
      <c r="A935" s="17">
        <v>0.98199999999999998</v>
      </c>
      <c r="B935" s="21">
        <v>143</v>
      </c>
      <c r="C935" s="16">
        <v>0.35399999999999998</v>
      </c>
      <c r="D935" s="16" t="str">
        <f ca="1">PROPER(Music_Data[[#This Row],[Playlist_genre2]])</f>
        <v>Metal</v>
      </c>
      <c r="E935" s="17">
        <v>0.19400000000000001</v>
      </c>
      <c r="F935" t="s">
        <v>5712</v>
      </c>
      <c r="G935">
        <v>80</v>
      </c>
      <c r="H935" t="s">
        <v>9264</v>
      </c>
      <c r="I935" t="s">
        <v>5718</v>
      </c>
      <c r="J935" s="22">
        <v>2004</v>
      </c>
      <c r="K935">
        <v>0</v>
      </c>
      <c r="L935">
        <v>4</v>
      </c>
      <c r="M935" s="21">
        <f ca="1">LEFT(Music_Data[[#This Row],[Duration_minutes]],3)/60</f>
        <v>4.2</v>
      </c>
      <c r="N935" s="17">
        <v>2.3699999999999999E-4</v>
      </c>
      <c r="O935" s="17" t="str">
        <f ca="1">PROPER(Music_Data[[#This Row],[Playlist_subgenre2]])</f>
        <v>Death</v>
      </c>
    </row>
    <row r="936" spans="1:15">
      <c r="A936" s="17">
        <v>0.82799999999999996</v>
      </c>
      <c r="B936" s="21">
        <v>123</v>
      </c>
      <c r="C936" s="16">
        <v>0.57699999999999996</v>
      </c>
      <c r="D936" s="16" t="str">
        <f ca="1">PROPER(Music_Data[[#This Row],[Playlist_genre2]])</f>
        <v>Metal</v>
      </c>
      <c r="E936" s="17">
        <v>0.60399999999999998</v>
      </c>
      <c r="F936" t="s">
        <v>1074</v>
      </c>
      <c r="G936">
        <v>79</v>
      </c>
      <c r="H936" t="s">
        <v>5635</v>
      </c>
      <c r="I936" t="s">
        <v>5726</v>
      </c>
      <c r="J936" s="22">
        <v>33462</v>
      </c>
      <c r="K936">
        <v>0</v>
      </c>
      <c r="L936">
        <v>6</v>
      </c>
      <c r="M936" s="21">
        <f ca="1">LEFT(Music_Data[[#This Row],[Duration_minutes]],3)/60</f>
        <v>5.5166666666666666</v>
      </c>
      <c r="N936" s="17">
        <v>2.1299999999999999E-3</v>
      </c>
      <c r="O936" s="17" t="str">
        <f ca="1">PROPER(Music_Data[[#This Row],[Playlist_subgenre2]])</f>
        <v>Classic</v>
      </c>
    </row>
    <row r="937" spans="1:15">
      <c r="A937" s="17">
        <v>0.82799999999999996</v>
      </c>
      <c r="B937" s="21">
        <v>123</v>
      </c>
      <c r="C937" s="16">
        <v>0.57699999999999996</v>
      </c>
      <c r="D937" s="16" t="str">
        <f ca="1">PROPER(Music_Data[[#This Row],[Playlist_genre2]])</f>
        <v>Metal</v>
      </c>
      <c r="E937" s="17">
        <v>0.60399999999999998</v>
      </c>
      <c r="F937" t="s">
        <v>1074</v>
      </c>
      <c r="G937">
        <v>79</v>
      </c>
      <c r="H937" t="s">
        <v>9264</v>
      </c>
      <c r="I937" t="s">
        <v>5726</v>
      </c>
      <c r="J937" s="22">
        <v>33462</v>
      </c>
      <c r="K937">
        <v>0</v>
      </c>
      <c r="L937">
        <v>6</v>
      </c>
      <c r="M937" s="21">
        <f ca="1">LEFT(Music_Data[[#This Row],[Duration_minutes]],3)/60</f>
        <v>5.5166666666666666</v>
      </c>
      <c r="N937" s="17">
        <v>2.1299999999999999E-3</v>
      </c>
      <c r="O937" s="17" t="str">
        <f ca="1">PROPER(Music_Data[[#This Row],[Playlist_subgenre2]])</f>
        <v>Death</v>
      </c>
    </row>
    <row r="938" spans="1:15">
      <c r="A938" s="17">
        <v>0.78100000000000003</v>
      </c>
      <c r="B938" s="21">
        <v>718</v>
      </c>
      <c r="C938" s="16">
        <v>0.443</v>
      </c>
      <c r="D938" s="16" t="str">
        <f ca="1">PROPER(Music_Data[[#This Row],[Playlist_genre2]])</f>
        <v>Metal</v>
      </c>
      <c r="E938" s="17">
        <v>0.372</v>
      </c>
      <c r="F938" t="s">
        <v>5767</v>
      </c>
      <c r="G938">
        <v>77</v>
      </c>
      <c r="H938" t="s">
        <v>5635</v>
      </c>
      <c r="I938" t="s">
        <v>5773</v>
      </c>
      <c r="J938" s="22">
        <v>35730</v>
      </c>
      <c r="K938">
        <v>1</v>
      </c>
      <c r="L938">
        <v>1</v>
      </c>
      <c r="M938" s="21">
        <f ca="1">LEFT(Music_Data[[#This Row],[Duration_minutes]],3)/60</f>
        <v>3.5666666666666669</v>
      </c>
      <c r="N938" s="17">
        <v>1.33E-5</v>
      </c>
      <c r="O938" s="17" t="str">
        <f ca="1">PROPER(Music_Data[[#This Row],[Playlist_subgenre2]])</f>
        <v>Classic</v>
      </c>
    </row>
    <row r="939" spans="1:15">
      <c r="A939" s="17">
        <v>0.78100000000000003</v>
      </c>
      <c r="B939" s="21">
        <v>718</v>
      </c>
      <c r="C939" s="16">
        <v>0.443</v>
      </c>
      <c r="D939" s="16" t="str">
        <f ca="1">PROPER(Music_Data[[#This Row],[Playlist_genre2]])</f>
        <v>Metal</v>
      </c>
      <c r="E939" s="17">
        <v>0.372</v>
      </c>
      <c r="F939" t="s">
        <v>5767</v>
      </c>
      <c r="G939">
        <v>77</v>
      </c>
      <c r="H939" t="s">
        <v>9264</v>
      </c>
      <c r="I939" t="s">
        <v>5773</v>
      </c>
      <c r="J939" s="22">
        <v>35730</v>
      </c>
      <c r="K939">
        <v>1</v>
      </c>
      <c r="L939">
        <v>1</v>
      </c>
      <c r="M939" s="21">
        <f ca="1">LEFT(Music_Data[[#This Row],[Duration_minutes]],3)/60</f>
        <v>3.5666666666666669</v>
      </c>
      <c r="N939" s="17">
        <v>1.33E-5</v>
      </c>
      <c r="O939" s="17" t="str">
        <f ca="1">PROPER(Music_Data[[#This Row],[Playlist_subgenre2]])</f>
        <v>Death</v>
      </c>
    </row>
    <row r="940" spans="1:15">
      <c r="A940" s="17">
        <v>0.89800000000000002</v>
      </c>
      <c r="B940" s="21">
        <v>103</v>
      </c>
      <c r="C940" s="16">
        <v>0.35299999999999998</v>
      </c>
      <c r="D940" s="16" t="str">
        <f ca="1">PROPER(Music_Data[[#This Row],[Playlist_genre2]])</f>
        <v>Metal</v>
      </c>
      <c r="E940" s="17">
        <v>0.52500000000000002</v>
      </c>
      <c r="F940" t="s">
        <v>5674</v>
      </c>
      <c r="G940">
        <v>77</v>
      </c>
      <c r="H940" t="s">
        <v>5635</v>
      </c>
      <c r="I940" t="s">
        <v>5745</v>
      </c>
      <c r="J940" s="22">
        <v>36025</v>
      </c>
      <c r="K940">
        <v>1</v>
      </c>
      <c r="L940">
        <v>2</v>
      </c>
      <c r="M940" s="21">
        <f ca="1">LEFT(Music_Data[[#This Row],[Duration_minutes]],3)/60</f>
        <v>4.25</v>
      </c>
      <c r="N940" s="17">
        <v>2.23E-5</v>
      </c>
      <c r="O940" s="17" t="str">
        <f ca="1">PROPER(Music_Data[[#This Row],[Playlist_subgenre2]])</f>
        <v>Classic</v>
      </c>
    </row>
    <row r="941" spans="1:15">
      <c r="A941" s="17">
        <v>0.89800000000000002</v>
      </c>
      <c r="B941" s="21">
        <v>103</v>
      </c>
      <c r="C941" s="16">
        <v>0.35299999999999998</v>
      </c>
      <c r="D941" s="16" t="str">
        <f ca="1">PROPER(Music_Data[[#This Row],[Playlist_genre2]])</f>
        <v>Metal</v>
      </c>
      <c r="E941" s="17">
        <v>0.52500000000000002</v>
      </c>
      <c r="F941" t="s">
        <v>5674</v>
      </c>
      <c r="G941">
        <v>77</v>
      </c>
      <c r="H941" t="s">
        <v>9264</v>
      </c>
      <c r="I941" t="s">
        <v>5745</v>
      </c>
      <c r="J941" s="22">
        <v>36025</v>
      </c>
      <c r="K941">
        <v>1</v>
      </c>
      <c r="L941">
        <v>2</v>
      </c>
      <c r="M941" s="21">
        <f ca="1">LEFT(Music_Data[[#This Row],[Duration_minutes]],3)/60</f>
        <v>4.25</v>
      </c>
      <c r="N941" s="17">
        <v>2.23E-5</v>
      </c>
      <c r="O941" s="17" t="str">
        <f ca="1">PROPER(Music_Data[[#This Row],[Playlist_subgenre2]])</f>
        <v>Death</v>
      </c>
    </row>
    <row r="942" spans="1:15">
      <c r="A942" s="17">
        <v>0.96299999999999997</v>
      </c>
      <c r="B942" s="21">
        <v>125</v>
      </c>
      <c r="C942" s="16">
        <v>0.59</v>
      </c>
      <c r="D942" s="16" t="str">
        <f ca="1">PROPER(Music_Data[[#This Row],[Playlist_genre2]])</f>
        <v>Metal</v>
      </c>
      <c r="E942" s="17">
        <v>0.58599999999999997</v>
      </c>
      <c r="F942" t="s">
        <v>5749</v>
      </c>
      <c r="G942">
        <v>77</v>
      </c>
      <c r="H942" t="s">
        <v>5635</v>
      </c>
      <c r="I942" t="s">
        <v>5755</v>
      </c>
      <c r="J942" s="22">
        <v>35796</v>
      </c>
      <c r="K942">
        <v>0</v>
      </c>
      <c r="L942">
        <v>0</v>
      </c>
      <c r="M942" s="21">
        <f ca="1">LEFT(Music_Data[[#This Row],[Duration_minutes]],3)/60</f>
        <v>3.7</v>
      </c>
      <c r="N942" s="17">
        <v>8.7499999999999999E-5</v>
      </c>
      <c r="O942" s="17" t="str">
        <f ca="1">PROPER(Music_Data[[#This Row],[Playlist_subgenre2]])</f>
        <v>Classic</v>
      </c>
    </row>
    <row r="943" spans="1:15">
      <c r="A943" s="17">
        <v>0.96299999999999997</v>
      </c>
      <c r="B943" s="21">
        <v>125</v>
      </c>
      <c r="C943" s="16">
        <v>0.59</v>
      </c>
      <c r="D943" s="16" t="str">
        <f ca="1">PROPER(Music_Data[[#This Row],[Playlist_genre2]])</f>
        <v>Metal</v>
      </c>
      <c r="E943" s="17">
        <v>0.58599999999999997</v>
      </c>
      <c r="F943" t="s">
        <v>5749</v>
      </c>
      <c r="G943">
        <v>77</v>
      </c>
      <c r="H943" t="s">
        <v>9264</v>
      </c>
      <c r="I943" t="s">
        <v>5755</v>
      </c>
      <c r="J943" s="22">
        <v>35796</v>
      </c>
      <c r="K943">
        <v>0</v>
      </c>
      <c r="L943">
        <v>0</v>
      </c>
      <c r="M943" s="21">
        <f ca="1">LEFT(Music_Data[[#This Row],[Duration_minutes]],3)/60</f>
        <v>3.7</v>
      </c>
      <c r="N943" s="17">
        <v>8.7499999999999999E-5</v>
      </c>
      <c r="O943" s="17" t="str">
        <f ca="1">PROPER(Music_Data[[#This Row],[Playlist_subgenre2]])</f>
        <v>Death</v>
      </c>
    </row>
    <row r="944" spans="1:15">
      <c r="A944" s="17">
        <v>0.91600000000000004</v>
      </c>
      <c r="B944" s="21">
        <v>118</v>
      </c>
      <c r="C944" s="16">
        <v>0.57999999999999996</v>
      </c>
      <c r="D944" s="16" t="str">
        <f ca="1">PROPER(Music_Data[[#This Row],[Playlist_genre2]])</f>
        <v>Metal</v>
      </c>
      <c r="E944" s="17">
        <v>0.68300000000000005</v>
      </c>
      <c r="F944" t="s">
        <v>5729</v>
      </c>
      <c r="G944">
        <v>75</v>
      </c>
      <c r="H944" t="s">
        <v>5635</v>
      </c>
      <c r="I944" t="s">
        <v>5732</v>
      </c>
      <c r="J944" s="22">
        <v>41509</v>
      </c>
      <c r="K944">
        <v>0</v>
      </c>
      <c r="L944">
        <v>3</v>
      </c>
      <c r="M944" s="21">
        <f ca="1">LEFT(Music_Data[[#This Row],[Duration_minutes]],3)/60</f>
        <v>5.083333333333333</v>
      </c>
      <c r="N944" s="17">
        <v>2.9700000000000001E-4</v>
      </c>
      <c r="O944" s="17" t="str">
        <f ca="1">PROPER(Music_Data[[#This Row],[Playlist_subgenre2]])</f>
        <v>Classic</v>
      </c>
    </row>
    <row r="945" spans="1:15">
      <c r="A945" s="17">
        <v>0.91600000000000004</v>
      </c>
      <c r="B945" s="21">
        <v>118</v>
      </c>
      <c r="C945" s="16">
        <v>0.57999999999999996</v>
      </c>
      <c r="D945" s="16" t="str">
        <f ca="1">PROPER(Music_Data[[#This Row],[Playlist_genre2]])</f>
        <v>Metal</v>
      </c>
      <c r="E945" s="17">
        <v>0.68300000000000005</v>
      </c>
      <c r="F945" t="s">
        <v>5729</v>
      </c>
      <c r="G945">
        <v>75</v>
      </c>
      <c r="H945" t="s">
        <v>9264</v>
      </c>
      <c r="I945" t="s">
        <v>5732</v>
      </c>
      <c r="J945" s="22">
        <v>41509</v>
      </c>
      <c r="K945">
        <v>0</v>
      </c>
      <c r="L945">
        <v>3</v>
      </c>
      <c r="M945" s="21">
        <f ca="1">LEFT(Music_Data[[#This Row],[Duration_minutes]],3)/60</f>
        <v>5.083333333333333</v>
      </c>
      <c r="N945" s="17">
        <v>2.9700000000000001E-4</v>
      </c>
      <c r="O945" s="17" t="str">
        <f ca="1">PROPER(Music_Data[[#This Row],[Playlist_subgenre2]])</f>
        <v>Death</v>
      </c>
    </row>
    <row r="946" spans="1:15">
      <c r="A946" s="17">
        <v>0.83599999999999997</v>
      </c>
      <c r="B946" s="21">
        <v>105</v>
      </c>
      <c r="C946" s="16">
        <v>0.54300000000000004</v>
      </c>
      <c r="D946" s="16" t="str">
        <f ca="1">PROPER(Music_Data[[#This Row],[Playlist_genre2]])</f>
        <v>Metal</v>
      </c>
      <c r="E946" s="17">
        <v>0.56000000000000005</v>
      </c>
      <c r="F946" t="s">
        <v>1074</v>
      </c>
      <c r="G946">
        <v>75</v>
      </c>
      <c r="H946" t="s">
        <v>5635</v>
      </c>
      <c r="I946" t="s">
        <v>5638</v>
      </c>
      <c r="J946" s="22">
        <v>31474</v>
      </c>
      <c r="K946">
        <v>0</v>
      </c>
      <c r="L946">
        <v>4</v>
      </c>
      <c r="M946" s="21">
        <f ca="1">LEFT(Music_Data[[#This Row],[Duration_minutes]],3)/60</f>
        <v>8.5833333333333339</v>
      </c>
      <c r="N946" s="17">
        <v>6.4700000000000001E-4</v>
      </c>
      <c r="O946" s="17" t="str">
        <f ca="1">PROPER(Music_Data[[#This Row],[Playlist_subgenre2]])</f>
        <v>Classic</v>
      </c>
    </row>
    <row r="947" spans="1:15">
      <c r="A947" s="17">
        <v>0.83599999999999997</v>
      </c>
      <c r="B947" s="21">
        <v>105</v>
      </c>
      <c r="C947" s="16">
        <v>0.54300000000000004</v>
      </c>
      <c r="D947" s="16" t="str">
        <f ca="1">PROPER(Music_Data[[#This Row],[Playlist_genre2]])</f>
        <v>Metal</v>
      </c>
      <c r="E947" s="17">
        <v>0.56000000000000005</v>
      </c>
      <c r="F947" t="s">
        <v>1074</v>
      </c>
      <c r="G947">
        <v>75</v>
      </c>
      <c r="H947" t="s">
        <v>9264</v>
      </c>
      <c r="I947" t="s">
        <v>5638</v>
      </c>
      <c r="J947" s="22">
        <v>31474</v>
      </c>
      <c r="K947">
        <v>0</v>
      </c>
      <c r="L947">
        <v>4</v>
      </c>
      <c r="M947" s="21">
        <f ca="1">LEFT(Music_Data[[#This Row],[Duration_minutes]],3)/60</f>
        <v>8.5833333333333339</v>
      </c>
      <c r="N947" s="17">
        <v>6.4700000000000001E-4</v>
      </c>
      <c r="O947" s="17" t="str">
        <f ca="1">PROPER(Music_Data[[#This Row],[Playlist_subgenre2]])</f>
        <v>Death</v>
      </c>
    </row>
    <row r="948" spans="1:15">
      <c r="A948" s="17">
        <v>0.70399999999999996</v>
      </c>
      <c r="B948" s="21">
        <v>118</v>
      </c>
      <c r="C948" s="16">
        <v>0.43</v>
      </c>
      <c r="D948" s="16" t="str">
        <f ca="1">PROPER(Music_Data[[#This Row],[Playlist_genre2]])</f>
        <v>Metal</v>
      </c>
      <c r="E948" s="17">
        <v>0.70299999999999996</v>
      </c>
      <c r="F948" t="s">
        <v>5653</v>
      </c>
      <c r="G948">
        <v>73</v>
      </c>
      <c r="H948" t="s">
        <v>5635</v>
      </c>
      <c r="I948" t="s">
        <v>5659</v>
      </c>
      <c r="J948" s="22">
        <v>33655</v>
      </c>
      <c r="K948">
        <v>0</v>
      </c>
      <c r="L948">
        <v>1</v>
      </c>
      <c r="M948" s="21">
        <f ca="1">LEFT(Music_Data[[#This Row],[Duration_minutes]],3)/60</f>
        <v>5.25</v>
      </c>
      <c r="N948" s="17">
        <v>1.55E-4</v>
      </c>
      <c r="O948" s="17" t="str">
        <f ca="1">PROPER(Music_Data[[#This Row],[Playlist_subgenre2]])</f>
        <v>Classic</v>
      </c>
    </row>
    <row r="949" spans="1:15">
      <c r="A949" s="17">
        <v>0.70399999999999996</v>
      </c>
      <c r="B949" s="21">
        <v>118</v>
      </c>
      <c r="C949" s="16">
        <v>0.43</v>
      </c>
      <c r="D949" s="16" t="str">
        <f ca="1">PROPER(Music_Data[[#This Row],[Playlist_genre2]])</f>
        <v>Metal</v>
      </c>
      <c r="E949" s="17">
        <v>0.70299999999999996</v>
      </c>
      <c r="F949" t="s">
        <v>5653</v>
      </c>
      <c r="G949">
        <v>73</v>
      </c>
      <c r="H949" t="s">
        <v>9264</v>
      </c>
      <c r="I949" t="s">
        <v>5659</v>
      </c>
      <c r="J949" s="22">
        <v>33655</v>
      </c>
      <c r="K949">
        <v>0</v>
      </c>
      <c r="L949">
        <v>1</v>
      </c>
      <c r="M949" s="21">
        <f ca="1">LEFT(Music_Data[[#This Row],[Duration_minutes]],3)/60</f>
        <v>5.25</v>
      </c>
      <c r="N949" s="17">
        <v>1.55E-4</v>
      </c>
      <c r="O949" s="17" t="str">
        <f ca="1">PROPER(Music_Data[[#This Row],[Playlist_subgenre2]])</f>
        <v>Death</v>
      </c>
    </row>
    <row r="950" spans="1:15">
      <c r="A950" s="17">
        <v>0.69499999999999995</v>
      </c>
      <c r="B950" s="21">
        <v>102</v>
      </c>
      <c r="C950" s="16">
        <v>0.437</v>
      </c>
      <c r="D950" s="16" t="str">
        <f ca="1">PROPER(Music_Data[[#This Row],[Playlist_genre2]])</f>
        <v>Metal</v>
      </c>
      <c r="E950" s="17">
        <v>0.41299999999999998</v>
      </c>
      <c r="F950" t="s">
        <v>1074</v>
      </c>
      <c r="G950">
        <v>72</v>
      </c>
      <c r="H950" t="s">
        <v>5635</v>
      </c>
      <c r="I950" t="s">
        <v>5689</v>
      </c>
      <c r="J950" s="22">
        <v>32380</v>
      </c>
      <c r="K950">
        <v>1</v>
      </c>
      <c r="L950">
        <v>7</v>
      </c>
      <c r="M950" s="21">
        <f ca="1">LEFT(Music_Data[[#This Row],[Duration_minutes]],3)/60</f>
        <v>7.45</v>
      </c>
      <c r="N950" s="17">
        <v>1.1100000000000001E-3</v>
      </c>
      <c r="O950" s="17" t="str">
        <f ca="1">PROPER(Music_Data[[#This Row],[Playlist_subgenre2]])</f>
        <v>Classic</v>
      </c>
    </row>
    <row r="951" spans="1:15">
      <c r="A951" s="17">
        <v>0.69499999999999995</v>
      </c>
      <c r="B951" s="21">
        <v>102</v>
      </c>
      <c r="C951" s="16">
        <v>0.437</v>
      </c>
      <c r="D951" s="16" t="str">
        <f ca="1">PROPER(Music_Data[[#This Row],[Playlist_genre2]])</f>
        <v>Metal</v>
      </c>
      <c r="E951" s="17">
        <v>0.41299999999999998</v>
      </c>
      <c r="F951" t="s">
        <v>1074</v>
      </c>
      <c r="G951">
        <v>72</v>
      </c>
      <c r="H951" t="s">
        <v>9264</v>
      </c>
      <c r="I951" t="s">
        <v>5689</v>
      </c>
      <c r="J951" s="22">
        <v>32380</v>
      </c>
      <c r="K951">
        <v>1</v>
      </c>
      <c r="L951">
        <v>7</v>
      </c>
      <c r="M951" s="21">
        <f ca="1">LEFT(Music_Data[[#This Row],[Duration_minutes]],3)/60</f>
        <v>7.45</v>
      </c>
      <c r="N951" s="17">
        <v>1.1100000000000001E-3</v>
      </c>
      <c r="O951" s="17" t="str">
        <f ca="1">PROPER(Music_Data[[#This Row],[Playlist_subgenre2]])</f>
        <v>Death</v>
      </c>
    </row>
    <row r="952" spans="1:15">
      <c r="A952" s="17">
        <v>0.90800000000000003</v>
      </c>
      <c r="B952" s="21">
        <v>159</v>
      </c>
      <c r="C952" s="16">
        <v>0.28499999999999998</v>
      </c>
      <c r="D952" s="16" t="str">
        <f ca="1">PROPER(Music_Data[[#This Row],[Playlist_genre2]])</f>
        <v>Metal</v>
      </c>
      <c r="E952" s="17">
        <v>0.66900000000000004</v>
      </c>
      <c r="F952" t="s">
        <v>5643</v>
      </c>
      <c r="G952">
        <v>71</v>
      </c>
      <c r="H952" t="s">
        <v>5635</v>
      </c>
      <c r="I952" t="s">
        <v>5650</v>
      </c>
      <c r="J952" s="22">
        <v>1983</v>
      </c>
      <c r="K952">
        <v>0</v>
      </c>
      <c r="L952">
        <v>4</v>
      </c>
      <c r="M952" s="21">
        <f ca="1">LEFT(Music_Data[[#This Row],[Duration_minutes]],3)/60</f>
        <v>4.2</v>
      </c>
      <c r="N952" s="17">
        <v>3.1800000000000002E-2</v>
      </c>
      <c r="O952" s="17" t="str">
        <f ca="1">PROPER(Music_Data[[#This Row],[Playlist_subgenre2]])</f>
        <v>Classic</v>
      </c>
    </row>
    <row r="953" spans="1:15">
      <c r="A953" s="17">
        <v>0.90800000000000003</v>
      </c>
      <c r="B953" s="21">
        <v>159</v>
      </c>
      <c r="C953" s="16">
        <v>0.28499999999999998</v>
      </c>
      <c r="D953" s="16" t="str">
        <f ca="1">PROPER(Music_Data[[#This Row],[Playlist_genre2]])</f>
        <v>Metal</v>
      </c>
      <c r="E953" s="17">
        <v>0.66900000000000004</v>
      </c>
      <c r="F953" t="s">
        <v>5643</v>
      </c>
      <c r="G953">
        <v>71</v>
      </c>
      <c r="H953" t="s">
        <v>9264</v>
      </c>
      <c r="I953" t="s">
        <v>5650</v>
      </c>
      <c r="J953" s="22">
        <v>1983</v>
      </c>
      <c r="K953">
        <v>0</v>
      </c>
      <c r="L953">
        <v>4</v>
      </c>
      <c r="M953" s="21">
        <f ca="1">LEFT(Music_Data[[#This Row],[Duration_minutes]],3)/60</f>
        <v>4.2</v>
      </c>
      <c r="N953" s="17">
        <v>3.1800000000000002E-2</v>
      </c>
      <c r="O953" s="17" t="str">
        <f ca="1">PROPER(Music_Data[[#This Row],[Playlist_subgenre2]])</f>
        <v>Death</v>
      </c>
    </row>
    <row r="954" spans="1:15">
      <c r="A954" s="17">
        <v>0.90800000000000003</v>
      </c>
      <c r="B954" s="21">
        <v>114</v>
      </c>
      <c r="C954" s="16">
        <v>0.41499999999999998</v>
      </c>
      <c r="D954" s="16" t="str">
        <f ca="1">PROPER(Music_Data[[#This Row],[Playlist_genre2]])</f>
        <v>Metal</v>
      </c>
      <c r="E954" s="17">
        <v>0.437</v>
      </c>
      <c r="F954" t="s">
        <v>5653</v>
      </c>
      <c r="G954">
        <v>71</v>
      </c>
      <c r="H954" t="s">
        <v>5635</v>
      </c>
      <c r="I954" t="s">
        <v>5706</v>
      </c>
      <c r="J954" s="22">
        <v>33074</v>
      </c>
      <c r="K954">
        <v>1</v>
      </c>
      <c r="L954">
        <v>2</v>
      </c>
      <c r="M954" s="21">
        <f ca="1">LEFT(Music_Data[[#This Row],[Duration_minutes]],3)/60</f>
        <v>4.05</v>
      </c>
      <c r="N954" s="17">
        <v>4.3699999999999998E-3</v>
      </c>
      <c r="O954" s="17" t="str">
        <f ca="1">PROPER(Music_Data[[#This Row],[Playlist_subgenre2]])</f>
        <v>Classic</v>
      </c>
    </row>
    <row r="955" spans="1:15">
      <c r="A955" s="17">
        <v>0.90800000000000003</v>
      </c>
      <c r="B955" s="21">
        <v>114</v>
      </c>
      <c r="C955" s="16">
        <v>0.41499999999999998</v>
      </c>
      <c r="D955" s="16" t="str">
        <f ca="1">PROPER(Music_Data[[#This Row],[Playlist_genre2]])</f>
        <v>Metal</v>
      </c>
      <c r="E955" s="17">
        <v>0.437</v>
      </c>
      <c r="F955" t="s">
        <v>5653</v>
      </c>
      <c r="G955">
        <v>71</v>
      </c>
      <c r="H955" t="s">
        <v>9247</v>
      </c>
      <c r="I955" t="s">
        <v>5706</v>
      </c>
      <c r="J955" s="22">
        <v>33074</v>
      </c>
      <c r="K955">
        <v>1</v>
      </c>
      <c r="L955">
        <v>2</v>
      </c>
      <c r="M955" s="21">
        <f ca="1">LEFT(Music_Data[[#This Row],[Duration_minutes]],3)/60</f>
        <v>4.05</v>
      </c>
      <c r="N955" s="17">
        <v>4.3699999999999998E-3</v>
      </c>
      <c r="O955" s="17" t="str">
        <f ca="1">PROPER(Music_Data[[#This Row],[Playlist_subgenre2]])</f>
        <v>Heavy</v>
      </c>
    </row>
    <row r="956" spans="1:15">
      <c r="A956" s="17">
        <v>0.90800000000000003</v>
      </c>
      <c r="B956" s="21">
        <v>114</v>
      </c>
      <c r="C956" s="16">
        <v>0.41499999999999998</v>
      </c>
      <c r="D956" s="16" t="str">
        <f ca="1">PROPER(Music_Data[[#This Row],[Playlist_genre2]])</f>
        <v>Metal</v>
      </c>
      <c r="E956" s="17">
        <v>0.437</v>
      </c>
      <c r="F956" t="s">
        <v>5653</v>
      </c>
      <c r="G956">
        <v>71</v>
      </c>
      <c r="H956" t="s">
        <v>9264</v>
      </c>
      <c r="I956" t="s">
        <v>5706</v>
      </c>
      <c r="J956" s="22">
        <v>33074</v>
      </c>
      <c r="K956">
        <v>1</v>
      </c>
      <c r="L956">
        <v>2</v>
      </c>
      <c r="M956" s="21">
        <f ca="1">LEFT(Music_Data[[#This Row],[Duration_minutes]],3)/60</f>
        <v>4.05</v>
      </c>
      <c r="N956" s="17">
        <v>4.3699999999999998E-3</v>
      </c>
      <c r="O956" s="17" t="str">
        <f ca="1">PROPER(Music_Data[[#This Row],[Playlist_subgenre2]])</f>
        <v>Death</v>
      </c>
    </row>
    <row r="957" spans="1:15">
      <c r="A957" s="17">
        <v>0.94899999999999995</v>
      </c>
      <c r="B957" s="21">
        <v>129</v>
      </c>
      <c r="C957" s="16">
        <v>0.55400000000000005</v>
      </c>
      <c r="D957" s="16" t="str">
        <f ca="1">PROPER(Music_Data[[#This Row],[Playlist_genre2]])</f>
        <v>Metal</v>
      </c>
      <c r="E957" s="17">
        <v>0.23300000000000001</v>
      </c>
      <c r="F957" t="s">
        <v>5729</v>
      </c>
      <c r="G957">
        <v>70</v>
      </c>
      <c r="H957" t="s">
        <v>5635</v>
      </c>
      <c r="I957" t="s">
        <v>5760</v>
      </c>
      <c r="J957" s="22">
        <v>40382</v>
      </c>
      <c r="K957">
        <v>1</v>
      </c>
      <c r="L957">
        <v>2</v>
      </c>
      <c r="M957" s="21">
        <f ca="1">LEFT(Music_Data[[#This Row],[Duration_minutes]],3)/60</f>
        <v>6.2333333333333334</v>
      </c>
      <c r="N957" s="17">
        <v>3.1799999999999998E-4</v>
      </c>
      <c r="O957" s="17" t="str">
        <f ca="1">PROPER(Music_Data[[#This Row],[Playlist_subgenre2]])</f>
        <v>Classic</v>
      </c>
    </row>
    <row r="958" spans="1:15">
      <c r="A958" s="17">
        <v>0.94899999999999995</v>
      </c>
      <c r="B958" s="21">
        <v>129</v>
      </c>
      <c r="C958" s="16">
        <v>0.55400000000000005</v>
      </c>
      <c r="D958" s="16" t="str">
        <f ca="1">PROPER(Music_Data[[#This Row],[Playlist_genre2]])</f>
        <v>Metal</v>
      </c>
      <c r="E958" s="17">
        <v>0.23300000000000001</v>
      </c>
      <c r="F958" t="s">
        <v>5729</v>
      </c>
      <c r="G958">
        <v>70</v>
      </c>
      <c r="H958" t="s">
        <v>9264</v>
      </c>
      <c r="I958" t="s">
        <v>5760</v>
      </c>
      <c r="J958" s="22">
        <v>40382</v>
      </c>
      <c r="K958">
        <v>1</v>
      </c>
      <c r="L958">
        <v>2</v>
      </c>
      <c r="M958" s="21">
        <f ca="1">LEFT(Music_Data[[#This Row],[Duration_minutes]],3)/60</f>
        <v>6.2333333333333334</v>
      </c>
      <c r="N958" s="17">
        <v>3.1799999999999998E-4</v>
      </c>
      <c r="O958" s="17" t="str">
        <f ca="1">PROPER(Music_Data[[#This Row],[Playlist_subgenre2]])</f>
        <v>Death</v>
      </c>
    </row>
    <row r="959" spans="1:15">
      <c r="A959" s="17">
        <v>0.76300000000000001</v>
      </c>
      <c r="B959" s="21">
        <v>148</v>
      </c>
      <c r="C959" s="16">
        <v>0.36499999999999999</v>
      </c>
      <c r="D959" s="16" t="str">
        <f ca="1">PROPER(Music_Data[[#This Row],[Playlist_genre2]])</f>
        <v>Metal</v>
      </c>
      <c r="E959" s="17">
        <v>0.34200000000000003</v>
      </c>
      <c r="F959" t="s">
        <v>5694</v>
      </c>
      <c r="G959">
        <v>69</v>
      </c>
      <c r="H959" t="s">
        <v>5635</v>
      </c>
      <c r="I959" t="s">
        <v>5699</v>
      </c>
      <c r="J959" s="22">
        <v>32143</v>
      </c>
      <c r="K959">
        <v>0</v>
      </c>
      <c r="L959">
        <v>11</v>
      </c>
      <c r="M959" s="21">
        <f ca="1">LEFT(Music_Data[[#This Row],[Duration_minutes]],3)/60</f>
        <v>3.4</v>
      </c>
      <c r="N959" s="17">
        <v>7.26E-3</v>
      </c>
      <c r="O959" s="17" t="str">
        <f ca="1">PROPER(Music_Data[[#This Row],[Playlist_subgenre2]])</f>
        <v>Classic</v>
      </c>
    </row>
    <row r="960" spans="1:15">
      <c r="A960" s="17">
        <v>0.76300000000000001</v>
      </c>
      <c r="B960" s="21">
        <v>148</v>
      </c>
      <c r="C960" s="16">
        <v>0.36499999999999999</v>
      </c>
      <c r="D960" s="16" t="str">
        <f ca="1">PROPER(Music_Data[[#This Row],[Playlist_genre2]])</f>
        <v>Metal</v>
      </c>
      <c r="E960" s="17">
        <v>0.34200000000000003</v>
      </c>
      <c r="F960" t="s">
        <v>5694</v>
      </c>
      <c r="G960">
        <v>69</v>
      </c>
      <c r="H960" t="s">
        <v>9264</v>
      </c>
      <c r="I960" t="s">
        <v>5699</v>
      </c>
      <c r="J960" s="22">
        <v>32143</v>
      </c>
      <c r="K960">
        <v>0</v>
      </c>
      <c r="L960">
        <v>11</v>
      </c>
      <c r="M960" s="21">
        <f ca="1">LEFT(Music_Data[[#This Row],[Duration_minutes]],3)/60</f>
        <v>3.4</v>
      </c>
      <c r="N960" s="17">
        <v>7.26E-3</v>
      </c>
      <c r="O960" s="17" t="str">
        <f ca="1">PROPER(Music_Data[[#This Row],[Playlist_subgenre2]])</f>
        <v>Death</v>
      </c>
    </row>
    <row r="961" spans="1:15">
      <c r="A961" s="17">
        <v>0.86599999999999999</v>
      </c>
      <c r="B961" s="21">
        <v>109</v>
      </c>
      <c r="C961" s="16">
        <v>0.308</v>
      </c>
      <c r="D961" s="16" t="str">
        <f ca="1">PROPER(Music_Data[[#This Row],[Playlist_genre2]])</f>
        <v>Metal</v>
      </c>
      <c r="E961" s="17">
        <v>0.22700000000000001</v>
      </c>
      <c r="F961" t="s">
        <v>5643</v>
      </c>
      <c r="G961">
        <v>69</v>
      </c>
      <c r="H961" t="s">
        <v>9247</v>
      </c>
      <c r="I961" t="s">
        <v>9250</v>
      </c>
      <c r="J961" s="22">
        <v>1992</v>
      </c>
      <c r="K961">
        <v>0</v>
      </c>
      <c r="L961">
        <v>2</v>
      </c>
      <c r="M961" s="21">
        <f ca="1">LEFT(Music_Data[[#This Row],[Duration_minutes]],3)/60</f>
        <v>7.3</v>
      </c>
      <c r="N961" s="17">
        <v>7.3899999999999997E-4</v>
      </c>
      <c r="O961" s="17" t="str">
        <f ca="1">PROPER(Music_Data[[#This Row],[Playlist_subgenre2]])</f>
        <v>Heavy</v>
      </c>
    </row>
    <row r="962" spans="1:15">
      <c r="A962" s="17">
        <v>0.89100000000000001</v>
      </c>
      <c r="B962" s="21">
        <v>920</v>
      </c>
      <c r="C962" s="16">
        <v>0.28299999999999997</v>
      </c>
      <c r="D962" s="16" t="str">
        <f ca="1">PROPER(Music_Data[[#This Row],[Playlist_genre2]])</f>
        <v>Metal</v>
      </c>
      <c r="E962" s="17">
        <v>0.22600000000000001</v>
      </c>
      <c r="F962" t="s">
        <v>5674</v>
      </c>
      <c r="G962">
        <v>68</v>
      </c>
      <c r="H962" t="s">
        <v>5635</v>
      </c>
      <c r="I962" t="s">
        <v>5679</v>
      </c>
      <c r="J962" s="22">
        <v>34618</v>
      </c>
      <c r="K962">
        <v>1</v>
      </c>
      <c r="L962">
        <v>2</v>
      </c>
      <c r="M962" s="21">
        <f ca="1">LEFT(Music_Data[[#This Row],[Duration_minutes]],3)/60</f>
        <v>4.3</v>
      </c>
      <c r="N962" s="17">
        <v>6.7799999999999996E-3</v>
      </c>
      <c r="O962" s="17" t="str">
        <f ca="1">PROPER(Music_Data[[#This Row],[Playlist_subgenre2]])</f>
        <v>Classic</v>
      </c>
    </row>
    <row r="963" spans="1:15">
      <c r="A963" s="17">
        <v>0.89100000000000001</v>
      </c>
      <c r="B963" s="21">
        <v>920</v>
      </c>
      <c r="C963" s="16">
        <v>0.28299999999999997</v>
      </c>
      <c r="D963" s="16" t="str">
        <f ca="1">PROPER(Music_Data[[#This Row],[Playlist_genre2]])</f>
        <v>Metal</v>
      </c>
      <c r="E963" s="17">
        <v>0.22600000000000001</v>
      </c>
      <c r="F963" t="s">
        <v>5674</v>
      </c>
      <c r="G963">
        <v>68</v>
      </c>
      <c r="H963" t="s">
        <v>9264</v>
      </c>
      <c r="I963" t="s">
        <v>5679</v>
      </c>
      <c r="J963" s="22">
        <v>34618</v>
      </c>
      <c r="K963">
        <v>1</v>
      </c>
      <c r="L963">
        <v>2</v>
      </c>
      <c r="M963" s="21">
        <f ca="1">LEFT(Music_Data[[#This Row],[Duration_minutes]],3)/60</f>
        <v>4.3</v>
      </c>
      <c r="N963" s="17">
        <v>6.7799999999999996E-3</v>
      </c>
      <c r="O963" s="17" t="str">
        <f ca="1">PROPER(Music_Data[[#This Row],[Playlist_subgenre2]])</f>
        <v>Death</v>
      </c>
    </row>
    <row r="964" spans="1:15">
      <c r="A964" s="17">
        <v>0.96399999999999997</v>
      </c>
      <c r="B964" s="21">
        <v>140</v>
      </c>
      <c r="C964" s="16">
        <v>0.44500000000000001</v>
      </c>
      <c r="D964" s="16" t="str">
        <f ca="1">PROPER(Music_Data[[#This Row],[Playlist_genre2]])</f>
        <v>Metal</v>
      </c>
      <c r="E964" s="17">
        <v>0.44800000000000001</v>
      </c>
      <c r="F964" t="s">
        <v>1074</v>
      </c>
      <c r="G964">
        <v>68</v>
      </c>
      <c r="H964" t="s">
        <v>9247</v>
      </c>
      <c r="I964" t="s">
        <v>9261</v>
      </c>
      <c r="J964" s="22">
        <v>30521</v>
      </c>
      <c r="K964">
        <v>1</v>
      </c>
      <c r="L964">
        <v>9</v>
      </c>
      <c r="M964" s="21">
        <f ca="1">LEFT(Music_Data[[#This Row],[Duration_minutes]],3)/60</f>
        <v>6.9</v>
      </c>
      <c r="N964" s="17">
        <v>3.6999999999999998E-2</v>
      </c>
      <c r="O964" s="17" t="str">
        <f ca="1">PROPER(Music_Data[[#This Row],[Playlist_subgenre2]])</f>
        <v>Heavy</v>
      </c>
    </row>
    <row r="965" spans="1:15">
      <c r="A965" s="17">
        <v>0.71399999999999997</v>
      </c>
      <c r="B965" s="21">
        <v>107</v>
      </c>
      <c r="C965" s="16">
        <v>0.56699999999999995</v>
      </c>
      <c r="D965" s="16" t="str">
        <f ca="1">PROPER(Music_Data[[#This Row],[Playlist_genre2]])</f>
        <v>Metal</v>
      </c>
      <c r="E965" s="17">
        <v>0.191</v>
      </c>
      <c r="F965" t="s">
        <v>5775</v>
      </c>
      <c r="G965">
        <v>68</v>
      </c>
      <c r="H965" t="s">
        <v>5635</v>
      </c>
      <c r="I965" t="s">
        <v>5781</v>
      </c>
      <c r="J965" s="22">
        <v>37026</v>
      </c>
      <c r="K965">
        <v>0</v>
      </c>
      <c r="L965">
        <v>9</v>
      </c>
      <c r="M965" s="21">
        <f ca="1">LEFT(Music_Data[[#This Row],[Duration_minutes]],3)/60</f>
        <v>6.7166666666666668</v>
      </c>
      <c r="N965" s="17">
        <v>1.1999999999999999E-3</v>
      </c>
      <c r="O965" s="17" t="str">
        <f ca="1">PROPER(Music_Data[[#This Row],[Playlist_subgenre2]])</f>
        <v>Classic</v>
      </c>
    </row>
    <row r="966" spans="1:15">
      <c r="A966" s="17">
        <v>0.71399999999999997</v>
      </c>
      <c r="B966" s="21">
        <v>107</v>
      </c>
      <c r="C966" s="16">
        <v>0.56699999999999995</v>
      </c>
      <c r="D966" s="16" t="str">
        <f ca="1">PROPER(Music_Data[[#This Row],[Playlist_genre2]])</f>
        <v>Metal</v>
      </c>
      <c r="E966" s="17">
        <v>0.191</v>
      </c>
      <c r="F966" t="s">
        <v>5775</v>
      </c>
      <c r="G966">
        <v>68</v>
      </c>
      <c r="H966" t="s">
        <v>9264</v>
      </c>
      <c r="I966" t="s">
        <v>5781</v>
      </c>
      <c r="J966" s="22">
        <v>37026</v>
      </c>
      <c r="K966">
        <v>0</v>
      </c>
      <c r="L966">
        <v>9</v>
      </c>
      <c r="M966" s="21">
        <f ca="1">LEFT(Music_Data[[#This Row],[Duration_minutes]],3)/60</f>
        <v>6.7166666666666668</v>
      </c>
      <c r="N966" s="17">
        <v>1.1999999999999999E-3</v>
      </c>
      <c r="O966" s="17" t="str">
        <f ca="1">PROPER(Music_Data[[#This Row],[Playlist_subgenre2]])</f>
        <v>Death</v>
      </c>
    </row>
    <row r="967" spans="1:15">
      <c r="A967" s="17">
        <v>0.59199999999999997</v>
      </c>
      <c r="B967" s="21">
        <v>157</v>
      </c>
      <c r="C967" s="16">
        <v>0.52100000000000002</v>
      </c>
      <c r="D967" s="16" t="str">
        <f ca="1">PROPER(Music_Data[[#This Row],[Playlist_genre2]])</f>
        <v>Pop</v>
      </c>
      <c r="E967" s="17">
        <v>0.53500000000000003</v>
      </c>
      <c r="F967" t="s">
        <v>34</v>
      </c>
      <c r="G967">
        <v>100</v>
      </c>
      <c r="H967" t="s">
        <v>39</v>
      </c>
      <c r="I967" t="s">
        <v>38</v>
      </c>
      <c r="J967" s="22">
        <v>45520</v>
      </c>
      <c r="K967">
        <v>0</v>
      </c>
      <c r="L967">
        <v>6</v>
      </c>
      <c r="M967" s="21">
        <f ca="1">LEFT(Music_Data[[#This Row],[Duration_minutes]],3)/60</f>
        <v>4.1833333333333336</v>
      </c>
      <c r="N967" s="17">
        <v>0.308</v>
      </c>
      <c r="O967" s="17" t="str">
        <f ca="1">PROPER(Music_Data[[#This Row],[Playlist_subgenre2]])</f>
        <v>Mainstream</v>
      </c>
    </row>
    <row r="968" spans="1:15">
      <c r="A968" s="17">
        <v>0.59199999999999997</v>
      </c>
      <c r="B968" s="21">
        <v>157</v>
      </c>
      <c r="C968" s="16">
        <v>0.52100000000000002</v>
      </c>
      <c r="D968" s="16" t="str">
        <f ca="1">PROPER(Music_Data[[#This Row],[Playlist_genre2]])</f>
        <v>Pop</v>
      </c>
      <c r="E968" s="17">
        <v>0.53500000000000003</v>
      </c>
      <c r="F968" t="s">
        <v>34</v>
      </c>
      <c r="G968">
        <v>100</v>
      </c>
      <c r="H968" t="s">
        <v>6368</v>
      </c>
      <c r="I968" t="s">
        <v>38</v>
      </c>
      <c r="J968" s="22">
        <v>45520</v>
      </c>
      <c r="K968">
        <v>0</v>
      </c>
      <c r="L968">
        <v>6</v>
      </c>
      <c r="M968" s="21">
        <f ca="1">LEFT(Music_Data[[#This Row],[Duration_minutes]],3)/60</f>
        <v>4.1833333333333336</v>
      </c>
      <c r="N968" s="17">
        <v>0.308</v>
      </c>
      <c r="O968" s="17" t="str">
        <f ca="1">PROPER(Music_Data[[#This Row],[Playlist_subgenre2]])</f>
        <v>Global</v>
      </c>
    </row>
    <row r="969" spans="1:15">
      <c r="A969" s="17">
        <v>0.78300000000000003</v>
      </c>
      <c r="B969" s="21">
        <v>149</v>
      </c>
      <c r="C969" s="16">
        <v>0.77700000000000002</v>
      </c>
      <c r="D969" s="16" t="str">
        <f ca="1">PROPER(Music_Data[[#This Row],[Playlist_genre2]])</f>
        <v>Pop</v>
      </c>
      <c r="E969" s="17">
        <v>0.93899999999999995</v>
      </c>
      <c r="F969" t="s">
        <v>13157</v>
      </c>
      <c r="G969">
        <v>98</v>
      </c>
      <c r="H969" t="s">
        <v>39</v>
      </c>
      <c r="I969" t="s">
        <v>99</v>
      </c>
      <c r="J969" s="22">
        <v>45583</v>
      </c>
      <c r="K969">
        <v>0</v>
      </c>
      <c r="L969">
        <v>0</v>
      </c>
      <c r="M969" s="21">
        <f ca="1">LEFT(Music_Data[[#This Row],[Duration_minutes]],3)/60</f>
        <v>2.8166666666666669</v>
      </c>
      <c r="N969" s="17">
        <v>2.8299999999999999E-2</v>
      </c>
      <c r="O969" s="17" t="str">
        <f ca="1">PROPER(Music_Data[[#This Row],[Playlist_subgenre2]])</f>
        <v>Mainstream</v>
      </c>
    </row>
    <row r="970" spans="1:15">
      <c r="A970" s="17">
        <v>0.78300000000000003</v>
      </c>
      <c r="B970" s="21">
        <v>149</v>
      </c>
      <c r="C970" s="16">
        <v>0.77700000000000002</v>
      </c>
      <c r="D970" s="16" t="str">
        <f ca="1">PROPER(Music_Data[[#This Row],[Playlist_genre2]])</f>
        <v>Pop</v>
      </c>
      <c r="E970" s="17">
        <v>0.93899999999999995</v>
      </c>
      <c r="F970" t="s">
        <v>13177</v>
      </c>
      <c r="G970">
        <v>98</v>
      </c>
      <c r="H970" t="s">
        <v>6368</v>
      </c>
      <c r="I970" t="s">
        <v>99</v>
      </c>
      <c r="J970" s="22">
        <v>45583</v>
      </c>
      <c r="K970">
        <v>0</v>
      </c>
      <c r="L970">
        <v>0</v>
      </c>
      <c r="M970" s="21">
        <f ca="1">LEFT(Music_Data[[#This Row],[Duration_minutes]],3)/60</f>
        <v>2.8166666666666669</v>
      </c>
      <c r="N970" s="17">
        <v>2.8299999999999999E-2</v>
      </c>
      <c r="O970" s="17" t="str">
        <f ca="1">PROPER(Music_Data[[#This Row],[Playlist_subgenre2]])</f>
        <v>Global</v>
      </c>
    </row>
    <row r="971" spans="1:15">
      <c r="A971" s="17">
        <v>0.50700000000000001</v>
      </c>
      <c r="B971" s="21">
        <v>104</v>
      </c>
      <c r="C971" s="16">
        <v>0.747</v>
      </c>
      <c r="D971" s="16" t="str">
        <f ca="1">PROPER(Music_Data[[#This Row],[Playlist_genre2]])</f>
        <v>Pop</v>
      </c>
      <c r="E971" s="17">
        <v>0.438</v>
      </c>
      <c r="F971" t="s">
        <v>51</v>
      </c>
      <c r="G971">
        <v>97</v>
      </c>
      <c r="H971" t="s">
        <v>39</v>
      </c>
      <c r="I971" t="s">
        <v>58</v>
      </c>
      <c r="J971" s="22">
        <v>45429</v>
      </c>
      <c r="K971">
        <v>1</v>
      </c>
      <c r="L971">
        <v>2</v>
      </c>
      <c r="M971" s="21">
        <f ca="1">LEFT(Music_Data[[#This Row],[Duration_minutes]],3)/60</f>
        <v>3.5</v>
      </c>
      <c r="N971" s="17">
        <v>0.2</v>
      </c>
      <c r="O971" s="17" t="str">
        <f ca="1">PROPER(Music_Data[[#This Row],[Playlist_subgenre2]])</f>
        <v>Mainstream</v>
      </c>
    </row>
    <row r="972" spans="1:15">
      <c r="A972" s="17">
        <v>0.50700000000000001</v>
      </c>
      <c r="B972" s="21">
        <v>104</v>
      </c>
      <c r="C972" s="16">
        <v>0.747</v>
      </c>
      <c r="D972" s="16" t="str">
        <f ca="1">PROPER(Music_Data[[#This Row],[Playlist_genre2]])</f>
        <v>Pop</v>
      </c>
      <c r="E972" s="17">
        <v>0.438</v>
      </c>
      <c r="F972" t="s">
        <v>51</v>
      </c>
      <c r="G972">
        <v>97</v>
      </c>
      <c r="H972" t="s">
        <v>6368</v>
      </c>
      <c r="I972" t="s">
        <v>58</v>
      </c>
      <c r="J972" s="22">
        <v>45429</v>
      </c>
      <c r="K972">
        <v>1</v>
      </c>
      <c r="L972">
        <v>2</v>
      </c>
      <c r="M972" s="21">
        <f ca="1">LEFT(Music_Data[[#This Row],[Duration_minutes]],3)/60</f>
        <v>3.5</v>
      </c>
      <c r="N972" s="17">
        <v>0.2</v>
      </c>
      <c r="O972" s="17" t="str">
        <f ca="1">PROPER(Music_Data[[#This Row],[Playlist_subgenre2]])</f>
        <v>Global</v>
      </c>
    </row>
    <row r="973" spans="1:15">
      <c r="A973" s="17">
        <v>0.58199999999999996</v>
      </c>
      <c r="B973" s="21">
        <v>116</v>
      </c>
      <c r="C973" s="16">
        <v>0.7</v>
      </c>
      <c r="D973" s="16" t="str">
        <f ca="1">PROPER(Music_Data[[#This Row],[Playlist_genre2]])</f>
        <v>Pop</v>
      </c>
      <c r="E973" s="17">
        <v>0.78500000000000003</v>
      </c>
      <c r="F973" t="s">
        <v>109</v>
      </c>
      <c r="G973">
        <v>94</v>
      </c>
      <c r="H973" t="s">
        <v>39</v>
      </c>
      <c r="I973" t="s">
        <v>113</v>
      </c>
      <c r="J973" s="22">
        <v>45387</v>
      </c>
      <c r="K973">
        <v>0</v>
      </c>
      <c r="L973">
        <v>11</v>
      </c>
      <c r="M973" s="21">
        <f ca="1">LEFT(Music_Data[[#This Row],[Duration_minutes]],3)/60</f>
        <v>3.6333333333333333</v>
      </c>
      <c r="N973" s="17">
        <v>5.0200000000000002E-2</v>
      </c>
      <c r="O973" s="17" t="str">
        <f ca="1">PROPER(Music_Data[[#This Row],[Playlist_subgenre2]])</f>
        <v>Mainstream</v>
      </c>
    </row>
    <row r="974" spans="1:15">
      <c r="A974" s="17">
        <v>0.58199999999999996</v>
      </c>
      <c r="B974" s="21">
        <v>116</v>
      </c>
      <c r="C974" s="16">
        <v>0.7</v>
      </c>
      <c r="D974" s="16" t="str">
        <f ca="1">PROPER(Music_Data[[#This Row],[Playlist_genre2]])</f>
        <v>Pop</v>
      </c>
      <c r="E974" s="17">
        <v>0.78500000000000003</v>
      </c>
      <c r="F974" t="s">
        <v>109</v>
      </c>
      <c r="G974">
        <v>94</v>
      </c>
      <c r="H974" t="s">
        <v>6368</v>
      </c>
      <c r="I974" t="s">
        <v>113</v>
      </c>
      <c r="J974" s="22">
        <v>45387</v>
      </c>
      <c r="K974">
        <v>0</v>
      </c>
      <c r="L974">
        <v>11</v>
      </c>
      <c r="M974" s="21">
        <f ca="1">LEFT(Music_Data[[#This Row],[Duration_minutes]],3)/60</f>
        <v>3.6333333333333333</v>
      </c>
      <c r="N974" s="17">
        <v>5.0200000000000002E-2</v>
      </c>
      <c r="O974" s="17" t="str">
        <f ca="1">PROPER(Music_Data[[#This Row],[Playlist_subgenre2]])</f>
        <v>Global</v>
      </c>
    </row>
    <row r="975" spans="1:15">
      <c r="A975" s="17">
        <v>0.247</v>
      </c>
      <c r="B975" s="21">
        <v>148</v>
      </c>
      <c r="C975" s="16">
        <v>0.46700000000000003</v>
      </c>
      <c r="D975" s="16" t="str">
        <f ca="1">PROPER(Music_Data[[#This Row],[Playlist_genre2]])</f>
        <v>Pop</v>
      </c>
      <c r="E975" s="17">
        <v>0.126</v>
      </c>
      <c r="F975" t="s">
        <v>51</v>
      </c>
      <c r="G975">
        <v>93</v>
      </c>
      <c r="H975" t="s">
        <v>39</v>
      </c>
      <c r="I975" t="s">
        <v>141</v>
      </c>
      <c r="J975" s="22">
        <v>45429</v>
      </c>
      <c r="K975">
        <v>0</v>
      </c>
      <c r="L975">
        <v>6</v>
      </c>
      <c r="M975" s="21">
        <f ca="1">LEFT(Music_Data[[#This Row],[Duration_minutes]],3)/60</f>
        <v>4.3499999999999996</v>
      </c>
      <c r="N975" s="17">
        <v>0.61199999999999999</v>
      </c>
      <c r="O975" s="17" t="str">
        <f ca="1">PROPER(Music_Data[[#This Row],[Playlist_subgenre2]])</f>
        <v>Mainstream</v>
      </c>
    </row>
    <row r="976" spans="1:15">
      <c r="A976" s="17">
        <v>0.247</v>
      </c>
      <c r="B976" s="21">
        <v>148</v>
      </c>
      <c r="C976" s="16">
        <v>0.46700000000000003</v>
      </c>
      <c r="D976" s="16" t="str">
        <f ca="1">PROPER(Music_Data[[#This Row],[Playlist_genre2]])</f>
        <v>Pop</v>
      </c>
      <c r="E976" s="17">
        <v>0.126</v>
      </c>
      <c r="F976" t="s">
        <v>51</v>
      </c>
      <c r="G976">
        <v>93</v>
      </c>
      <c r="H976" t="s">
        <v>6368</v>
      </c>
      <c r="I976" t="s">
        <v>141</v>
      </c>
      <c r="J976" s="22">
        <v>45429</v>
      </c>
      <c r="K976">
        <v>0</v>
      </c>
      <c r="L976">
        <v>6</v>
      </c>
      <c r="M976" s="21">
        <f ca="1">LEFT(Music_Data[[#This Row],[Duration_minutes]],3)/60</f>
        <v>4.3499999999999996</v>
      </c>
      <c r="N976" s="17">
        <v>0.61199999999999999</v>
      </c>
      <c r="O976" s="17" t="str">
        <f ca="1">PROPER(Music_Data[[#This Row],[Playlist_subgenre2]])</f>
        <v>Global</v>
      </c>
    </row>
    <row r="977" spans="1:15">
      <c r="A977" s="17">
        <v>0.41299999999999998</v>
      </c>
      <c r="B977" s="21">
        <v>949</v>
      </c>
      <c r="C977" s="16">
        <v>0.49399999999999999</v>
      </c>
      <c r="D977" s="16" t="str">
        <f ca="1">PROPER(Music_Data[[#This Row],[Playlist_genre2]])</f>
        <v>Pop</v>
      </c>
      <c r="E977" s="17">
        <v>0.27300000000000002</v>
      </c>
      <c r="F977" t="s">
        <v>148</v>
      </c>
      <c r="G977">
        <v>93</v>
      </c>
      <c r="H977" t="s">
        <v>6368</v>
      </c>
      <c r="I977" t="s">
        <v>152</v>
      </c>
      <c r="J977" s="22">
        <v>45499</v>
      </c>
      <c r="K977">
        <v>1</v>
      </c>
      <c r="L977">
        <v>11</v>
      </c>
      <c r="M977" s="21">
        <f ca="1">LEFT(Music_Data[[#This Row],[Duration_minutes]],3)/60</f>
        <v>3.5166666666666666</v>
      </c>
      <c r="N977" s="17">
        <v>0.68200000000000005</v>
      </c>
      <c r="O977" s="17" t="str">
        <f ca="1">PROPER(Music_Data[[#This Row],[Playlist_subgenre2]])</f>
        <v>Global</v>
      </c>
    </row>
    <row r="978" spans="1:15">
      <c r="A978" s="17">
        <v>0.80800000000000005</v>
      </c>
      <c r="B978" s="21">
        <v>108</v>
      </c>
      <c r="C978" s="16">
        <v>0.55400000000000005</v>
      </c>
      <c r="D978" s="16" t="str">
        <f ca="1">PROPER(Music_Data[[#This Row],[Playlist_genre2]])</f>
        <v>Pop</v>
      </c>
      <c r="E978" s="17">
        <v>0.372</v>
      </c>
      <c r="F978" t="s">
        <v>66</v>
      </c>
      <c r="G978">
        <v>93</v>
      </c>
      <c r="H978" t="s">
        <v>39</v>
      </c>
      <c r="I978" t="s">
        <v>73</v>
      </c>
      <c r="J978" s="22">
        <v>45583</v>
      </c>
      <c r="K978">
        <v>1</v>
      </c>
      <c r="L978">
        <v>1</v>
      </c>
      <c r="M978" s="21">
        <f ca="1">LEFT(Music_Data[[#This Row],[Duration_minutes]],3)/60</f>
        <v>2.7666666666666666</v>
      </c>
      <c r="N978" s="17">
        <v>0.214</v>
      </c>
      <c r="O978" s="17" t="str">
        <f ca="1">PROPER(Music_Data[[#This Row],[Playlist_subgenre2]])</f>
        <v>Mainstream</v>
      </c>
    </row>
    <row r="979" spans="1:15">
      <c r="A979" s="17">
        <v>0.80800000000000005</v>
      </c>
      <c r="B979" s="21">
        <v>108</v>
      </c>
      <c r="C979" s="16">
        <v>0.55400000000000005</v>
      </c>
      <c r="D979" s="16" t="str">
        <f ca="1">PROPER(Music_Data[[#This Row],[Playlist_genre2]])</f>
        <v>Pop</v>
      </c>
      <c r="E979" s="17">
        <v>0.372</v>
      </c>
      <c r="F979" t="s">
        <v>66</v>
      </c>
      <c r="G979">
        <v>93</v>
      </c>
      <c r="H979" t="s">
        <v>6368</v>
      </c>
      <c r="I979" t="s">
        <v>73</v>
      </c>
      <c r="J979" s="22">
        <v>45583</v>
      </c>
      <c r="K979">
        <v>1</v>
      </c>
      <c r="L979">
        <v>1</v>
      </c>
      <c r="M979" s="21">
        <f ca="1">LEFT(Music_Data[[#This Row],[Duration_minutes]],3)/60</f>
        <v>2.7666666666666666</v>
      </c>
      <c r="N979" s="17">
        <v>0.214</v>
      </c>
      <c r="O979" s="17" t="str">
        <f ca="1">PROPER(Music_Data[[#This Row],[Playlist_subgenre2]])</f>
        <v>Global</v>
      </c>
    </row>
    <row r="980" spans="1:15">
      <c r="A980" s="17">
        <v>0.66800000000000004</v>
      </c>
      <c r="B980" s="21">
        <v>128</v>
      </c>
      <c r="C980" s="16">
        <v>0.92400000000000004</v>
      </c>
      <c r="D980" s="16" t="str">
        <f ca="1">PROPER(Music_Data[[#This Row],[Playlist_genre2]])</f>
        <v>Pop</v>
      </c>
      <c r="E980" s="17">
        <v>0.78700000000000003</v>
      </c>
      <c r="F980" t="s">
        <v>541</v>
      </c>
      <c r="G980">
        <v>93</v>
      </c>
      <c r="H980" t="s">
        <v>39</v>
      </c>
      <c r="I980" t="s">
        <v>545</v>
      </c>
      <c r="J980" s="22">
        <v>45464</v>
      </c>
      <c r="K980">
        <v>1</v>
      </c>
      <c r="L980">
        <v>11</v>
      </c>
      <c r="M980" s="21">
        <f ca="1">LEFT(Music_Data[[#This Row],[Duration_minutes]],3)/60</f>
        <v>3.25</v>
      </c>
      <c r="N980" s="17">
        <v>0.44600000000000001</v>
      </c>
      <c r="O980" s="17" t="str">
        <f ca="1">PROPER(Music_Data[[#This Row],[Playlist_subgenre2]])</f>
        <v>Mainstream</v>
      </c>
    </row>
    <row r="981" spans="1:15">
      <c r="A981" s="17">
        <v>0.66800000000000004</v>
      </c>
      <c r="B981" s="21">
        <v>128</v>
      </c>
      <c r="C981" s="16">
        <v>0.92400000000000004</v>
      </c>
      <c r="D981" s="16" t="str">
        <f ca="1">PROPER(Music_Data[[#This Row],[Playlist_genre2]])</f>
        <v>Pop</v>
      </c>
      <c r="E981" s="17">
        <v>0.78700000000000003</v>
      </c>
      <c r="F981" t="s">
        <v>541</v>
      </c>
      <c r="G981">
        <v>93</v>
      </c>
      <c r="H981" t="s">
        <v>6368</v>
      </c>
      <c r="I981" t="s">
        <v>545</v>
      </c>
      <c r="J981" s="22">
        <v>45464</v>
      </c>
      <c r="K981">
        <v>1</v>
      </c>
      <c r="L981">
        <v>11</v>
      </c>
      <c r="M981" s="21">
        <f ca="1">LEFT(Music_Data[[#This Row],[Duration_minutes]],3)/60</f>
        <v>3.25</v>
      </c>
      <c r="N981" s="17">
        <v>0.44600000000000001</v>
      </c>
      <c r="O981" s="17" t="str">
        <f ca="1">PROPER(Music_Data[[#This Row],[Playlist_subgenre2]])</f>
        <v>Global</v>
      </c>
    </row>
    <row r="982" spans="1:15">
      <c r="A982" s="17">
        <v>0.65100000000000002</v>
      </c>
      <c r="B982" s="21">
        <v>112</v>
      </c>
      <c r="C982" s="16">
        <v>0.69399999999999995</v>
      </c>
      <c r="D982" s="16" t="str">
        <f ca="1">PROPER(Music_Data[[#This Row],[Playlist_genre2]])</f>
        <v>Pop</v>
      </c>
      <c r="E982" s="17">
        <v>0.47099999999999997</v>
      </c>
      <c r="F982" t="s">
        <v>425</v>
      </c>
      <c r="G982">
        <v>93</v>
      </c>
      <c r="H982" t="s">
        <v>39</v>
      </c>
      <c r="I982" t="s">
        <v>429</v>
      </c>
      <c r="J982" s="22">
        <v>45561</v>
      </c>
      <c r="K982">
        <v>1</v>
      </c>
      <c r="L982">
        <v>6</v>
      </c>
      <c r="M982" s="21">
        <f ca="1">LEFT(Music_Data[[#This Row],[Duration_minutes]],3)/60</f>
        <v>3.75</v>
      </c>
      <c r="N982" s="17">
        <v>0.496</v>
      </c>
      <c r="O982" s="17" t="str">
        <f ca="1">PROPER(Music_Data[[#This Row],[Playlist_subgenre2]])</f>
        <v>Mainstream</v>
      </c>
    </row>
    <row r="983" spans="1:15">
      <c r="A983" s="17">
        <v>0.65100000000000002</v>
      </c>
      <c r="B983" s="21">
        <v>112</v>
      </c>
      <c r="C983" s="16">
        <v>0.69399999999999995</v>
      </c>
      <c r="D983" s="16" t="str">
        <f ca="1">PROPER(Music_Data[[#This Row],[Playlist_genre2]])</f>
        <v>Pop</v>
      </c>
      <c r="E983" s="17">
        <v>0.47099999999999997</v>
      </c>
      <c r="F983" t="s">
        <v>425</v>
      </c>
      <c r="G983">
        <v>93</v>
      </c>
      <c r="H983" t="s">
        <v>6368</v>
      </c>
      <c r="I983" t="s">
        <v>429</v>
      </c>
      <c r="J983" s="22">
        <v>45561</v>
      </c>
      <c r="K983">
        <v>1</v>
      </c>
      <c r="L983">
        <v>6</v>
      </c>
      <c r="M983" s="21">
        <f ca="1">LEFT(Music_Data[[#This Row],[Duration_minutes]],3)/60</f>
        <v>3.75</v>
      </c>
      <c r="N983" s="17">
        <v>0.496</v>
      </c>
      <c r="O983" s="17" t="str">
        <f ca="1">PROPER(Music_Data[[#This Row],[Playlist_subgenre2]])</f>
        <v>Global</v>
      </c>
    </row>
    <row r="984" spans="1:15">
      <c r="A984" s="17">
        <v>0.90700000000000003</v>
      </c>
      <c r="B984" s="21">
        <v>112</v>
      </c>
      <c r="C984" s="16">
        <v>0.67400000000000004</v>
      </c>
      <c r="D984" s="16" t="str">
        <f ca="1">PROPER(Music_Data[[#This Row],[Playlist_genre2]])</f>
        <v>Pop</v>
      </c>
      <c r="E984" s="17">
        <v>0.72099999999999997</v>
      </c>
      <c r="F984" t="s">
        <v>81</v>
      </c>
      <c r="G984">
        <v>93</v>
      </c>
      <c r="H984" t="s">
        <v>6368</v>
      </c>
      <c r="I984" t="s">
        <v>88</v>
      </c>
      <c r="J984" s="22">
        <v>45527</v>
      </c>
      <c r="K984">
        <v>1</v>
      </c>
      <c r="L984">
        <v>3</v>
      </c>
      <c r="M984" s="21">
        <f ca="1">LEFT(Music_Data[[#This Row],[Duration_minutes]],3)/60</f>
        <v>2.6166666666666667</v>
      </c>
      <c r="N984" s="17">
        <v>0.10100000000000001</v>
      </c>
      <c r="O984" s="17" t="str">
        <f ca="1">PROPER(Music_Data[[#This Row],[Playlist_subgenre2]])</f>
        <v>Global</v>
      </c>
    </row>
    <row r="985" spans="1:15">
      <c r="A985" s="17">
        <v>0.75600000000000001</v>
      </c>
      <c r="B985" s="21">
        <v>116</v>
      </c>
      <c r="C985" s="16">
        <v>0.66</v>
      </c>
      <c r="D985" s="16" t="str">
        <f ca="1">PROPER(Music_Data[[#This Row],[Playlist_genre2]])</f>
        <v>Pop</v>
      </c>
      <c r="E985" s="17">
        <v>0.83799999999999997</v>
      </c>
      <c r="F985" t="s">
        <v>656</v>
      </c>
      <c r="G985">
        <v>92</v>
      </c>
      <c r="H985" t="s">
        <v>39</v>
      </c>
      <c r="I985" t="s">
        <v>663</v>
      </c>
      <c r="J985" s="22">
        <v>45492</v>
      </c>
      <c r="K985">
        <v>0</v>
      </c>
      <c r="L985">
        <v>0</v>
      </c>
      <c r="M985" s="21">
        <f ca="1">LEFT(Music_Data[[#This Row],[Duration_minutes]],3)/60</f>
        <v>2.8333333333333335</v>
      </c>
      <c r="N985" s="17">
        <v>2.8900000000000002E-3</v>
      </c>
      <c r="O985" s="17" t="str">
        <f ca="1">PROPER(Music_Data[[#This Row],[Playlist_subgenre2]])</f>
        <v>Mainstream</v>
      </c>
    </row>
    <row r="986" spans="1:15">
      <c r="A986" s="17">
        <v>0.75600000000000001</v>
      </c>
      <c r="B986" s="21">
        <v>116</v>
      </c>
      <c r="C986" s="16">
        <v>0.66</v>
      </c>
      <c r="D986" s="16" t="str">
        <f ca="1">PROPER(Music_Data[[#This Row],[Playlist_genre2]])</f>
        <v>Pop</v>
      </c>
      <c r="E986" s="17">
        <v>0.83799999999999997</v>
      </c>
      <c r="F986" t="s">
        <v>656</v>
      </c>
      <c r="G986">
        <v>92</v>
      </c>
      <c r="H986" t="s">
        <v>6368</v>
      </c>
      <c r="I986" t="s">
        <v>663</v>
      </c>
      <c r="J986" s="22">
        <v>45492</v>
      </c>
      <c r="K986">
        <v>0</v>
      </c>
      <c r="L986">
        <v>0</v>
      </c>
      <c r="M986" s="21">
        <f ca="1">LEFT(Music_Data[[#This Row],[Duration_minutes]],3)/60</f>
        <v>2.8333333333333335</v>
      </c>
      <c r="N986" s="17">
        <v>2.8900000000000002E-3</v>
      </c>
      <c r="O986" s="17" t="str">
        <f ca="1">PROPER(Music_Data[[#This Row],[Playlist_subgenre2]])</f>
        <v>Global</v>
      </c>
    </row>
    <row r="987" spans="1:15">
      <c r="A987" s="17">
        <v>0.72199999999999998</v>
      </c>
      <c r="B987" s="21">
        <v>119</v>
      </c>
      <c r="C987" s="16">
        <v>0.76900000000000002</v>
      </c>
      <c r="D987" s="16" t="str">
        <f ca="1">PROPER(Music_Data[[#This Row],[Playlist_genre2]])</f>
        <v>Pop</v>
      </c>
      <c r="E987" s="17">
        <v>0.56999999999999995</v>
      </c>
      <c r="F987" t="s">
        <v>162</v>
      </c>
      <c r="G987">
        <v>92</v>
      </c>
      <c r="H987" t="s">
        <v>39</v>
      </c>
      <c r="I987" t="s">
        <v>169</v>
      </c>
      <c r="J987" s="22">
        <v>45562</v>
      </c>
      <c r="K987">
        <v>0</v>
      </c>
      <c r="L987">
        <v>11</v>
      </c>
      <c r="M987" s="21">
        <f ca="1">LEFT(Music_Data[[#This Row],[Duration_minutes]],3)/60</f>
        <v>4.2666666666666666</v>
      </c>
      <c r="N987" s="17">
        <v>5.8400000000000001E-2</v>
      </c>
      <c r="O987" s="17" t="str">
        <f ca="1">PROPER(Music_Data[[#This Row],[Playlist_subgenre2]])</f>
        <v>Mainstream</v>
      </c>
    </row>
    <row r="988" spans="1:15">
      <c r="A988" s="17">
        <v>0.72199999999999998</v>
      </c>
      <c r="B988" s="21">
        <v>119</v>
      </c>
      <c r="C988" s="16">
        <v>0.76900000000000002</v>
      </c>
      <c r="D988" s="16" t="str">
        <f ca="1">PROPER(Music_Data[[#This Row],[Playlist_genre2]])</f>
        <v>Pop</v>
      </c>
      <c r="E988" s="17">
        <v>0.56999999999999995</v>
      </c>
      <c r="F988" t="s">
        <v>162</v>
      </c>
      <c r="G988">
        <v>92</v>
      </c>
      <c r="H988" t="s">
        <v>6368</v>
      </c>
      <c r="I988" t="s">
        <v>169</v>
      </c>
      <c r="J988" s="22">
        <v>45562</v>
      </c>
      <c r="K988">
        <v>0</v>
      </c>
      <c r="L988">
        <v>11</v>
      </c>
      <c r="M988" s="21">
        <f ca="1">LEFT(Music_Data[[#This Row],[Duration_minutes]],3)/60</f>
        <v>4.2666666666666666</v>
      </c>
      <c r="N988" s="17">
        <v>5.8400000000000001E-2</v>
      </c>
      <c r="O988" s="17" t="str">
        <f ca="1">PROPER(Music_Data[[#This Row],[Playlist_subgenre2]])</f>
        <v>Global</v>
      </c>
    </row>
    <row r="989" spans="1:15">
      <c r="A989" s="17">
        <v>0.41699999999999998</v>
      </c>
      <c r="B989" s="21">
        <v>675</v>
      </c>
      <c r="C989" s="16">
        <v>0.46400000000000002</v>
      </c>
      <c r="D989" s="16" t="str">
        <f ca="1">PROPER(Music_Data[[#This Row],[Playlist_genre2]])</f>
        <v>Pop</v>
      </c>
      <c r="E989" s="17">
        <v>0.47899999999999998</v>
      </c>
      <c r="F989" t="s">
        <v>3458</v>
      </c>
      <c r="G989">
        <v>90</v>
      </c>
      <c r="H989" t="s">
        <v>6368</v>
      </c>
      <c r="I989" t="s">
        <v>6452</v>
      </c>
      <c r="J989" s="22">
        <v>41526</v>
      </c>
      <c r="K989">
        <v>0</v>
      </c>
      <c r="L989">
        <v>0</v>
      </c>
      <c r="M989" s="21">
        <f ca="1">LEFT(Music_Data[[#This Row],[Duration_minutes]],3)/60</f>
        <v>3.05</v>
      </c>
      <c r="N989" s="17">
        <v>0.13600000000000001</v>
      </c>
      <c r="O989" s="17" t="str">
        <f ca="1">PROPER(Music_Data[[#This Row],[Playlist_subgenre2]])</f>
        <v>Global</v>
      </c>
    </row>
    <row r="990" spans="1:15">
      <c r="A990" s="17">
        <v>0.40600000000000003</v>
      </c>
      <c r="B990" s="21">
        <v>115</v>
      </c>
      <c r="C990" s="16">
        <v>0.53</v>
      </c>
      <c r="D990" s="16" t="str">
        <f ca="1">PROPER(Music_Data[[#This Row],[Playlist_genre2]])</f>
        <v>Pop</v>
      </c>
      <c r="E990" s="17">
        <v>0.33800000000000002</v>
      </c>
      <c r="F990" t="s">
        <v>66</v>
      </c>
      <c r="G990">
        <v>90</v>
      </c>
      <c r="H990" t="s">
        <v>39</v>
      </c>
      <c r="I990" t="s">
        <v>287</v>
      </c>
      <c r="J990" s="22">
        <v>45464</v>
      </c>
      <c r="K990">
        <v>1</v>
      </c>
      <c r="L990">
        <v>10</v>
      </c>
      <c r="M990" s="21">
        <f ca="1">LEFT(Music_Data[[#This Row],[Duration_minutes]],3)/60</f>
        <v>2.6166666666666667</v>
      </c>
      <c r="N990" s="17">
        <v>0.65600000000000003</v>
      </c>
      <c r="O990" s="17" t="str">
        <f ca="1">PROPER(Music_Data[[#This Row],[Playlist_subgenre2]])</f>
        <v>Mainstream</v>
      </c>
    </row>
    <row r="991" spans="1:15">
      <c r="A991" s="17">
        <v>0.40600000000000003</v>
      </c>
      <c r="B991" s="21">
        <v>115</v>
      </c>
      <c r="C991" s="16">
        <v>0.53</v>
      </c>
      <c r="D991" s="16" t="str">
        <f ca="1">PROPER(Music_Data[[#This Row],[Playlist_genre2]])</f>
        <v>Pop</v>
      </c>
      <c r="E991" s="17">
        <v>0.33800000000000002</v>
      </c>
      <c r="F991" t="s">
        <v>66</v>
      </c>
      <c r="G991">
        <v>90</v>
      </c>
      <c r="H991" t="s">
        <v>6368</v>
      </c>
      <c r="I991" t="s">
        <v>287</v>
      </c>
      <c r="J991" s="22">
        <v>45464</v>
      </c>
      <c r="K991">
        <v>1</v>
      </c>
      <c r="L991">
        <v>10</v>
      </c>
      <c r="M991" s="21">
        <f ca="1">LEFT(Music_Data[[#This Row],[Duration_minutes]],3)/60</f>
        <v>2.6166666666666667</v>
      </c>
      <c r="N991" s="17">
        <v>0.65600000000000003</v>
      </c>
      <c r="O991" s="17" t="str">
        <f ca="1">PROPER(Music_Data[[#This Row],[Playlist_subgenre2]])</f>
        <v>Global</v>
      </c>
    </row>
    <row r="992" spans="1:15">
      <c r="A992" s="17">
        <v>0.76</v>
      </c>
      <c r="B992" s="21">
        <v>103</v>
      </c>
      <c r="C992" s="16">
        <v>0.70099999999999996</v>
      </c>
      <c r="D992" s="16" t="str">
        <f ca="1">PROPER(Music_Data[[#This Row],[Playlist_genre2]])</f>
        <v>Pop</v>
      </c>
      <c r="E992" s="17">
        <v>0.69</v>
      </c>
      <c r="F992" t="s">
        <v>81</v>
      </c>
      <c r="G992">
        <v>90</v>
      </c>
      <c r="H992" t="s">
        <v>39</v>
      </c>
      <c r="I992" t="s">
        <v>326</v>
      </c>
      <c r="J992" s="22">
        <v>45394</v>
      </c>
      <c r="K992">
        <v>1</v>
      </c>
      <c r="L992">
        <v>0</v>
      </c>
      <c r="M992" s="21">
        <f ca="1">LEFT(Music_Data[[#This Row],[Duration_minutes]],3)/60</f>
        <v>2.9166666666666665</v>
      </c>
      <c r="N992" s="17">
        <v>0.107</v>
      </c>
      <c r="O992" s="17" t="str">
        <f ca="1">PROPER(Music_Data[[#This Row],[Playlist_subgenre2]])</f>
        <v>Mainstream</v>
      </c>
    </row>
    <row r="993" spans="1:15">
      <c r="A993" s="17">
        <v>0.72699999999999998</v>
      </c>
      <c r="B993" s="21">
        <v>949</v>
      </c>
      <c r="C993" s="16">
        <v>0.73899999999999999</v>
      </c>
      <c r="D993" s="16" t="str">
        <f ca="1">PROPER(Music_Data[[#This Row],[Playlist_genre2]])</f>
        <v>Pop</v>
      </c>
      <c r="E993" s="17">
        <v>0.67600000000000005</v>
      </c>
      <c r="F993" t="s">
        <v>81</v>
      </c>
      <c r="G993">
        <v>90</v>
      </c>
      <c r="H993" t="s">
        <v>6368</v>
      </c>
      <c r="I993" t="s">
        <v>6497</v>
      </c>
      <c r="J993" s="22">
        <v>45527</v>
      </c>
      <c r="K993">
        <v>0</v>
      </c>
      <c r="L993">
        <v>11</v>
      </c>
      <c r="M993" s="21">
        <f ca="1">LEFT(Music_Data[[#This Row],[Duration_minutes]],3)/60</f>
        <v>2.85</v>
      </c>
      <c r="N993" s="17">
        <v>6.7799999999999999E-2</v>
      </c>
      <c r="O993" s="17" t="str">
        <f ca="1">PROPER(Music_Data[[#This Row],[Playlist_subgenre2]])</f>
        <v>Global</v>
      </c>
    </row>
    <row r="994" spans="1:15">
      <c r="A994" s="17">
        <v>0.80700000000000005</v>
      </c>
      <c r="B994" s="21">
        <v>124</v>
      </c>
      <c r="C994" s="16">
        <v>0.61199999999999999</v>
      </c>
      <c r="D994" s="16" t="str">
        <f ca="1">PROPER(Music_Data[[#This Row],[Playlist_genre2]])</f>
        <v>Pop</v>
      </c>
      <c r="E994" s="17">
        <v>0.39800000000000002</v>
      </c>
      <c r="F994" t="s">
        <v>6436</v>
      </c>
      <c r="G994">
        <v>90</v>
      </c>
      <c r="H994" t="s">
        <v>6368</v>
      </c>
      <c r="I994" t="s">
        <v>6442</v>
      </c>
      <c r="J994" s="22">
        <v>41386</v>
      </c>
      <c r="K994">
        <v>1</v>
      </c>
      <c r="L994">
        <v>10</v>
      </c>
      <c r="M994" s="21">
        <f ca="1">LEFT(Music_Data[[#This Row],[Duration_minutes]],3)/60</f>
        <v>4</v>
      </c>
      <c r="N994" s="17">
        <v>4.9500000000000002E-2</v>
      </c>
      <c r="O994" s="17" t="str">
        <f ca="1">PROPER(Music_Data[[#This Row],[Playlist_subgenre2]])</f>
        <v>Global</v>
      </c>
    </row>
    <row r="995" spans="1:15">
      <c r="A995" s="17">
        <v>0.55900000000000005</v>
      </c>
      <c r="B995" s="21">
        <v>785</v>
      </c>
      <c r="C995" s="16">
        <v>0.55800000000000005</v>
      </c>
      <c r="D995" s="16" t="str">
        <f ca="1">PROPER(Music_Data[[#This Row],[Playlist_genre2]])</f>
        <v>Pop</v>
      </c>
      <c r="E995" s="17">
        <v>0.62</v>
      </c>
      <c r="F995" t="s">
        <v>6455</v>
      </c>
      <c r="G995">
        <v>90</v>
      </c>
      <c r="H995" t="s">
        <v>6368</v>
      </c>
      <c r="I995" t="s">
        <v>6462</v>
      </c>
      <c r="J995" s="22">
        <v>42937</v>
      </c>
      <c r="K995">
        <v>1</v>
      </c>
      <c r="L995">
        <v>6</v>
      </c>
      <c r="M995" s="21">
        <f ca="1">LEFT(Music_Data[[#This Row],[Duration_minutes]],3)/60</f>
        <v>3</v>
      </c>
      <c r="N995" s="17">
        <v>0.371</v>
      </c>
      <c r="O995" s="17" t="str">
        <f ca="1">PROPER(Music_Data[[#This Row],[Playlist_subgenre2]])</f>
        <v>Global</v>
      </c>
    </row>
    <row r="996" spans="1:15">
      <c r="A996" s="17">
        <v>0.47099999999999997</v>
      </c>
      <c r="B996" s="21">
        <v>105</v>
      </c>
      <c r="C996" s="16">
        <v>0.47199999999999998</v>
      </c>
      <c r="D996" s="16" t="str">
        <f ca="1">PROPER(Music_Data[[#This Row],[Playlist_genre2]])</f>
        <v>Pop</v>
      </c>
      <c r="E996" s="17">
        <v>0.219</v>
      </c>
      <c r="F996" t="s">
        <v>478</v>
      </c>
      <c r="G996">
        <v>89</v>
      </c>
      <c r="H996" t="s">
        <v>6368</v>
      </c>
      <c r="I996" t="s">
        <v>482</v>
      </c>
      <c r="J996" s="22">
        <v>45387</v>
      </c>
      <c r="K996">
        <v>1</v>
      </c>
      <c r="L996">
        <v>10</v>
      </c>
      <c r="M996" s="21">
        <f ca="1">LEFT(Music_Data[[#This Row],[Duration_minutes]],3)/60</f>
        <v>3</v>
      </c>
      <c r="N996" s="17">
        <v>0.151</v>
      </c>
      <c r="O996" s="17" t="str">
        <f ca="1">PROPER(Music_Data[[#This Row],[Playlist_subgenre2]])</f>
        <v>Global</v>
      </c>
    </row>
    <row r="997" spans="1:15">
      <c r="A997" s="17">
        <v>0.69799999999999995</v>
      </c>
      <c r="B997" s="21">
        <v>143</v>
      </c>
      <c r="C997" s="16">
        <v>0.72599999999999998</v>
      </c>
      <c r="D997" s="16" t="str">
        <f ca="1">PROPER(Music_Data[[#This Row],[Playlist_genre2]])</f>
        <v>Pop</v>
      </c>
      <c r="E997" s="17">
        <v>0.86699999999999999</v>
      </c>
      <c r="F997" t="s">
        <v>6476</v>
      </c>
      <c r="G997">
        <v>89</v>
      </c>
      <c r="H997" t="s">
        <v>6368</v>
      </c>
      <c r="I997" t="s">
        <v>6490</v>
      </c>
      <c r="J997" s="22">
        <v>41250</v>
      </c>
      <c r="K997">
        <v>1</v>
      </c>
      <c r="L997">
        <v>5</v>
      </c>
      <c r="M997" s="21">
        <f ca="1">LEFT(Music_Data[[#This Row],[Duration_minutes]],3)/60</f>
        <v>3.8833333333333333</v>
      </c>
      <c r="N997" s="17">
        <v>4.9000000000000002E-2</v>
      </c>
      <c r="O997" s="17" t="str">
        <f ca="1">PROPER(Music_Data[[#This Row],[Playlist_subgenre2]])</f>
        <v>Global</v>
      </c>
    </row>
    <row r="998" spans="1:15">
      <c r="A998" s="17">
        <v>0.69799999999999995</v>
      </c>
      <c r="B998" s="21">
        <v>143</v>
      </c>
      <c r="C998" s="16">
        <v>0.72599999999999998</v>
      </c>
      <c r="D998" s="16" t="str">
        <f ca="1">PROPER(Music_Data[[#This Row],[Playlist_genre2]])</f>
        <v>Pop</v>
      </c>
      <c r="E998" s="17">
        <v>0.86699999999999999</v>
      </c>
      <c r="F998" t="s">
        <v>6476</v>
      </c>
      <c r="G998">
        <v>89</v>
      </c>
      <c r="H998" t="s">
        <v>7830</v>
      </c>
      <c r="I998" t="s">
        <v>6490</v>
      </c>
      <c r="J998" s="22">
        <v>41250</v>
      </c>
      <c r="K998">
        <v>1</v>
      </c>
      <c r="L998">
        <v>5</v>
      </c>
      <c r="M998" s="21">
        <f ca="1">LEFT(Music_Data[[#This Row],[Duration_minutes]],3)/60</f>
        <v>3.8833333333333333</v>
      </c>
      <c r="N998" s="17">
        <v>4.9000000000000002E-2</v>
      </c>
      <c r="O998" s="17" t="str">
        <f ca="1">PROPER(Music_Data[[#This Row],[Playlist_subgenre2]])</f>
        <v>Throwback</v>
      </c>
    </row>
    <row r="999" spans="1:15">
      <c r="A999" s="17">
        <v>0.66100000000000003</v>
      </c>
      <c r="B999" s="21">
        <v>173</v>
      </c>
      <c r="C999" s="16">
        <v>0.42899999999999999</v>
      </c>
      <c r="D999" s="16" t="str">
        <f ca="1">PROPER(Music_Data[[#This Row],[Playlist_genre2]])</f>
        <v>Pop</v>
      </c>
      <c r="E999" s="17">
        <v>0.28499999999999998</v>
      </c>
      <c r="F999" t="s">
        <v>6465</v>
      </c>
      <c r="G999">
        <v>89</v>
      </c>
      <c r="H999" t="s">
        <v>6368</v>
      </c>
      <c r="I999" t="s">
        <v>6471</v>
      </c>
      <c r="J999" s="22">
        <v>36717</v>
      </c>
      <c r="K999">
        <v>1</v>
      </c>
      <c r="L999">
        <v>11</v>
      </c>
      <c r="M999" s="21">
        <f ca="1">LEFT(Music_Data[[#This Row],[Duration_minutes]],3)/60</f>
        <v>4.4333333333333336</v>
      </c>
      <c r="N999" s="17">
        <v>2.3900000000000002E-3</v>
      </c>
      <c r="O999" s="17" t="str">
        <f ca="1">PROPER(Music_Data[[#This Row],[Playlist_subgenre2]])</f>
        <v>Global</v>
      </c>
    </row>
    <row r="1000" spans="1:15">
      <c r="A1000" s="17">
        <v>0.66100000000000003</v>
      </c>
      <c r="B1000" s="21">
        <v>173</v>
      </c>
      <c r="C1000" s="16">
        <v>0.42899999999999999</v>
      </c>
      <c r="D1000" s="16" t="str">
        <f ca="1">PROPER(Music_Data[[#This Row],[Playlist_genre2]])</f>
        <v>Pop</v>
      </c>
      <c r="E1000" s="17">
        <v>0.28499999999999998</v>
      </c>
      <c r="F1000" t="s">
        <v>6465</v>
      </c>
      <c r="G1000">
        <v>89</v>
      </c>
      <c r="H1000" t="s">
        <v>7053</v>
      </c>
      <c r="I1000" t="s">
        <v>6471</v>
      </c>
      <c r="J1000" s="22">
        <v>36717</v>
      </c>
      <c r="K1000">
        <v>1</v>
      </c>
      <c r="L1000">
        <v>11</v>
      </c>
      <c r="M1000" s="21">
        <f ca="1">LEFT(Music_Data[[#This Row],[Duration_minutes]],3)/60</f>
        <v>4.4333333333333336</v>
      </c>
      <c r="N1000" s="17">
        <v>2.3900000000000002E-3</v>
      </c>
      <c r="O1000" s="17" t="str">
        <f ca="1">PROPER(Music_Data[[#This Row],[Playlist_subgenre2]])</f>
        <v>Soft</v>
      </c>
    </row>
    <row r="1001" spans="1:15">
      <c r="A1001" s="17">
        <v>0.45400000000000001</v>
      </c>
      <c r="B1001" s="21">
        <v>159</v>
      </c>
      <c r="C1001" s="16">
        <v>0.68899999999999995</v>
      </c>
      <c r="D1001" s="16" t="str">
        <f ca="1">PROPER(Music_Data[[#This Row],[Playlist_genre2]])</f>
        <v>Pop</v>
      </c>
      <c r="E1001" s="17">
        <v>0.91200000000000003</v>
      </c>
      <c r="F1001" t="s">
        <v>555</v>
      </c>
      <c r="G1001">
        <v>89</v>
      </c>
      <c r="H1001" t="s">
        <v>39</v>
      </c>
      <c r="I1001" t="s">
        <v>561</v>
      </c>
      <c r="J1001" s="22">
        <v>44820</v>
      </c>
      <c r="K1001">
        <v>1</v>
      </c>
      <c r="L1001">
        <v>2</v>
      </c>
      <c r="M1001" s="21">
        <f ca="1">LEFT(Music_Data[[#This Row],[Duration_minutes]],3)/60</f>
        <v>2.65</v>
      </c>
      <c r="N1001" s="17">
        <v>3.5099999999999999E-2</v>
      </c>
      <c r="O1001" s="17" t="str">
        <f ca="1">PROPER(Music_Data[[#This Row],[Playlist_subgenre2]])</f>
        <v>Mainstream</v>
      </c>
    </row>
    <row r="1002" spans="1:15">
      <c r="A1002" s="17">
        <v>0.45400000000000001</v>
      </c>
      <c r="B1002" s="21">
        <v>159</v>
      </c>
      <c r="C1002" s="16">
        <v>0.68899999999999995</v>
      </c>
      <c r="D1002" s="16" t="str">
        <f ca="1">PROPER(Music_Data[[#This Row],[Playlist_genre2]])</f>
        <v>Pop</v>
      </c>
      <c r="E1002" s="17">
        <v>0.91200000000000003</v>
      </c>
      <c r="F1002" t="s">
        <v>555</v>
      </c>
      <c r="G1002">
        <v>89</v>
      </c>
      <c r="H1002" t="s">
        <v>7053</v>
      </c>
      <c r="I1002" t="s">
        <v>561</v>
      </c>
      <c r="J1002" s="22">
        <v>44820</v>
      </c>
      <c r="K1002">
        <v>1</v>
      </c>
      <c r="L1002">
        <v>2</v>
      </c>
      <c r="M1002" s="21">
        <f ca="1">LEFT(Music_Data[[#This Row],[Duration_minutes]],3)/60</f>
        <v>2.65</v>
      </c>
      <c r="N1002" s="17">
        <v>3.5099999999999999E-2</v>
      </c>
      <c r="O1002" s="17" t="str">
        <f ca="1">PROPER(Music_Data[[#This Row],[Playlist_subgenre2]])</f>
        <v>Soft</v>
      </c>
    </row>
    <row r="1003" spans="1:15">
      <c r="A1003" s="17">
        <v>0.72499999999999998</v>
      </c>
      <c r="B1003" s="21">
        <v>116</v>
      </c>
      <c r="C1003" s="16">
        <v>0.89400000000000002</v>
      </c>
      <c r="D1003" s="16" t="str">
        <f ca="1">PROPER(Music_Data[[#This Row],[Playlist_genre2]])</f>
        <v>Pop</v>
      </c>
      <c r="E1003" s="17">
        <v>0.83799999999999997</v>
      </c>
      <c r="F1003" t="s">
        <v>336</v>
      </c>
      <c r="G1003">
        <v>89</v>
      </c>
      <c r="H1003" t="s">
        <v>39</v>
      </c>
      <c r="I1003" t="s">
        <v>340</v>
      </c>
      <c r="J1003" s="22">
        <v>45575</v>
      </c>
      <c r="K1003">
        <v>0</v>
      </c>
      <c r="L1003">
        <v>10</v>
      </c>
      <c r="M1003" s="21">
        <f ca="1">LEFT(Music_Data[[#This Row],[Duration_minutes]],3)/60</f>
        <v>2.2666666666666666</v>
      </c>
      <c r="N1003" s="17">
        <v>4.3400000000000001E-3</v>
      </c>
      <c r="O1003" s="17" t="str">
        <f ca="1">PROPER(Music_Data[[#This Row],[Playlist_subgenre2]])</f>
        <v>Mainstream</v>
      </c>
    </row>
    <row r="1004" spans="1:15">
      <c r="A1004" s="17">
        <v>0.872</v>
      </c>
      <c r="B1004" s="21">
        <v>184</v>
      </c>
      <c r="C1004" s="16">
        <v>0.46600000000000003</v>
      </c>
      <c r="D1004" s="16" t="str">
        <f ca="1">PROPER(Music_Data[[#This Row],[Playlist_genre2]])</f>
        <v>Pop</v>
      </c>
      <c r="E1004" s="17">
        <v>0.80600000000000005</v>
      </c>
      <c r="F1004" t="s">
        <v>644</v>
      </c>
      <c r="G1004">
        <v>89</v>
      </c>
      <c r="H1004" t="s">
        <v>39</v>
      </c>
      <c r="I1004" t="s">
        <v>648</v>
      </c>
      <c r="J1004" s="22">
        <v>45540</v>
      </c>
      <c r="K1004">
        <v>1</v>
      </c>
      <c r="L1004">
        <v>7</v>
      </c>
      <c r="M1004" s="21">
        <f ca="1">LEFT(Music_Data[[#This Row],[Duration_minutes]],3)/60</f>
        <v>3.1666666666666665</v>
      </c>
      <c r="N1004" s="17">
        <v>1.5599999999999999E-2</v>
      </c>
      <c r="O1004" s="17" t="str">
        <f ca="1">PROPER(Music_Data[[#This Row],[Playlist_subgenre2]])</f>
        <v>Mainstream</v>
      </c>
    </row>
    <row r="1005" spans="1:15">
      <c r="A1005" s="17">
        <v>0.68100000000000005</v>
      </c>
      <c r="B1005" s="21">
        <v>155</v>
      </c>
      <c r="C1005" s="16">
        <v>0.56000000000000005</v>
      </c>
      <c r="D1005" s="16" t="str">
        <f ca="1">PROPER(Music_Data[[#This Row],[Playlist_genre2]])</f>
        <v>Pop</v>
      </c>
      <c r="E1005" s="17">
        <v>0.38800000000000001</v>
      </c>
      <c r="F1005" t="s">
        <v>584</v>
      </c>
      <c r="G1005">
        <v>89</v>
      </c>
      <c r="H1005" t="s">
        <v>39</v>
      </c>
      <c r="I1005" t="s">
        <v>591</v>
      </c>
      <c r="J1005" s="22">
        <v>45555</v>
      </c>
      <c r="K1005">
        <v>0</v>
      </c>
      <c r="L1005">
        <v>6</v>
      </c>
      <c r="M1005" s="21">
        <f ca="1">LEFT(Music_Data[[#This Row],[Duration_minutes]],3)/60</f>
        <v>3.7166666666666668</v>
      </c>
      <c r="N1005" s="17">
        <v>0.10299999999999999</v>
      </c>
      <c r="O1005" s="17" t="str">
        <f ca="1">PROPER(Music_Data[[#This Row],[Playlist_subgenre2]])</f>
        <v>Mainstream</v>
      </c>
    </row>
    <row r="1006" spans="1:15">
      <c r="A1006" s="17">
        <v>0.52</v>
      </c>
      <c r="B1006" s="21">
        <v>120</v>
      </c>
      <c r="C1006" s="16">
        <v>0.67200000000000004</v>
      </c>
      <c r="D1006" s="16" t="str">
        <f ca="1">PROPER(Music_Data[[#This Row],[Playlist_genre2]])</f>
        <v>Pop</v>
      </c>
      <c r="E1006" s="17">
        <v>0.37</v>
      </c>
      <c r="F1006" t="s">
        <v>6505</v>
      </c>
      <c r="G1006">
        <v>89</v>
      </c>
      <c r="H1006" t="s">
        <v>6368</v>
      </c>
      <c r="I1006" t="s">
        <v>6511</v>
      </c>
      <c r="J1006" s="22">
        <v>41960</v>
      </c>
      <c r="K1006">
        <v>1</v>
      </c>
      <c r="L1006">
        <v>8</v>
      </c>
      <c r="M1006" s="21">
        <f ca="1">LEFT(Music_Data[[#This Row],[Duration_minutes]],3)/60</f>
        <v>3.7666666666666666</v>
      </c>
      <c r="N1006" s="17">
        <v>0.85899999999999999</v>
      </c>
      <c r="O1006" s="17" t="str">
        <f ca="1">PROPER(Music_Data[[#This Row],[Playlist_subgenre2]])</f>
        <v>Global</v>
      </c>
    </row>
    <row r="1007" spans="1:15">
      <c r="A1007" s="17">
        <v>0.52</v>
      </c>
      <c r="B1007" s="21">
        <v>120</v>
      </c>
      <c r="C1007" s="16">
        <v>0.67200000000000004</v>
      </c>
      <c r="D1007" s="16" t="str">
        <f ca="1">PROPER(Music_Data[[#This Row],[Playlist_genre2]])</f>
        <v>Pop</v>
      </c>
      <c r="E1007" s="17">
        <v>0.37</v>
      </c>
      <c r="F1007" t="s">
        <v>6505</v>
      </c>
      <c r="G1007">
        <v>89</v>
      </c>
      <c r="H1007" t="s">
        <v>7053</v>
      </c>
      <c r="I1007" t="s">
        <v>6511</v>
      </c>
      <c r="J1007" s="22">
        <v>41960</v>
      </c>
      <c r="K1007">
        <v>1</v>
      </c>
      <c r="L1007">
        <v>8</v>
      </c>
      <c r="M1007" s="21">
        <f ca="1">LEFT(Music_Data[[#This Row],[Duration_minutes]],3)/60</f>
        <v>3.7666666666666666</v>
      </c>
      <c r="N1007" s="17">
        <v>0.85899999999999999</v>
      </c>
      <c r="O1007" s="17" t="str">
        <f ca="1">PROPER(Music_Data[[#This Row],[Playlist_subgenre2]])</f>
        <v>Soft</v>
      </c>
    </row>
    <row r="1008" spans="1:15">
      <c r="A1008" s="17">
        <v>0.60399999999999998</v>
      </c>
      <c r="B1008" s="21">
        <v>159</v>
      </c>
      <c r="C1008" s="16">
        <v>0.56100000000000005</v>
      </c>
      <c r="D1008" s="16" t="str">
        <f ca="1">PROPER(Music_Data[[#This Row],[Playlist_genre2]])</f>
        <v>Pop</v>
      </c>
      <c r="E1008" s="17">
        <v>0.24199999999999999</v>
      </c>
      <c r="F1008" t="s">
        <v>516</v>
      </c>
      <c r="G1008">
        <v>89</v>
      </c>
      <c r="H1008" t="s">
        <v>39</v>
      </c>
      <c r="I1008" t="s">
        <v>523</v>
      </c>
      <c r="J1008" s="22">
        <v>45184</v>
      </c>
      <c r="K1008">
        <v>1</v>
      </c>
      <c r="L1008">
        <v>9</v>
      </c>
      <c r="M1008" s="21">
        <f ca="1">LEFT(Music_Data[[#This Row],[Duration_minutes]],3)/60</f>
        <v>3.5</v>
      </c>
      <c r="N1008" s="17">
        <v>0.19900000000000001</v>
      </c>
      <c r="O1008" s="17" t="str">
        <f ca="1">PROPER(Music_Data[[#This Row],[Playlist_subgenre2]])</f>
        <v>Mainstream</v>
      </c>
    </row>
    <row r="1009" spans="1:15">
      <c r="A1009" s="17">
        <v>0.60399999999999998</v>
      </c>
      <c r="B1009" s="21">
        <v>159</v>
      </c>
      <c r="C1009" s="16">
        <v>0.56100000000000005</v>
      </c>
      <c r="D1009" s="16" t="str">
        <f ca="1">PROPER(Music_Data[[#This Row],[Playlist_genre2]])</f>
        <v>Pop</v>
      </c>
      <c r="E1009" s="17">
        <v>0.24199999999999999</v>
      </c>
      <c r="F1009" t="s">
        <v>516</v>
      </c>
      <c r="G1009">
        <v>89</v>
      </c>
      <c r="H1009" t="s">
        <v>6368</v>
      </c>
      <c r="I1009" t="s">
        <v>523</v>
      </c>
      <c r="J1009" s="22">
        <v>45184</v>
      </c>
      <c r="K1009">
        <v>1</v>
      </c>
      <c r="L1009">
        <v>9</v>
      </c>
      <c r="M1009" s="21">
        <f ca="1">LEFT(Music_Data[[#This Row],[Duration_minutes]],3)/60</f>
        <v>3.5</v>
      </c>
      <c r="N1009" s="17">
        <v>0.19900000000000001</v>
      </c>
      <c r="O1009" s="17" t="str">
        <f ca="1">PROPER(Music_Data[[#This Row],[Playlist_subgenre2]])</f>
        <v>Global</v>
      </c>
    </row>
    <row r="1010" spans="1:15">
      <c r="A1010" s="17">
        <v>0.64</v>
      </c>
      <c r="B1010" s="21">
        <v>848</v>
      </c>
      <c r="C1010" s="16">
        <v>0.26400000000000001</v>
      </c>
      <c r="D1010" s="16" t="str">
        <f ca="1">PROPER(Music_Data[[#This Row],[Playlist_genre2]])</f>
        <v>Pop</v>
      </c>
      <c r="E1010" s="17">
        <v>0.19</v>
      </c>
      <c r="F1010" t="s">
        <v>6522</v>
      </c>
      <c r="G1010">
        <v>89</v>
      </c>
      <c r="H1010" t="s">
        <v>6368</v>
      </c>
      <c r="I1010" t="s">
        <v>6528</v>
      </c>
      <c r="J1010" s="22">
        <v>45100</v>
      </c>
      <c r="K1010">
        <v>1</v>
      </c>
      <c r="L1010">
        <v>8</v>
      </c>
      <c r="M1010" s="21">
        <f ca="1">LEFT(Music_Data[[#This Row],[Duration_minutes]],3)/60</f>
        <v>4.0666666666666664</v>
      </c>
      <c r="N1010" s="17">
        <v>3.9300000000000002E-2</v>
      </c>
      <c r="O1010" s="17" t="str">
        <f ca="1">PROPER(Music_Data[[#This Row],[Playlist_subgenre2]])</f>
        <v>Global</v>
      </c>
    </row>
    <row r="1011" spans="1:15">
      <c r="A1011" s="17">
        <v>0.68899999999999995</v>
      </c>
      <c r="B1011" s="21">
        <v>120</v>
      </c>
      <c r="C1011" s="16">
        <v>0.72399999999999998</v>
      </c>
      <c r="D1011" s="16" t="str">
        <f ca="1">PROPER(Music_Data[[#This Row],[Playlist_genre2]])</f>
        <v>Pop</v>
      </c>
      <c r="E1011" s="17">
        <v>0.93600000000000005</v>
      </c>
      <c r="F1011" t="s">
        <v>3217</v>
      </c>
      <c r="G1011">
        <v>89</v>
      </c>
      <c r="H1011" t="s">
        <v>6368</v>
      </c>
      <c r="I1011" t="s">
        <v>3224</v>
      </c>
      <c r="J1011" s="22">
        <v>45526</v>
      </c>
      <c r="K1011">
        <v>0</v>
      </c>
      <c r="L1011">
        <v>7</v>
      </c>
      <c r="M1011" s="21">
        <f ca="1">LEFT(Music_Data[[#This Row],[Duration_minutes]],3)/60</f>
        <v>2.4333333333333331</v>
      </c>
      <c r="N1011" s="17">
        <v>0.57299999999999995</v>
      </c>
      <c r="O1011" s="17" t="str">
        <f ca="1">PROPER(Music_Data[[#This Row],[Playlist_subgenre2]])</f>
        <v>Global</v>
      </c>
    </row>
    <row r="1012" spans="1:15">
      <c r="A1012" s="17">
        <v>0.56100000000000005</v>
      </c>
      <c r="B1012" s="21">
        <v>150</v>
      </c>
      <c r="C1012" s="16">
        <v>0.66900000000000004</v>
      </c>
      <c r="D1012" s="16" t="str">
        <f ca="1">PROPER(Music_Data[[#This Row],[Playlist_genre2]])</f>
        <v>Pop</v>
      </c>
      <c r="E1012" s="17">
        <v>0.84099999999999997</v>
      </c>
      <c r="F1012" t="s">
        <v>122</v>
      </c>
      <c r="G1012">
        <v>88</v>
      </c>
      <c r="H1012" t="s">
        <v>39</v>
      </c>
      <c r="I1012" t="s">
        <v>126</v>
      </c>
      <c r="J1012" s="22">
        <v>45513</v>
      </c>
      <c r="K1012">
        <v>1</v>
      </c>
      <c r="L1012">
        <v>10</v>
      </c>
      <c r="M1012" s="21">
        <f ca="1">LEFT(Music_Data[[#This Row],[Duration_minutes]],3)/60</f>
        <v>2.8166666666666669</v>
      </c>
      <c r="N1012" s="17">
        <v>0.495</v>
      </c>
      <c r="O1012" s="17" t="str">
        <f ca="1">PROPER(Music_Data[[#This Row],[Playlist_subgenre2]])</f>
        <v>Mainstream</v>
      </c>
    </row>
    <row r="1013" spans="1:15">
      <c r="A1013" s="17">
        <v>0.56000000000000005</v>
      </c>
      <c r="B1013" s="21">
        <v>134</v>
      </c>
      <c r="C1013" s="16">
        <v>0.85299999999999998</v>
      </c>
      <c r="D1013" s="16" t="str">
        <f ca="1">PROPER(Music_Data[[#This Row],[Playlist_genre2]])</f>
        <v>Pop</v>
      </c>
      <c r="E1013" s="17">
        <v>0.86</v>
      </c>
      <c r="F1013" t="s">
        <v>6476</v>
      </c>
      <c r="G1013">
        <v>88</v>
      </c>
      <c r="H1013" t="s">
        <v>6368</v>
      </c>
      <c r="I1013" t="s">
        <v>6483</v>
      </c>
      <c r="J1013" s="22">
        <v>42691</v>
      </c>
      <c r="K1013">
        <v>1</v>
      </c>
      <c r="L1013">
        <v>1</v>
      </c>
      <c r="M1013" s="21">
        <f ca="1">LEFT(Music_Data[[#This Row],[Duration_minutes]],3)/60</f>
        <v>3.4333333333333331</v>
      </c>
      <c r="N1013" s="17">
        <v>1.2999999999999999E-2</v>
      </c>
      <c r="O1013" s="17" t="str">
        <f ca="1">PROPER(Music_Data[[#This Row],[Playlist_subgenre2]])</f>
        <v>Global</v>
      </c>
    </row>
    <row r="1014" spans="1:15">
      <c r="A1014" s="17">
        <v>0.75700000000000001</v>
      </c>
      <c r="B1014" s="21">
        <v>139</v>
      </c>
      <c r="C1014" s="16">
        <v>0.74199999999999999</v>
      </c>
      <c r="D1014" s="16" t="str">
        <f ca="1">PROPER(Music_Data[[#This Row],[Playlist_genre2]])</f>
        <v>Pop</v>
      </c>
      <c r="E1014" s="17">
        <v>0.95699999999999996</v>
      </c>
      <c r="F1014" t="s">
        <v>109</v>
      </c>
      <c r="G1014">
        <v>88</v>
      </c>
      <c r="H1014" t="s">
        <v>39</v>
      </c>
      <c r="I1014" t="s">
        <v>235</v>
      </c>
      <c r="J1014" s="22">
        <v>45191</v>
      </c>
      <c r="K1014">
        <v>1</v>
      </c>
      <c r="L1014">
        <v>6</v>
      </c>
      <c r="M1014" s="21">
        <f ca="1">LEFT(Music_Data[[#This Row],[Duration_minutes]],3)/60</f>
        <v>3.0666666666666669</v>
      </c>
      <c r="N1014" s="17">
        <v>1.8700000000000001E-2</v>
      </c>
      <c r="O1014" s="17" t="str">
        <f ca="1">PROPER(Music_Data[[#This Row],[Playlist_subgenre2]])</f>
        <v>Mainstream</v>
      </c>
    </row>
    <row r="1015" spans="1:15">
      <c r="A1015" s="17">
        <v>0.47199999999999998</v>
      </c>
      <c r="B1015" s="21">
        <v>101</v>
      </c>
      <c r="C1015" s="16">
        <v>0.89800000000000002</v>
      </c>
      <c r="D1015" s="16" t="str">
        <f ca="1">PROPER(Music_Data[[#This Row],[Playlist_genre2]])</f>
        <v>Pop</v>
      </c>
      <c r="E1015" s="17">
        <v>0.214</v>
      </c>
      <c r="F1015" t="s">
        <v>596</v>
      </c>
      <c r="G1015">
        <v>88</v>
      </c>
      <c r="H1015" t="s">
        <v>39</v>
      </c>
      <c r="I1015" t="s">
        <v>600</v>
      </c>
      <c r="J1015" s="22">
        <v>45416</v>
      </c>
      <c r="K1015">
        <v>1</v>
      </c>
      <c r="L1015">
        <v>1</v>
      </c>
      <c r="M1015" s="21">
        <f ca="1">LEFT(Music_Data[[#This Row],[Duration_minutes]],3)/60</f>
        <v>4.5666666666666664</v>
      </c>
      <c r="N1015" s="17">
        <v>1.0699999999999999E-2</v>
      </c>
      <c r="O1015" s="17" t="str">
        <f ca="1">PROPER(Music_Data[[#This Row],[Playlist_subgenre2]])</f>
        <v>Mainstream</v>
      </c>
    </row>
    <row r="1016" spans="1:15">
      <c r="A1016" s="17">
        <v>0.86399999999999999</v>
      </c>
      <c r="B1016" s="21">
        <v>105</v>
      </c>
      <c r="C1016" s="16">
        <v>0.55600000000000005</v>
      </c>
      <c r="D1016" s="16" t="str">
        <f ca="1">PROPER(Music_Data[[#This Row],[Playlist_genre2]])</f>
        <v>Pop</v>
      </c>
      <c r="E1016" s="17">
        <v>0.4</v>
      </c>
      <c r="F1016" t="s">
        <v>644</v>
      </c>
      <c r="G1016">
        <v>88</v>
      </c>
      <c r="H1016" t="s">
        <v>6368</v>
      </c>
      <c r="I1016" t="s">
        <v>6572</v>
      </c>
      <c r="J1016" s="22">
        <v>2000</v>
      </c>
      <c r="K1016">
        <v>0</v>
      </c>
      <c r="L1016">
        <v>3</v>
      </c>
      <c r="M1016" s="21">
        <f ca="1">LEFT(Music_Data[[#This Row],[Duration_minutes]],3)/60</f>
        <v>3.6</v>
      </c>
      <c r="N1016" s="17">
        <v>9.58E-3</v>
      </c>
      <c r="O1016" s="17" t="str">
        <f ca="1">PROPER(Music_Data[[#This Row],[Playlist_subgenre2]])</f>
        <v>Global</v>
      </c>
    </row>
    <row r="1017" spans="1:15">
      <c r="A1017" s="17">
        <v>0.36899999999999999</v>
      </c>
      <c r="B1017" s="21">
        <v>174</v>
      </c>
      <c r="C1017" s="16">
        <v>0.44800000000000001</v>
      </c>
      <c r="D1017" s="16" t="str">
        <f ca="1">PROPER(Music_Data[[#This Row],[Playlist_genre2]])</f>
        <v>Pop</v>
      </c>
      <c r="E1017" s="17">
        <v>9.98E-2</v>
      </c>
      <c r="F1017" t="s">
        <v>6427</v>
      </c>
      <c r="G1017">
        <v>88</v>
      </c>
      <c r="H1017" t="s">
        <v>6368</v>
      </c>
      <c r="I1017" t="s">
        <v>6433</v>
      </c>
      <c r="J1017" s="22">
        <v>42100</v>
      </c>
      <c r="K1017">
        <v>1</v>
      </c>
      <c r="L1017">
        <v>9</v>
      </c>
      <c r="M1017" s="21">
        <f ca="1">LEFT(Music_Data[[#This Row],[Duration_minutes]],3)/60</f>
        <v>3.4666666666666668</v>
      </c>
      <c r="N1017" s="17">
        <v>0.96799999999999997</v>
      </c>
      <c r="O1017" s="17" t="str">
        <f ca="1">PROPER(Music_Data[[#This Row],[Playlist_subgenre2]])</f>
        <v>Global</v>
      </c>
    </row>
    <row r="1018" spans="1:15">
      <c r="A1018" s="17">
        <v>0.60099999999999998</v>
      </c>
      <c r="B1018" s="21">
        <v>123</v>
      </c>
      <c r="C1018" s="16">
        <v>0.63500000000000001</v>
      </c>
      <c r="D1018" s="16" t="str">
        <f ca="1">PROPER(Music_Data[[#This Row],[Playlist_genre2]])</f>
        <v>Pop</v>
      </c>
      <c r="E1018" s="17">
        <v>0.33200000000000002</v>
      </c>
      <c r="F1018" t="s">
        <v>439</v>
      </c>
      <c r="G1018">
        <v>88</v>
      </c>
      <c r="H1018" t="s">
        <v>39</v>
      </c>
      <c r="I1018" t="s">
        <v>442</v>
      </c>
      <c r="J1018" s="22">
        <v>45422</v>
      </c>
      <c r="K1018">
        <v>0</v>
      </c>
      <c r="L1018">
        <v>1</v>
      </c>
      <c r="M1018" s="21">
        <f ca="1">LEFT(Music_Data[[#This Row],[Duration_minutes]],3)/60</f>
        <v>2.8666666666666667</v>
      </c>
      <c r="N1018" s="17">
        <v>0.246</v>
      </c>
      <c r="O1018" s="17" t="str">
        <f ca="1">PROPER(Music_Data[[#This Row],[Playlist_subgenre2]])</f>
        <v>Mainstream</v>
      </c>
    </row>
    <row r="1019" spans="1:15">
      <c r="A1019" s="17">
        <v>0.58599999999999997</v>
      </c>
      <c r="B1019" s="21">
        <v>107</v>
      </c>
      <c r="C1019" s="16">
        <v>0.66900000000000004</v>
      </c>
      <c r="D1019" s="16" t="str">
        <f ca="1">PROPER(Music_Data[[#This Row],[Playlist_genre2]])</f>
        <v>Pop</v>
      </c>
      <c r="E1019" s="17">
        <v>0.57899999999999996</v>
      </c>
      <c r="F1019" t="s">
        <v>81</v>
      </c>
      <c r="G1019">
        <v>88</v>
      </c>
      <c r="H1019" t="s">
        <v>39</v>
      </c>
      <c r="I1019" t="s">
        <v>194</v>
      </c>
      <c r="J1019" s="22">
        <v>45449</v>
      </c>
      <c r="K1019">
        <v>1</v>
      </c>
      <c r="L1019">
        <v>9</v>
      </c>
      <c r="M1019" s="21">
        <f ca="1">LEFT(Music_Data[[#This Row],[Duration_minutes]],3)/60</f>
        <v>3.1</v>
      </c>
      <c r="N1019" s="17">
        <v>0.27400000000000002</v>
      </c>
      <c r="O1019" s="17" t="str">
        <f ca="1">PROPER(Music_Data[[#This Row],[Playlist_subgenre2]])</f>
        <v>Mainstream</v>
      </c>
    </row>
    <row r="1020" spans="1:15">
      <c r="A1020" s="17">
        <v>0.77600000000000002</v>
      </c>
      <c r="B1020" s="21">
        <v>103</v>
      </c>
      <c r="C1020" s="16">
        <v>0.69899999999999995</v>
      </c>
      <c r="D1020" s="16" t="str">
        <f ca="1">PROPER(Music_Data[[#This Row],[Playlist_genre2]])</f>
        <v>Pop</v>
      </c>
      <c r="E1020" s="17">
        <v>0.70799999999999996</v>
      </c>
      <c r="F1020" t="s">
        <v>81</v>
      </c>
      <c r="G1020">
        <v>88</v>
      </c>
      <c r="H1020" t="s">
        <v>6368</v>
      </c>
      <c r="I1020" t="s">
        <v>326</v>
      </c>
      <c r="J1020" s="22">
        <v>45527</v>
      </c>
      <c r="K1020">
        <v>1</v>
      </c>
      <c r="L1020">
        <v>0</v>
      </c>
      <c r="M1020" s="21">
        <f ca="1">LEFT(Music_Data[[#This Row],[Duration_minutes]],3)/60</f>
        <v>2.9166666666666665</v>
      </c>
      <c r="N1020" s="17">
        <v>0.13100000000000001</v>
      </c>
      <c r="O1020" s="17" t="str">
        <f ca="1">PROPER(Music_Data[[#This Row],[Playlist_subgenre2]])</f>
        <v>Global</v>
      </c>
    </row>
    <row r="1021" spans="1:15">
      <c r="A1021" s="17">
        <v>0.75700000000000001</v>
      </c>
      <c r="B1021" s="21">
        <v>142</v>
      </c>
      <c r="C1021" s="16">
        <v>0.48199999999999998</v>
      </c>
      <c r="D1021" s="16" t="str">
        <f ca="1">PROPER(Music_Data[[#This Row],[Playlist_genre2]])</f>
        <v>Pop</v>
      </c>
      <c r="E1021" s="17">
        <v>0.12</v>
      </c>
      <c r="F1021" t="s">
        <v>6546</v>
      </c>
      <c r="G1021">
        <v>88</v>
      </c>
      <c r="H1021" t="s">
        <v>6368</v>
      </c>
      <c r="I1021" t="s">
        <v>6552</v>
      </c>
      <c r="J1021" s="22">
        <v>45240</v>
      </c>
      <c r="K1021">
        <v>1</v>
      </c>
      <c r="L1021">
        <v>6</v>
      </c>
      <c r="M1021" s="21">
        <f ca="1">LEFT(Music_Data[[#This Row],[Duration_minutes]],3)/60</f>
        <v>14.483333333333333</v>
      </c>
      <c r="N1021" s="17">
        <v>1.37E-2</v>
      </c>
      <c r="O1021" s="17" t="str">
        <f ca="1">PROPER(Music_Data[[#This Row],[Playlist_subgenre2]])</f>
        <v>Global</v>
      </c>
    </row>
    <row r="1022" spans="1:15">
      <c r="A1022" s="17">
        <v>0.51300000000000001</v>
      </c>
      <c r="B1022" s="21">
        <v>109</v>
      </c>
      <c r="C1022" s="16">
        <v>0.745</v>
      </c>
      <c r="D1022" s="16" t="str">
        <f ca="1">PROPER(Music_Data[[#This Row],[Playlist_genre2]])</f>
        <v>Pop</v>
      </c>
      <c r="E1022" s="17">
        <v>0.92900000000000005</v>
      </c>
      <c r="F1022" t="s">
        <v>3332</v>
      </c>
      <c r="G1022">
        <v>88</v>
      </c>
      <c r="H1022" t="s">
        <v>6368</v>
      </c>
      <c r="I1022" t="s">
        <v>3337</v>
      </c>
      <c r="J1022" s="22">
        <v>45526</v>
      </c>
      <c r="K1022">
        <v>1</v>
      </c>
      <c r="L1022">
        <v>1</v>
      </c>
      <c r="M1022" s="21">
        <f ca="1">LEFT(Music_Data[[#This Row],[Duration_minutes]],3)/60</f>
        <v>2.5666666666666669</v>
      </c>
      <c r="N1022" s="17">
        <v>0.78300000000000003</v>
      </c>
      <c r="O1022" s="17" t="str">
        <f ca="1">PROPER(Music_Data[[#This Row],[Playlist_subgenre2]])</f>
        <v>Global</v>
      </c>
    </row>
    <row r="1023" spans="1:15">
      <c r="A1023" s="17">
        <v>0.81200000000000006</v>
      </c>
      <c r="B1023" s="21">
        <v>800</v>
      </c>
      <c r="C1023" s="16">
        <v>0.505</v>
      </c>
      <c r="D1023" s="16" t="str">
        <f ca="1">PROPER(Music_Data[[#This Row],[Playlist_genre2]])</f>
        <v>Pop</v>
      </c>
      <c r="E1023" s="17">
        <v>0.66400000000000003</v>
      </c>
      <c r="F1023" t="s">
        <v>309</v>
      </c>
      <c r="G1023">
        <v>88</v>
      </c>
      <c r="H1023" t="s">
        <v>39</v>
      </c>
      <c r="I1023" t="s">
        <v>316</v>
      </c>
      <c r="J1023" s="22">
        <v>45593</v>
      </c>
      <c r="K1023">
        <v>1</v>
      </c>
      <c r="L1023">
        <v>1</v>
      </c>
      <c r="M1023" s="21">
        <f ca="1">LEFT(Music_Data[[#This Row],[Duration_minutes]],3)/60</f>
        <v>4.25</v>
      </c>
      <c r="N1023" s="17">
        <v>0.28499999999999998</v>
      </c>
      <c r="O1023" s="17" t="str">
        <f ca="1">PROPER(Music_Data[[#This Row],[Playlist_subgenre2]])</f>
        <v>Mainstream</v>
      </c>
    </row>
    <row r="1024" spans="1:15">
      <c r="A1024" s="17">
        <v>0.81200000000000006</v>
      </c>
      <c r="B1024" s="21">
        <v>800</v>
      </c>
      <c r="C1024" s="16">
        <v>0.505</v>
      </c>
      <c r="D1024" s="16" t="str">
        <f ca="1">PROPER(Music_Data[[#This Row],[Playlist_genre2]])</f>
        <v>Pop</v>
      </c>
      <c r="E1024" s="17">
        <v>0.66400000000000003</v>
      </c>
      <c r="F1024" t="s">
        <v>309</v>
      </c>
      <c r="G1024">
        <v>88</v>
      </c>
      <c r="H1024" t="s">
        <v>6368</v>
      </c>
      <c r="I1024" t="s">
        <v>316</v>
      </c>
      <c r="J1024" s="22">
        <v>45593</v>
      </c>
      <c r="K1024">
        <v>1</v>
      </c>
      <c r="L1024">
        <v>1</v>
      </c>
      <c r="M1024" s="21">
        <f ca="1">LEFT(Music_Data[[#This Row],[Duration_minutes]],3)/60</f>
        <v>4.25</v>
      </c>
      <c r="N1024" s="17">
        <v>0.28499999999999998</v>
      </c>
      <c r="O1024" s="17" t="str">
        <f ca="1">PROPER(Music_Data[[#This Row],[Playlist_subgenre2]])</f>
        <v>Global</v>
      </c>
    </row>
    <row r="1025" spans="1:15">
      <c r="A1025" s="17">
        <v>0.28000000000000003</v>
      </c>
      <c r="B1025" s="21">
        <v>727</v>
      </c>
      <c r="C1025" s="16">
        <v>0.61199999999999999</v>
      </c>
      <c r="D1025" s="16" t="str">
        <f ca="1">PROPER(Music_Data[[#This Row],[Playlist_genre2]])</f>
        <v>Pop</v>
      </c>
      <c r="E1025" s="17">
        <v>0.38700000000000001</v>
      </c>
      <c r="F1025" t="s">
        <v>6476</v>
      </c>
      <c r="G1025">
        <v>87</v>
      </c>
      <c r="H1025" t="s">
        <v>7053</v>
      </c>
      <c r="I1025" t="s">
        <v>7121</v>
      </c>
      <c r="J1025" s="22">
        <v>41250</v>
      </c>
      <c r="K1025">
        <v>1</v>
      </c>
      <c r="L1025">
        <v>0</v>
      </c>
      <c r="M1025" s="21">
        <f ca="1">LEFT(Music_Data[[#This Row],[Duration_minutes]],3)/60</f>
        <v>3.55</v>
      </c>
      <c r="N1025" s="17">
        <v>0.93200000000000005</v>
      </c>
      <c r="O1025" s="17" t="str">
        <f ca="1">PROPER(Music_Data[[#This Row],[Playlist_subgenre2]])</f>
        <v>Soft</v>
      </c>
    </row>
    <row r="1026" spans="1:15">
      <c r="A1026" s="17">
        <v>0.627</v>
      </c>
      <c r="B1026" s="21">
        <v>150</v>
      </c>
      <c r="C1026" s="16">
        <v>0.33600000000000002</v>
      </c>
      <c r="D1026" s="16" t="str">
        <f ca="1">PROPER(Music_Data[[#This Row],[Playlist_genre2]])</f>
        <v>Pop</v>
      </c>
      <c r="E1026" s="17">
        <v>0.35</v>
      </c>
      <c r="F1026" t="s">
        <v>6394</v>
      </c>
      <c r="G1026">
        <v>87</v>
      </c>
      <c r="H1026" t="s">
        <v>6368</v>
      </c>
      <c r="I1026" t="s">
        <v>6400</v>
      </c>
      <c r="J1026" s="22">
        <v>34635</v>
      </c>
      <c r="K1026">
        <v>1</v>
      </c>
      <c r="L1026">
        <v>7</v>
      </c>
      <c r="M1026" s="21">
        <f ca="1">LEFT(Music_Data[[#This Row],[Duration_minutes]],3)/60</f>
        <v>4.0166666666666666</v>
      </c>
      <c r="N1026" s="17">
        <v>0.16400000000000001</v>
      </c>
      <c r="O1026" s="17" t="str">
        <f ca="1">PROPER(Music_Data[[#This Row],[Playlist_subgenre2]])</f>
        <v>Global</v>
      </c>
    </row>
    <row r="1027" spans="1:15">
      <c r="A1027" s="17">
        <v>0.64500000000000002</v>
      </c>
      <c r="B1027" s="21">
        <v>114</v>
      </c>
      <c r="C1027" s="16">
        <v>0.88200000000000001</v>
      </c>
      <c r="D1027" s="16" t="str">
        <f ca="1">PROPER(Music_Data[[#This Row],[Playlist_genre2]])</f>
        <v>Pop</v>
      </c>
      <c r="E1027" s="17">
        <v>0.78800000000000003</v>
      </c>
      <c r="F1027" t="s">
        <v>632</v>
      </c>
      <c r="G1027">
        <v>87</v>
      </c>
      <c r="H1027" t="s">
        <v>39</v>
      </c>
      <c r="I1027" t="s">
        <v>636</v>
      </c>
      <c r="J1027" s="22">
        <v>45527</v>
      </c>
      <c r="K1027">
        <v>1</v>
      </c>
      <c r="L1027">
        <v>1</v>
      </c>
      <c r="M1027" s="21">
        <f ca="1">LEFT(Music_Data[[#This Row],[Duration_minutes]],3)/60</f>
        <v>1.7333333333333334</v>
      </c>
      <c r="N1027" s="17">
        <v>0.47499999999999998</v>
      </c>
      <c r="O1027" s="17" t="str">
        <f ca="1">PROPER(Music_Data[[#This Row],[Playlist_subgenre2]])</f>
        <v>Mainstream</v>
      </c>
    </row>
    <row r="1028" spans="1:15">
      <c r="A1028" s="17">
        <v>0.5</v>
      </c>
      <c r="B1028" s="21">
        <v>117</v>
      </c>
      <c r="C1028" s="16">
        <v>0.66400000000000003</v>
      </c>
      <c r="D1028" s="16" t="str">
        <f ca="1">PROPER(Music_Data[[#This Row],[Playlist_genre2]])</f>
        <v>Pop</v>
      </c>
      <c r="E1028" s="17">
        <v>0.80100000000000005</v>
      </c>
      <c r="F1028" t="s">
        <v>7108</v>
      </c>
      <c r="G1028">
        <v>87</v>
      </c>
      <c r="H1028" t="s">
        <v>7053</v>
      </c>
      <c r="I1028" t="s">
        <v>7112</v>
      </c>
      <c r="J1028" s="22">
        <v>44848</v>
      </c>
      <c r="K1028">
        <v>1</v>
      </c>
      <c r="L1028">
        <v>9</v>
      </c>
      <c r="M1028" s="21">
        <f ca="1">LEFT(Music_Data[[#This Row],[Duration_minutes]],3)/60</f>
        <v>3.0333333333333332</v>
      </c>
      <c r="N1028" s="17">
        <v>0.79900000000000004</v>
      </c>
      <c r="O1028" s="17" t="str">
        <f ca="1">PROPER(Music_Data[[#This Row],[Playlist_subgenre2]])</f>
        <v>Soft</v>
      </c>
    </row>
    <row r="1029" spans="1:15">
      <c r="A1029" s="17">
        <v>0.58599999999999997</v>
      </c>
      <c r="B1029" s="21">
        <v>107</v>
      </c>
      <c r="C1029" s="16">
        <v>0.67500000000000004</v>
      </c>
      <c r="D1029" s="16" t="str">
        <f ca="1">PROPER(Music_Data[[#This Row],[Playlist_genre2]])</f>
        <v>Pop</v>
      </c>
      <c r="E1029" s="17">
        <v>0.621</v>
      </c>
      <c r="F1029" t="s">
        <v>81</v>
      </c>
      <c r="G1029">
        <v>87</v>
      </c>
      <c r="H1029" t="s">
        <v>6368</v>
      </c>
      <c r="I1029" t="s">
        <v>194</v>
      </c>
      <c r="J1029" s="22">
        <v>45527</v>
      </c>
      <c r="K1029">
        <v>1</v>
      </c>
      <c r="L1029">
        <v>9</v>
      </c>
      <c r="M1029" s="21">
        <f ca="1">LEFT(Music_Data[[#This Row],[Duration_minutes]],3)/60</f>
        <v>3.1</v>
      </c>
      <c r="N1029" s="17">
        <v>0.25700000000000001</v>
      </c>
      <c r="O1029" s="17" t="str">
        <f ca="1">PROPER(Music_Data[[#This Row],[Playlist_subgenre2]])</f>
        <v>Global</v>
      </c>
    </row>
    <row r="1030" spans="1:15">
      <c r="A1030" s="17">
        <v>0.72499999999999998</v>
      </c>
      <c r="B1030" s="21">
        <v>130</v>
      </c>
      <c r="C1030" s="16">
        <v>0.63300000000000001</v>
      </c>
      <c r="D1030" s="16" t="str">
        <f ca="1">PROPER(Music_Data[[#This Row],[Playlist_genre2]])</f>
        <v>Pop</v>
      </c>
      <c r="E1030" s="17">
        <v>0.64</v>
      </c>
      <c r="F1030" t="s">
        <v>81</v>
      </c>
      <c r="G1030">
        <v>87</v>
      </c>
      <c r="H1030" t="s">
        <v>6368</v>
      </c>
      <c r="I1030" t="s">
        <v>6585</v>
      </c>
      <c r="J1030" s="22">
        <v>45527</v>
      </c>
      <c r="K1030">
        <v>1</v>
      </c>
      <c r="L1030">
        <v>5</v>
      </c>
      <c r="M1030" s="21">
        <f ca="1">LEFT(Music_Data[[#This Row],[Duration_minutes]],3)/60</f>
        <v>3.7166666666666668</v>
      </c>
      <c r="N1030" s="17">
        <v>4.6100000000000002E-2</v>
      </c>
      <c r="O1030" s="17" t="str">
        <f ca="1">PROPER(Music_Data[[#This Row],[Playlist_subgenre2]])</f>
        <v>Global</v>
      </c>
    </row>
    <row r="1031" spans="1:15">
      <c r="A1031" s="17">
        <v>0.71499999999999997</v>
      </c>
      <c r="B1031" s="21">
        <v>155</v>
      </c>
      <c r="C1031" s="16">
        <v>0.315</v>
      </c>
      <c r="D1031" s="16" t="str">
        <f ca="1">PROPER(Music_Data[[#This Row],[Playlist_genre2]])</f>
        <v>Pop</v>
      </c>
      <c r="E1031" s="17">
        <v>0.497</v>
      </c>
      <c r="F1031" t="s">
        <v>6557</v>
      </c>
      <c r="G1031">
        <v>87</v>
      </c>
      <c r="H1031" t="s">
        <v>6368</v>
      </c>
      <c r="I1031" t="s">
        <v>6564</v>
      </c>
      <c r="J1031" s="22">
        <v>1998</v>
      </c>
      <c r="K1031">
        <v>0</v>
      </c>
      <c r="L1031">
        <v>11</v>
      </c>
      <c r="M1031" s="21">
        <f ca="1">LEFT(Music_Data[[#This Row],[Duration_minutes]],3)/60</f>
        <v>4.8166666666666664</v>
      </c>
      <c r="N1031" s="17">
        <v>1.25E-3</v>
      </c>
      <c r="O1031" s="17" t="str">
        <f ca="1">PROPER(Music_Data[[#This Row],[Playlist_subgenre2]])</f>
        <v>Global</v>
      </c>
    </row>
    <row r="1032" spans="1:15">
      <c r="A1032" s="17">
        <v>0.71499999999999997</v>
      </c>
      <c r="B1032" s="21">
        <v>155</v>
      </c>
      <c r="C1032" s="16">
        <v>0.315</v>
      </c>
      <c r="D1032" s="16" t="str">
        <f ca="1">PROPER(Music_Data[[#This Row],[Playlist_genre2]])</f>
        <v>Pop</v>
      </c>
      <c r="E1032" s="17">
        <v>0.497</v>
      </c>
      <c r="F1032" t="s">
        <v>6557</v>
      </c>
      <c r="G1032">
        <v>87</v>
      </c>
      <c r="H1032" t="s">
        <v>7053</v>
      </c>
      <c r="I1032" t="s">
        <v>6564</v>
      </c>
      <c r="J1032" s="22">
        <v>1998</v>
      </c>
      <c r="K1032">
        <v>0</v>
      </c>
      <c r="L1032">
        <v>11</v>
      </c>
      <c r="M1032" s="21">
        <f ca="1">LEFT(Music_Data[[#This Row],[Duration_minutes]],3)/60</f>
        <v>4.8166666666666664</v>
      </c>
      <c r="N1032" s="17">
        <v>1.25E-3</v>
      </c>
      <c r="O1032" s="17" t="str">
        <f ca="1">PROPER(Music_Data[[#This Row],[Playlist_subgenre2]])</f>
        <v>Soft</v>
      </c>
    </row>
    <row r="1033" spans="1:15">
      <c r="A1033" s="17">
        <v>0.58699999999999997</v>
      </c>
      <c r="B1033" s="21">
        <v>186</v>
      </c>
      <c r="C1033" s="16">
        <v>0.67900000000000005</v>
      </c>
      <c r="D1033" s="16" t="str">
        <f ca="1">PROPER(Music_Data[[#This Row],[Playlist_genre2]])</f>
        <v>Pop</v>
      </c>
      <c r="E1033" s="17">
        <v>0.48599999999999999</v>
      </c>
      <c r="F1033" t="s">
        <v>7833</v>
      </c>
      <c r="G1033">
        <v>87</v>
      </c>
      <c r="H1033" t="s">
        <v>7830</v>
      </c>
      <c r="I1033" t="s">
        <v>7836</v>
      </c>
      <c r="J1033" s="22">
        <v>42699</v>
      </c>
      <c r="K1033">
        <v>1</v>
      </c>
      <c r="L1033">
        <v>7</v>
      </c>
      <c r="M1033" s="21">
        <f ca="1">LEFT(Music_Data[[#This Row],[Duration_minutes]],3)/60</f>
        <v>3.8333333333333335</v>
      </c>
      <c r="N1033" s="17">
        <v>0.14099999999999999</v>
      </c>
      <c r="O1033" s="17" t="str">
        <f ca="1">PROPER(Music_Data[[#This Row],[Playlist_subgenre2]])</f>
        <v>Throwback</v>
      </c>
    </row>
    <row r="1034" spans="1:15">
      <c r="A1034" s="17">
        <v>0.55500000000000005</v>
      </c>
      <c r="B1034" s="21">
        <v>960</v>
      </c>
      <c r="C1034" s="16">
        <v>0.39200000000000002</v>
      </c>
      <c r="D1034" s="16" t="str">
        <f ca="1">PROPER(Music_Data[[#This Row],[Playlist_genre2]])</f>
        <v>Pop</v>
      </c>
      <c r="E1034" s="17">
        <v>0.191</v>
      </c>
      <c r="F1034" t="s">
        <v>6498</v>
      </c>
      <c r="G1034">
        <v>87</v>
      </c>
      <c r="H1034" t="s">
        <v>6368</v>
      </c>
      <c r="I1034" t="s">
        <v>6503</v>
      </c>
      <c r="J1034" s="22">
        <v>45593</v>
      </c>
      <c r="K1034">
        <v>0</v>
      </c>
      <c r="L1034">
        <v>4</v>
      </c>
      <c r="M1034" s="21">
        <f ca="1">LEFT(Music_Data[[#This Row],[Duration_minutes]],3)/60</f>
        <v>4.6333333333333337</v>
      </c>
      <c r="N1034" s="17">
        <v>0.28699999999999998</v>
      </c>
      <c r="O1034" s="17" t="str">
        <f ca="1">PROPER(Music_Data[[#This Row],[Playlist_subgenre2]])</f>
        <v>Global</v>
      </c>
    </row>
    <row r="1035" spans="1:15">
      <c r="A1035" s="17">
        <v>0.78200000000000003</v>
      </c>
      <c r="B1035" s="21">
        <v>119</v>
      </c>
      <c r="C1035" s="16">
        <v>0.72699999999999998</v>
      </c>
      <c r="D1035" s="16" t="str">
        <f ca="1">PROPER(Music_Data[[#This Row],[Playlist_genre2]])</f>
        <v>Pop</v>
      </c>
      <c r="E1035" s="17">
        <v>0.65500000000000003</v>
      </c>
      <c r="F1035" t="s">
        <v>294</v>
      </c>
      <c r="G1035">
        <v>86</v>
      </c>
      <c r="H1035" t="s">
        <v>39</v>
      </c>
      <c r="I1035" t="s">
        <v>298</v>
      </c>
      <c r="J1035" s="22">
        <v>45450</v>
      </c>
      <c r="K1035">
        <v>0</v>
      </c>
      <c r="L1035">
        <v>8</v>
      </c>
      <c r="M1035" s="21">
        <f ca="1">LEFT(Music_Data[[#This Row],[Duration_minutes]],3)/60</f>
        <v>2.95</v>
      </c>
      <c r="N1035" s="17">
        <v>5.6300000000000003E-2</v>
      </c>
      <c r="O1035" s="17" t="str">
        <f ca="1">PROPER(Music_Data[[#This Row],[Playlist_subgenre2]])</f>
        <v>Mainstream</v>
      </c>
    </row>
    <row r="1036" spans="1:15">
      <c r="A1036" s="17">
        <v>0.64600000000000002</v>
      </c>
      <c r="B1036" s="21">
        <v>115</v>
      </c>
      <c r="C1036" s="16">
        <v>0.64500000000000002</v>
      </c>
      <c r="D1036" s="16" t="str">
        <f ca="1">PROPER(Music_Data[[#This Row],[Playlist_genre2]])</f>
        <v>Pop</v>
      </c>
      <c r="E1036" s="17">
        <v>0.29499999999999998</v>
      </c>
      <c r="F1036" t="s">
        <v>464</v>
      </c>
      <c r="G1036">
        <v>86</v>
      </c>
      <c r="H1036" t="s">
        <v>6368</v>
      </c>
      <c r="I1036" t="s">
        <v>471</v>
      </c>
      <c r="J1036" s="22">
        <v>45359</v>
      </c>
      <c r="K1036">
        <v>1</v>
      </c>
      <c r="L1036">
        <v>5</v>
      </c>
      <c r="M1036" s="21">
        <f ca="1">LEFT(Music_Data[[#This Row],[Duration_minutes]],3)/60</f>
        <v>3.8</v>
      </c>
      <c r="N1036" s="17">
        <v>6.1499999999999999E-2</v>
      </c>
      <c r="O1036" s="17" t="str">
        <f ca="1">PROPER(Music_Data[[#This Row],[Playlist_subgenre2]])</f>
        <v>Global</v>
      </c>
    </row>
    <row r="1037" spans="1:15">
      <c r="A1037" s="17">
        <v>0.29599999999999999</v>
      </c>
      <c r="B1037" s="21">
        <v>115</v>
      </c>
      <c r="C1037" s="16">
        <v>0.35099999999999998</v>
      </c>
      <c r="D1037" s="16" t="str">
        <f ca="1">PROPER(Music_Data[[#This Row],[Playlist_genre2]])</f>
        <v>Pop</v>
      </c>
      <c r="E1037" s="17">
        <v>0.12</v>
      </c>
      <c r="F1037" t="s">
        <v>7141</v>
      </c>
      <c r="G1037">
        <v>86</v>
      </c>
      <c r="H1037" t="s">
        <v>7053</v>
      </c>
      <c r="I1037" t="s">
        <v>7144</v>
      </c>
      <c r="J1037" s="22">
        <v>43209</v>
      </c>
      <c r="K1037">
        <v>0</v>
      </c>
      <c r="L1037">
        <v>4</v>
      </c>
      <c r="M1037" s="21">
        <f ca="1">LEFT(Music_Data[[#This Row],[Duration_minutes]],3)/60</f>
        <v>3.3333333333333335</v>
      </c>
      <c r="N1037" s="17">
        <v>0.93400000000000005</v>
      </c>
      <c r="O1037" s="17" t="str">
        <f ca="1">PROPER(Music_Data[[#This Row],[Playlist_subgenre2]])</f>
        <v>Soft</v>
      </c>
    </row>
    <row r="1038" spans="1:15">
      <c r="A1038" s="17">
        <v>0.65200000000000002</v>
      </c>
      <c r="B1038" s="21">
        <v>959</v>
      </c>
      <c r="C1038" s="16">
        <v>0.82499999999999996</v>
      </c>
      <c r="D1038" s="16" t="str">
        <f ca="1">PROPER(Music_Data[[#This Row],[Playlist_genre2]])</f>
        <v>Pop</v>
      </c>
      <c r="E1038" s="17">
        <v>0.93100000000000005</v>
      </c>
      <c r="F1038" t="s">
        <v>7156</v>
      </c>
      <c r="G1038">
        <v>86</v>
      </c>
      <c r="H1038" t="s">
        <v>7053</v>
      </c>
      <c r="I1038" t="s">
        <v>7162</v>
      </c>
      <c r="J1038" s="22">
        <v>42797</v>
      </c>
      <c r="K1038">
        <v>0</v>
      </c>
      <c r="L1038">
        <v>1</v>
      </c>
      <c r="M1038" s="21">
        <f ca="1">LEFT(Music_Data[[#This Row],[Duration_minutes]],3)/60</f>
        <v>3.8833333333333333</v>
      </c>
      <c r="N1038" s="17">
        <v>0.58099999999999996</v>
      </c>
      <c r="O1038" s="17" t="str">
        <f ca="1">PROPER(Music_Data[[#This Row],[Playlist_subgenre2]])</f>
        <v>Soft</v>
      </c>
    </row>
    <row r="1039" spans="1:15">
      <c r="A1039" s="17">
        <v>0.44800000000000001</v>
      </c>
      <c r="B1039" s="21">
        <v>950</v>
      </c>
      <c r="C1039" s="16">
        <v>0.59899999999999998</v>
      </c>
      <c r="D1039" s="16" t="str">
        <f ca="1">PROPER(Music_Data[[#This Row],[Playlist_genre2]])</f>
        <v>Pop</v>
      </c>
      <c r="E1039" s="17">
        <v>0.16800000000000001</v>
      </c>
      <c r="F1039" t="s">
        <v>7156</v>
      </c>
      <c r="G1039">
        <v>86</v>
      </c>
      <c r="H1039" t="s">
        <v>7053</v>
      </c>
      <c r="I1039" t="s">
        <v>7187</v>
      </c>
      <c r="J1039" s="22">
        <v>42797</v>
      </c>
      <c r="K1039">
        <v>1</v>
      </c>
      <c r="L1039">
        <v>8</v>
      </c>
      <c r="M1039" s="21">
        <f ca="1">LEFT(Music_Data[[#This Row],[Duration_minutes]],3)/60</f>
        <v>4.3833333333333337</v>
      </c>
      <c r="N1039" s="17">
        <v>0.16300000000000001</v>
      </c>
      <c r="O1039" s="17" t="str">
        <f ca="1">PROPER(Music_Data[[#This Row],[Playlist_subgenre2]])</f>
        <v>Soft</v>
      </c>
    </row>
    <row r="1040" spans="1:15">
      <c r="A1040" s="17">
        <v>0.65200000000000002</v>
      </c>
      <c r="B1040" s="21">
        <v>959</v>
      </c>
      <c r="C1040" s="16">
        <v>0.82499999999999996</v>
      </c>
      <c r="D1040" s="16" t="str">
        <f ca="1">PROPER(Music_Data[[#This Row],[Playlist_genre2]])</f>
        <v>Pop</v>
      </c>
      <c r="E1040" s="17">
        <v>0.93100000000000005</v>
      </c>
      <c r="F1040" t="s">
        <v>7156</v>
      </c>
      <c r="G1040">
        <v>86</v>
      </c>
      <c r="H1040" t="s">
        <v>7830</v>
      </c>
      <c r="I1040" t="s">
        <v>7162</v>
      </c>
      <c r="J1040" s="22">
        <v>42797</v>
      </c>
      <c r="K1040">
        <v>0</v>
      </c>
      <c r="L1040">
        <v>1</v>
      </c>
      <c r="M1040" s="21">
        <f ca="1">LEFT(Music_Data[[#This Row],[Duration_minutes]],3)/60</f>
        <v>3.8833333333333333</v>
      </c>
      <c r="N1040" s="17">
        <v>0.58099999999999996</v>
      </c>
      <c r="O1040" s="17" t="str">
        <f ca="1">PROPER(Music_Data[[#This Row],[Playlist_subgenre2]])</f>
        <v>Throwback</v>
      </c>
    </row>
    <row r="1041" spans="1:15">
      <c r="A1041" s="17">
        <v>0.66900000000000004</v>
      </c>
      <c r="B1041" s="21">
        <v>112</v>
      </c>
      <c r="C1041" s="16">
        <v>0.90800000000000003</v>
      </c>
      <c r="D1041" s="16" t="str">
        <f ca="1">PROPER(Music_Data[[#This Row],[Playlist_genre2]])</f>
        <v>Pop</v>
      </c>
      <c r="E1041" s="17">
        <v>0.66200000000000003</v>
      </c>
      <c r="F1041" t="s">
        <v>5046</v>
      </c>
      <c r="G1041">
        <v>86</v>
      </c>
      <c r="H1041" t="s">
        <v>7830</v>
      </c>
      <c r="I1041" t="s">
        <v>7491</v>
      </c>
      <c r="J1041" s="22">
        <v>37402</v>
      </c>
      <c r="K1041">
        <v>1</v>
      </c>
      <c r="L1041">
        <v>7</v>
      </c>
      <c r="M1041" s="21">
        <f ca="1">LEFT(Music_Data[[#This Row],[Duration_minutes]],3)/60</f>
        <v>4.833333333333333</v>
      </c>
      <c r="N1041" s="17">
        <v>2.8600000000000001E-3</v>
      </c>
      <c r="O1041" s="17" t="str">
        <f ca="1">PROPER(Music_Data[[#This Row],[Playlist_subgenre2]])</f>
        <v>Throwback</v>
      </c>
    </row>
    <row r="1042" spans="1:15">
      <c r="A1042" s="17">
        <v>0.91700000000000004</v>
      </c>
      <c r="B1042" s="21">
        <v>100</v>
      </c>
      <c r="C1042" s="16">
        <v>0.56200000000000006</v>
      </c>
      <c r="D1042" s="16" t="str">
        <f ca="1">PROPER(Music_Data[[#This Row],[Playlist_genre2]])</f>
        <v>Pop</v>
      </c>
      <c r="E1042" s="17">
        <v>0.501</v>
      </c>
      <c r="F1042" t="s">
        <v>242</v>
      </c>
      <c r="G1042">
        <v>86</v>
      </c>
      <c r="H1042" t="s">
        <v>39</v>
      </c>
      <c r="I1042" t="s">
        <v>245</v>
      </c>
      <c r="J1042" s="22">
        <v>45590</v>
      </c>
      <c r="K1042">
        <v>0</v>
      </c>
      <c r="L1042">
        <v>11</v>
      </c>
      <c r="M1042" s="21">
        <f ca="1">LEFT(Music_Data[[#This Row],[Duration_minutes]],3)/60</f>
        <v>3.8166666666666669</v>
      </c>
      <c r="N1042" s="17">
        <v>5.1299999999999998E-2</v>
      </c>
      <c r="O1042" s="17" t="str">
        <f ca="1">PROPER(Music_Data[[#This Row],[Playlist_subgenre2]])</f>
        <v>Mainstream</v>
      </c>
    </row>
    <row r="1043" spans="1:15">
      <c r="A1043" s="17">
        <v>0.84299999999999997</v>
      </c>
      <c r="B1043" s="21">
        <v>122</v>
      </c>
      <c r="C1043" s="16">
        <v>0.61899999999999999</v>
      </c>
      <c r="D1043" s="16" t="str">
        <f ca="1">PROPER(Music_Data[[#This Row],[Playlist_genre2]])</f>
        <v>Pop</v>
      </c>
      <c r="E1043" s="17">
        <v>0.746</v>
      </c>
      <c r="F1043" t="s">
        <v>266</v>
      </c>
      <c r="G1043">
        <v>86</v>
      </c>
      <c r="H1043" t="s">
        <v>39</v>
      </c>
      <c r="I1043" t="s">
        <v>270</v>
      </c>
      <c r="J1043" s="22">
        <v>45583</v>
      </c>
      <c r="K1043">
        <v>0</v>
      </c>
      <c r="L1043">
        <v>5</v>
      </c>
      <c r="M1043" s="21">
        <f ca="1">LEFT(Music_Data[[#This Row],[Duration_minutes]],3)/60</f>
        <v>3.4</v>
      </c>
      <c r="N1043" s="17">
        <v>9.4800000000000006E-3</v>
      </c>
      <c r="O1043" s="17" t="str">
        <f ca="1">PROPER(Music_Data[[#This Row],[Playlist_subgenre2]])</f>
        <v>Mainstream</v>
      </c>
    </row>
    <row r="1044" spans="1:15">
      <c r="A1044" s="17">
        <v>0.66300000000000003</v>
      </c>
      <c r="B1044" s="21">
        <v>121</v>
      </c>
      <c r="C1044" s="16">
        <v>0.6</v>
      </c>
      <c r="D1044" s="16" t="str">
        <f ca="1">PROPER(Music_Data[[#This Row],[Playlist_genre2]])</f>
        <v>Pop</v>
      </c>
      <c r="E1044" s="17">
        <v>0.28599999999999998</v>
      </c>
      <c r="F1044" t="s">
        <v>6505</v>
      </c>
      <c r="G1044">
        <v>86</v>
      </c>
      <c r="H1044" t="s">
        <v>7053</v>
      </c>
      <c r="I1044" t="s">
        <v>7129</v>
      </c>
      <c r="J1044" s="22">
        <v>41603</v>
      </c>
      <c r="K1044">
        <v>1</v>
      </c>
      <c r="L1044">
        <v>3</v>
      </c>
      <c r="M1044" s="21">
        <f ca="1">LEFT(Music_Data[[#This Row],[Duration_minutes]],3)/60</f>
        <v>4.083333333333333</v>
      </c>
      <c r="N1044" s="17">
        <v>0.22500000000000001</v>
      </c>
      <c r="O1044" s="17" t="str">
        <f ca="1">PROPER(Music_Data[[#This Row],[Playlist_subgenre2]])</f>
        <v>Soft</v>
      </c>
    </row>
    <row r="1045" spans="1:15">
      <c r="A1045" s="17">
        <v>0.69699999999999995</v>
      </c>
      <c r="B1045" s="21">
        <v>138</v>
      </c>
      <c r="C1045" s="16">
        <v>0.74</v>
      </c>
      <c r="D1045" s="16" t="str">
        <f ca="1">PROPER(Music_Data[[#This Row],[Playlist_genre2]])</f>
        <v>Pop</v>
      </c>
      <c r="E1045" s="17">
        <v>0.73199999999999998</v>
      </c>
      <c r="F1045" t="s">
        <v>81</v>
      </c>
      <c r="G1045">
        <v>86</v>
      </c>
      <c r="H1045" t="s">
        <v>7053</v>
      </c>
      <c r="I1045" t="s">
        <v>7153</v>
      </c>
      <c r="J1045" s="22">
        <v>44757</v>
      </c>
      <c r="K1045">
        <v>1</v>
      </c>
      <c r="L1045">
        <v>8</v>
      </c>
      <c r="M1045" s="21">
        <f ca="1">LEFT(Music_Data[[#This Row],[Duration_minutes]],3)/60</f>
        <v>2.7166666666666668</v>
      </c>
      <c r="N1045" s="17">
        <v>2.6800000000000001E-2</v>
      </c>
      <c r="O1045" s="17" t="str">
        <f ca="1">PROPER(Music_Data[[#This Row],[Playlist_subgenre2]])</f>
        <v>Soft</v>
      </c>
    </row>
    <row r="1046" spans="1:15">
      <c r="A1046" s="17">
        <v>0.70899999999999996</v>
      </c>
      <c r="B1046" s="21">
        <v>810</v>
      </c>
      <c r="C1046" s="16">
        <v>0.72199999999999998</v>
      </c>
      <c r="D1046" s="16" t="str">
        <f ca="1">PROPER(Music_Data[[#This Row],[Playlist_genre2]])</f>
        <v>Pop</v>
      </c>
      <c r="E1046" s="17">
        <v>0.60399999999999998</v>
      </c>
      <c r="F1046" t="s">
        <v>216</v>
      </c>
      <c r="G1046">
        <v>86</v>
      </c>
      <c r="H1046" t="s">
        <v>39</v>
      </c>
      <c r="I1046" t="s">
        <v>220</v>
      </c>
      <c r="J1046" s="22">
        <v>45394</v>
      </c>
      <c r="K1046">
        <v>1</v>
      </c>
      <c r="L1046">
        <v>9</v>
      </c>
      <c r="M1046" s="21">
        <f ca="1">LEFT(Music_Data[[#This Row],[Duration_minutes]],3)/60</f>
        <v>2.85</v>
      </c>
      <c r="N1046" s="17">
        <v>6.3299999999999995E-2</v>
      </c>
      <c r="O1046" s="17" t="str">
        <f ca="1">PROPER(Music_Data[[#This Row],[Playlist_subgenre2]])</f>
        <v>Mainstream</v>
      </c>
    </row>
    <row r="1047" spans="1:15">
      <c r="A1047" s="17">
        <v>0.63500000000000001</v>
      </c>
      <c r="B1047" s="21">
        <v>103</v>
      </c>
      <c r="C1047" s="16">
        <v>0.61699999999999999</v>
      </c>
      <c r="D1047" s="16" t="str">
        <f ca="1">PROPER(Music_Data[[#This Row],[Playlist_genre2]])</f>
        <v>Pop</v>
      </c>
      <c r="E1047" s="17">
        <v>0.44600000000000001</v>
      </c>
      <c r="F1047" t="s">
        <v>4202</v>
      </c>
      <c r="G1047">
        <v>86</v>
      </c>
      <c r="H1047" t="s">
        <v>7053</v>
      </c>
      <c r="I1047" t="s">
        <v>4209</v>
      </c>
      <c r="J1047" s="22">
        <v>42832</v>
      </c>
      <c r="K1047">
        <v>0</v>
      </c>
      <c r="L1047">
        <v>11</v>
      </c>
      <c r="M1047" s="21">
        <f ca="1">LEFT(Music_Data[[#This Row],[Duration_minutes]],3)/60</f>
        <v>4.1166666666666663</v>
      </c>
      <c r="N1047" s="17">
        <v>4.9799999999999997E-2</v>
      </c>
      <c r="O1047" s="17" t="str">
        <f ca="1">PROPER(Music_Data[[#This Row],[Playlist_subgenre2]])</f>
        <v>Soft</v>
      </c>
    </row>
    <row r="1048" spans="1:15">
      <c r="A1048" s="17">
        <v>0.53700000000000003</v>
      </c>
      <c r="B1048" s="21">
        <v>122</v>
      </c>
      <c r="C1048" s="16">
        <v>0.44500000000000001</v>
      </c>
      <c r="D1048" s="16" t="str">
        <f ca="1">PROPER(Music_Data[[#This Row],[Playlist_genre2]])</f>
        <v>Pop</v>
      </c>
      <c r="E1048" s="17">
        <v>0.13100000000000001</v>
      </c>
      <c r="F1048" t="s">
        <v>7131</v>
      </c>
      <c r="G1048">
        <v>86</v>
      </c>
      <c r="H1048" t="s">
        <v>7053</v>
      </c>
      <c r="I1048" t="s">
        <v>7137</v>
      </c>
      <c r="J1048" s="22">
        <v>41449</v>
      </c>
      <c r="K1048">
        <v>0</v>
      </c>
      <c r="L1048">
        <v>4</v>
      </c>
      <c r="M1048" s="21">
        <f ca="1">LEFT(Music_Data[[#This Row],[Duration_minutes]],3)/60</f>
        <v>4.0666666666666664</v>
      </c>
      <c r="N1048" s="17">
        <v>0.69499999999999995</v>
      </c>
      <c r="O1048" s="17" t="str">
        <f ca="1">PROPER(Music_Data[[#This Row],[Playlist_subgenre2]])</f>
        <v>Soft</v>
      </c>
    </row>
    <row r="1049" spans="1:15">
      <c r="A1049" s="17">
        <v>0.47099999999999997</v>
      </c>
      <c r="B1049" s="21">
        <v>105</v>
      </c>
      <c r="C1049" s="16">
        <v>0.47199999999999998</v>
      </c>
      <c r="D1049" s="16" t="str">
        <f ca="1">PROPER(Music_Data[[#This Row],[Playlist_genre2]])</f>
        <v>Pop</v>
      </c>
      <c r="E1049" s="17">
        <v>0.219</v>
      </c>
      <c r="F1049" t="s">
        <v>478</v>
      </c>
      <c r="G1049">
        <v>85</v>
      </c>
      <c r="H1049" t="s">
        <v>39</v>
      </c>
      <c r="I1049" t="s">
        <v>482</v>
      </c>
      <c r="J1049" s="22">
        <v>45309</v>
      </c>
      <c r="K1049">
        <v>1</v>
      </c>
      <c r="L1049">
        <v>10</v>
      </c>
      <c r="M1049" s="21">
        <f ca="1">LEFT(Music_Data[[#This Row],[Duration_minutes]],3)/60</f>
        <v>3</v>
      </c>
      <c r="N1049" s="17">
        <v>0.151</v>
      </c>
      <c r="O1049" s="17" t="str">
        <f ca="1">PROPER(Music_Data[[#This Row],[Playlist_subgenre2]])</f>
        <v>Mainstream</v>
      </c>
    </row>
    <row r="1050" spans="1:15">
      <c r="A1050" s="17">
        <v>0.84099999999999997</v>
      </c>
      <c r="B1050" s="21">
        <v>109</v>
      </c>
      <c r="C1050" s="16">
        <v>0.63500000000000001</v>
      </c>
      <c r="D1050" s="16" t="str">
        <f ca="1">PROPER(Music_Data[[#This Row],[Playlist_genre2]])</f>
        <v>Pop</v>
      </c>
      <c r="E1050" s="17">
        <v>0.42399999999999999</v>
      </c>
      <c r="F1050" t="s">
        <v>6476</v>
      </c>
      <c r="G1050">
        <v>85</v>
      </c>
      <c r="H1050" t="s">
        <v>6368</v>
      </c>
      <c r="I1050" t="s">
        <v>6537</v>
      </c>
      <c r="J1050" s="22">
        <v>40309</v>
      </c>
      <c r="K1050">
        <v>1</v>
      </c>
      <c r="L1050">
        <v>5</v>
      </c>
      <c r="M1050" s="21">
        <f ca="1">LEFT(Music_Data[[#This Row],[Duration_minutes]],3)/60</f>
        <v>3.6666666666666665</v>
      </c>
      <c r="N1050" s="17">
        <v>1.34E-2</v>
      </c>
      <c r="O1050" s="17" t="str">
        <f ca="1">PROPER(Music_Data[[#This Row],[Playlist_subgenre2]])</f>
        <v>Global</v>
      </c>
    </row>
    <row r="1051" spans="1:15">
      <c r="A1051" s="17">
        <v>0.84099999999999997</v>
      </c>
      <c r="B1051" s="21">
        <v>109</v>
      </c>
      <c r="C1051" s="16">
        <v>0.63500000000000001</v>
      </c>
      <c r="D1051" s="16" t="str">
        <f ca="1">PROPER(Music_Data[[#This Row],[Playlist_genre2]])</f>
        <v>Pop</v>
      </c>
      <c r="E1051" s="17">
        <v>0.42399999999999999</v>
      </c>
      <c r="F1051" t="s">
        <v>6476</v>
      </c>
      <c r="G1051">
        <v>85</v>
      </c>
      <c r="H1051" t="s">
        <v>7053</v>
      </c>
      <c r="I1051" t="s">
        <v>6537</v>
      </c>
      <c r="J1051" s="22">
        <v>40309</v>
      </c>
      <c r="K1051">
        <v>1</v>
      </c>
      <c r="L1051">
        <v>5</v>
      </c>
      <c r="M1051" s="21">
        <f ca="1">LEFT(Music_Data[[#This Row],[Duration_minutes]],3)/60</f>
        <v>3.6666666666666665</v>
      </c>
      <c r="N1051" s="17">
        <v>1.34E-2</v>
      </c>
      <c r="O1051" s="17" t="str">
        <f ca="1">PROPER(Music_Data[[#This Row],[Playlist_subgenre2]])</f>
        <v>Soft</v>
      </c>
    </row>
    <row r="1052" spans="1:15">
      <c r="A1052" s="17">
        <v>0.66700000000000004</v>
      </c>
      <c r="B1052" s="21">
        <v>130</v>
      </c>
      <c r="C1052" s="16">
        <v>0.77600000000000002</v>
      </c>
      <c r="D1052" s="16" t="str">
        <f ca="1">PROPER(Music_Data[[#This Row],[Playlist_genre2]])</f>
        <v>Pop</v>
      </c>
      <c r="E1052" s="17">
        <v>0.61799999999999999</v>
      </c>
      <c r="F1052" t="s">
        <v>177</v>
      </c>
      <c r="G1052">
        <v>85</v>
      </c>
      <c r="H1052" t="s">
        <v>39</v>
      </c>
      <c r="I1052" t="s">
        <v>184</v>
      </c>
      <c r="J1052" s="22">
        <v>45505</v>
      </c>
      <c r="K1052">
        <v>1</v>
      </c>
      <c r="L1052">
        <v>7</v>
      </c>
      <c r="M1052" s="21">
        <f ca="1">LEFT(Music_Data[[#This Row],[Duration_minutes]],3)/60</f>
        <v>2.4166666666666665</v>
      </c>
      <c r="N1052" s="17">
        <v>1.46E-2</v>
      </c>
      <c r="O1052" s="17" t="str">
        <f ca="1">PROPER(Music_Data[[#This Row],[Playlist_subgenre2]])</f>
        <v>Mainstream</v>
      </c>
    </row>
    <row r="1053" spans="1:15">
      <c r="A1053" s="17">
        <v>0.628</v>
      </c>
      <c r="B1053" s="21">
        <v>119</v>
      </c>
      <c r="C1053" s="16">
        <v>0.75700000000000001</v>
      </c>
      <c r="D1053" s="16" t="str">
        <f ca="1">PROPER(Music_Data[[#This Row],[Playlist_genre2]])</f>
        <v>Pop</v>
      </c>
      <c r="E1053" s="17">
        <v>0.32100000000000001</v>
      </c>
      <c r="F1053" t="s">
        <v>365</v>
      </c>
      <c r="G1053">
        <v>85</v>
      </c>
      <c r="H1053" t="s">
        <v>39</v>
      </c>
      <c r="I1053" t="s">
        <v>372</v>
      </c>
      <c r="J1053" s="22">
        <v>45457</v>
      </c>
      <c r="K1053">
        <v>0</v>
      </c>
      <c r="L1053">
        <v>4</v>
      </c>
      <c r="M1053" s="21">
        <f ca="1">LEFT(Music_Data[[#This Row],[Duration_minutes]],3)/60</f>
        <v>3.6166666666666667</v>
      </c>
      <c r="N1053" s="17">
        <v>0.189</v>
      </c>
      <c r="O1053" s="17" t="str">
        <f ca="1">PROPER(Music_Data[[#This Row],[Playlist_subgenre2]])</f>
        <v>Mainstream</v>
      </c>
    </row>
    <row r="1054" spans="1:15">
      <c r="A1054" s="17">
        <v>0.55700000000000005</v>
      </c>
      <c r="B1054" s="21">
        <v>850</v>
      </c>
      <c r="C1054" s="16">
        <v>0.35799999999999998</v>
      </c>
      <c r="D1054" s="16" t="str">
        <f ca="1">PROPER(Music_Data[[#This Row],[Playlist_genre2]])</f>
        <v>Pop</v>
      </c>
      <c r="E1054" s="17">
        <v>0.49399999999999999</v>
      </c>
      <c r="F1054" t="s">
        <v>7173</v>
      </c>
      <c r="G1054">
        <v>85</v>
      </c>
      <c r="H1054" t="s">
        <v>7053</v>
      </c>
      <c r="I1054" t="s">
        <v>7180</v>
      </c>
      <c r="J1054" s="22">
        <v>42671</v>
      </c>
      <c r="K1054">
        <v>1</v>
      </c>
      <c r="L1054">
        <v>10</v>
      </c>
      <c r="M1054" s="21">
        <f ca="1">LEFT(Music_Data[[#This Row],[Duration_minutes]],3)/60</f>
        <v>3.5166666666666666</v>
      </c>
      <c r="N1054" s="17">
        <v>0.69499999999999995</v>
      </c>
      <c r="O1054" s="17" t="str">
        <f ca="1">PROPER(Music_Data[[#This Row],[Playlist_subgenre2]])</f>
        <v>Soft</v>
      </c>
    </row>
    <row r="1055" spans="1:15">
      <c r="A1055" s="17">
        <v>0.71099999999999997</v>
      </c>
      <c r="B1055" s="21">
        <v>146</v>
      </c>
      <c r="C1055" s="16">
        <v>0.48699999999999999</v>
      </c>
      <c r="D1055" s="16" t="str">
        <f ca="1">PROPER(Music_Data[[#This Row],[Playlist_genre2]])</f>
        <v>Pop</v>
      </c>
      <c r="E1055" s="17">
        <v>0.317</v>
      </c>
      <c r="F1055" t="s">
        <v>610</v>
      </c>
      <c r="G1055">
        <v>85</v>
      </c>
      <c r="H1055" t="s">
        <v>39</v>
      </c>
      <c r="I1055" t="s">
        <v>617</v>
      </c>
      <c r="J1055" s="22">
        <v>45611</v>
      </c>
      <c r="K1055">
        <v>1</v>
      </c>
      <c r="L1055">
        <v>8</v>
      </c>
      <c r="M1055" s="21">
        <f ca="1">LEFT(Music_Data[[#This Row],[Duration_minutes]],3)/60</f>
        <v>2.5166666666666666</v>
      </c>
      <c r="N1055" s="17">
        <v>1.75E-4</v>
      </c>
      <c r="O1055" s="17" t="str">
        <f ca="1">PROPER(Music_Data[[#This Row],[Playlist_subgenre2]])</f>
        <v>Mainstream</v>
      </c>
    </row>
    <row r="1056" spans="1:15">
      <c r="A1056" s="17">
        <v>0.90400000000000003</v>
      </c>
      <c r="B1056" s="21">
        <v>167</v>
      </c>
      <c r="C1056" s="16">
        <v>0.73899999999999999</v>
      </c>
      <c r="D1056" s="16" t="str">
        <f ca="1">PROPER(Music_Data[[#This Row],[Playlist_genre2]])</f>
        <v>Pop</v>
      </c>
      <c r="E1056" s="17">
        <v>0.78800000000000003</v>
      </c>
      <c r="F1056" t="s">
        <v>504</v>
      </c>
      <c r="G1056">
        <v>85</v>
      </c>
      <c r="H1056" t="s">
        <v>39</v>
      </c>
      <c r="I1056" t="s">
        <v>508</v>
      </c>
      <c r="J1056" s="22">
        <v>45499</v>
      </c>
      <c r="K1056">
        <v>0</v>
      </c>
      <c r="L1056">
        <v>5</v>
      </c>
      <c r="M1056" s="21">
        <f ca="1">LEFT(Music_Data[[#This Row],[Duration_minutes]],3)/60</f>
        <v>2.15</v>
      </c>
      <c r="N1056" s="17">
        <v>0.54900000000000004</v>
      </c>
      <c r="O1056" s="17" t="str">
        <f ca="1">PROPER(Music_Data[[#This Row],[Playlist_subgenre2]])</f>
        <v>Mainstream</v>
      </c>
    </row>
    <row r="1057" spans="1:15">
      <c r="A1057" s="17">
        <v>0.60699999999999998</v>
      </c>
      <c r="B1057" s="21">
        <v>810</v>
      </c>
      <c r="C1057" s="16">
        <v>0.68400000000000005</v>
      </c>
      <c r="D1057" s="16" t="str">
        <f ca="1">PROPER(Music_Data[[#This Row],[Playlist_genre2]])</f>
        <v>Pop</v>
      </c>
      <c r="E1057" s="17">
        <v>0.498</v>
      </c>
      <c r="F1057" t="s">
        <v>3799</v>
      </c>
      <c r="G1057">
        <v>85</v>
      </c>
      <c r="H1057" t="s">
        <v>7053</v>
      </c>
      <c r="I1057" t="s">
        <v>3805</v>
      </c>
      <c r="J1057" s="22">
        <v>40508</v>
      </c>
      <c r="K1057">
        <v>0</v>
      </c>
      <c r="L1057">
        <v>11</v>
      </c>
      <c r="M1057" s="21">
        <f ca="1">LEFT(Music_Data[[#This Row],[Duration_minutes]],3)/60</f>
        <v>3.25</v>
      </c>
      <c r="N1057" s="17">
        <v>2.6700000000000002E-2</v>
      </c>
      <c r="O1057" s="17" t="str">
        <f ca="1">PROPER(Music_Data[[#This Row],[Playlist_subgenre2]])</f>
        <v>Soft</v>
      </c>
    </row>
    <row r="1058" spans="1:15">
      <c r="A1058" s="17">
        <v>0.73099999999999998</v>
      </c>
      <c r="B1058" s="21">
        <v>101</v>
      </c>
      <c r="C1058" s="16">
        <v>0.48299999999999998</v>
      </c>
      <c r="D1058" s="16" t="str">
        <f ca="1">PROPER(Music_Data[[#This Row],[Playlist_genre2]])</f>
        <v>Pop</v>
      </c>
      <c r="E1058" s="17">
        <v>0.48399999999999999</v>
      </c>
      <c r="F1058" t="s">
        <v>6586</v>
      </c>
      <c r="G1058">
        <v>85</v>
      </c>
      <c r="H1058" t="s">
        <v>6368</v>
      </c>
      <c r="I1058" t="s">
        <v>6593</v>
      </c>
      <c r="J1058" s="22">
        <v>41856</v>
      </c>
      <c r="K1058">
        <v>1</v>
      </c>
      <c r="L1058">
        <v>1</v>
      </c>
      <c r="M1058" s="21">
        <f ca="1">LEFT(Music_Data[[#This Row],[Duration_minutes]],3)/60</f>
        <v>3.4</v>
      </c>
      <c r="N1058" s="17">
        <v>0.436</v>
      </c>
      <c r="O1058" s="17" t="str">
        <f ca="1">PROPER(Music_Data[[#This Row],[Playlist_subgenre2]])</f>
        <v>Global</v>
      </c>
    </row>
    <row r="1059" spans="1:15">
      <c r="A1059" s="17">
        <v>0.192</v>
      </c>
      <c r="B1059" s="21">
        <v>175</v>
      </c>
      <c r="C1059" s="16">
        <v>0.36899999999999999</v>
      </c>
      <c r="D1059" s="16" t="str">
        <f ca="1">PROPER(Music_Data[[#This Row],[Playlist_genre2]])</f>
        <v>Pop</v>
      </c>
      <c r="E1059" s="17">
        <v>0.14799999999999999</v>
      </c>
      <c r="F1059" t="s">
        <v>7164</v>
      </c>
      <c r="G1059">
        <v>85</v>
      </c>
      <c r="H1059" t="s">
        <v>7053</v>
      </c>
      <c r="I1059" t="s">
        <v>7167</v>
      </c>
      <c r="J1059" s="22">
        <v>44673</v>
      </c>
      <c r="K1059">
        <v>0</v>
      </c>
      <c r="L1059">
        <v>4</v>
      </c>
      <c r="M1059" s="21">
        <f ca="1">LEFT(Music_Data[[#This Row],[Duration_minutes]],3)/60</f>
        <v>3.8</v>
      </c>
      <c r="N1059" s="17">
        <v>0.55500000000000005</v>
      </c>
      <c r="O1059" s="17" t="str">
        <f ca="1">PROPER(Music_Data[[#This Row],[Playlist_subgenre2]])</f>
        <v>Soft</v>
      </c>
    </row>
    <row r="1060" spans="1:15">
      <c r="A1060" s="17">
        <v>0.90200000000000002</v>
      </c>
      <c r="B1060" s="21">
        <v>844</v>
      </c>
      <c r="C1060" s="16">
        <v>0.57299999999999995</v>
      </c>
      <c r="D1060" s="16" t="str">
        <f ca="1">PROPER(Music_Data[[#This Row],[Playlist_genre2]])</f>
        <v>Pop</v>
      </c>
      <c r="E1060" s="17">
        <v>0.876</v>
      </c>
      <c r="F1060" t="s">
        <v>7848</v>
      </c>
      <c r="G1060">
        <v>84</v>
      </c>
      <c r="H1060" t="s">
        <v>7830</v>
      </c>
      <c r="I1060" t="s">
        <v>7854</v>
      </c>
      <c r="J1060" s="22">
        <v>31199</v>
      </c>
      <c r="K1060">
        <v>0</v>
      </c>
      <c r="L1060">
        <v>6</v>
      </c>
      <c r="M1060" s="21">
        <f ca="1">LEFT(Music_Data[[#This Row],[Duration_minutes]],3)/60</f>
        <v>3.75</v>
      </c>
      <c r="N1060" s="17">
        <v>1.7999999999999999E-2</v>
      </c>
      <c r="O1060" s="17" t="str">
        <f ca="1">PROPER(Music_Data[[#This Row],[Playlist_subgenre2]])</f>
        <v>Throwback</v>
      </c>
    </row>
    <row r="1061" spans="1:15">
      <c r="A1061" s="17">
        <v>0.55200000000000005</v>
      </c>
      <c r="B1061" s="21">
        <v>758</v>
      </c>
      <c r="C1061" s="16">
        <v>0.34599999999999997</v>
      </c>
      <c r="D1061" s="16" t="str">
        <f ca="1">PROPER(Music_Data[[#This Row],[Playlist_genre2]])</f>
        <v>Pop</v>
      </c>
      <c r="E1061" s="17">
        <v>7.8899999999999998E-2</v>
      </c>
      <c r="F1061" t="s">
        <v>7056</v>
      </c>
      <c r="G1061">
        <v>84</v>
      </c>
      <c r="H1061" t="s">
        <v>7053</v>
      </c>
      <c r="I1061" t="s">
        <v>7199</v>
      </c>
      <c r="J1061" s="22">
        <v>41186</v>
      </c>
      <c r="K1061">
        <v>0</v>
      </c>
      <c r="L1061">
        <v>0</v>
      </c>
      <c r="M1061" s="21">
        <f ca="1">LEFT(Music_Data[[#This Row],[Duration_minutes]],3)/60</f>
        <v>4.7666666666666666</v>
      </c>
      <c r="N1061" s="17">
        <v>0.41699999999999998</v>
      </c>
      <c r="O1061" s="17" t="str">
        <f ca="1">PROPER(Music_Data[[#This Row],[Playlist_subgenre2]])</f>
        <v>Soft</v>
      </c>
    </row>
    <row r="1062" spans="1:15">
      <c r="A1062" s="17">
        <v>0.442</v>
      </c>
      <c r="B1062" s="21">
        <v>146</v>
      </c>
      <c r="C1062" s="16">
        <v>0.55700000000000005</v>
      </c>
      <c r="D1062" s="16" t="str">
        <f ca="1">PROPER(Music_Data[[#This Row],[Playlist_genre2]])</f>
        <v>Pop</v>
      </c>
      <c r="E1062" s="17">
        <v>0.21299999999999999</v>
      </c>
      <c r="F1062" t="s">
        <v>6465</v>
      </c>
      <c r="G1062">
        <v>84</v>
      </c>
      <c r="H1062" t="s">
        <v>7053</v>
      </c>
      <c r="I1062" t="s">
        <v>7194</v>
      </c>
      <c r="J1062" s="22">
        <v>37495</v>
      </c>
      <c r="K1062">
        <v>1</v>
      </c>
      <c r="L1062">
        <v>5</v>
      </c>
      <c r="M1062" s="21">
        <f ca="1">LEFT(Music_Data[[#This Row],[Duration_minutes]],3)/60</f>
        <v>5.15</v>
      </c>
      <c r="N1062" s="17">
        <v>0.73099999999999998</v>
      </c>
      <c r="O1062" s="17" t="str">
        <f ca="1">PROPER(Music_Data[[#This Row],[Playlist_subgenre2]])</f>
        <v>Soft</v>
      </c>
    </row>
    <row r="1063" spans="1:15">
      <c r="A1063" s="17">
        <v>0.379</v>
      </c>
      <c r="B1063" s="21">
        <v>107</v>
      </c>
      <c r="C1063" s="16">
        <v>0.61399999999999999</v>
      </c>
      <c r="D1063" s="16" t="str">
        <f ca="1">PROPER(Music_Data[[#This Row],[Playlist_genre2]])</f>
        <v>Pop</v>
      </c>
      <c r="E1063" s="17">
        <v>0.20100000000000001</v>
      </c>
      <c r="F1063" t="s">
        <v>7156</v>
      </c>
      <c r="G1063">
        <v>84</v>
      </c>
      <c r="H1063" t="s">
        <v>7053</v>
      </c>
      <c r="I1063" t="s">
        <v>7262</v>
      </c>
      <c r="J1063" s="22">
        <v>41811</v>
      </c>
      <c r="K1063">
        <v>1</v>
      </c>
      <c r="L1063">
        <v>4</v>
      </c>
      <c r="M1063" s="21">
        <f ca="1">LEFT(Music_Data[[#This Row],[Duration_minutes]],3)/60</f>
        <v>4.3</v>
      </c>
      <c r="N1063" s="17">
        <v>0.60699999999999998</v>
      </c>
      <c r="O1063" s="17" t="str">
        <f ca="1">PROPER(Music_Data[[#This Row],[Playlist_subgenre2]])</f>
        <v>Soft</v>
      </c>
    </row>
    <row r="1064" spans="1:15">
      <c r="A1064" s="17">
        <v>0.64300000000000002</v>
      </c>
      <c r="B1064" s="21">
        <v>117</v>
      </c>
      <c r="C1064" s="16">
        <v>0.74</v>
      </c>
      <c r="D1064" s="16" t="str">
        <f ca="1">PROPER(Music_Data[[#This Row],[Playlist_genre2]])</f>
        <v>Pop</v>
      </c>
      <c r="E1064" s="17">
        <v>0.96</v>
      </c>
      <c r="F1064" t="s">
        <v>395</v>
      </c>
      <c r="G1064">
        <v>84</v>
      </c>
      <c r="H1064" t="s">
        <v>6368</v>
      </c>
      <c r="I1064" t="s">
        <v>402</v>
      </c>
      <c r="J1064" s="22">
        <v>45523</v>
      </c>
      <c r="K1064">
        <v>1</v>
      </c>
      <c r="L1064">
        <v>10</v>
      </c>
      <c r="M1064" s="21">
        <f ca="1">LEFT(Music_Data[[#This Row],[Duration_minutes]],3)/60</f>
        <v>4.1833333333333336</v>
      </c>
      <c r="N1064" s="17">
        <v>4.1000000000000002E-2</v>
      </c>
      <c r="O1064" s="17" t="str">
        <f ca="1">PROPER(Music_Data[[#This Row],[Playlist_subgenre2]])</f>
        <v>Global</v>
      </c>
    </row>
    <row r="1065" spans="1:15">
      <c r="A1065" s="17">
        <v>0.82199999999999995</v>
      </c>
      <c r="B1065" s="21">
        <v>167</v>
      </c>
      <c r="C1065" s="16">
        <v>0.60399999999999998</v>
      </c>
      <c r="D1065" s="16" t="str">
        <f ca="1">PROPER(Music_Data[[#This Row],[Playlist_genre2]])</f>
        <v>Pop</v>
      </c>
      <c r="E1065" s="17">
        <v>0.28799999999999998</v>
      </c>
      <c r="F1065" t="s">
        <v>5380</v>
      </c>
      <c r="G1065">
        <v>84</v>
      </c>
      <c r="H1065" t="s">
        <v>7053</v>
      </c>
      <c r="I1065" t="s">
        <v>7209</v>
      </c>
      <c r="J1065" s="22">
        <v>42909</v>
      </c>
      <c r="K1065">
        <v>1</v>
      </c>
      <c r="L1065">
        <v>0</v>
      </c>
      <c r="M1065" s="21">
        <f ca="1">LEFT(Music_Data[[#This Row],[Duration_minutes]],3)/60</f>
        <v>3.1166666666666667</v>
      </c>
      <c r="N1065" s="17">
        <v>6.7200000000000003E-3</v>
      </c>
      <c r="O1065" s="17" t="str">
        <f ca="1">PROPER(Music_Data[[#This Row],[Playlist_subgenre2]])</f>
        <v>Soft</v>
      </c>
    </row>
    <row r="1066" spans="1:15">
      <c r="A1066" s="17">
        <v>0.71199999999999997</v>
      </c>
      <c r="B1066" s="21">
        <v>919</v>
      </c>
      <c r="C1066" s="16">
        <v>0.84799999999999998</v>
      </c>
      <c r="D1066" s="16" t="str">
        <f ca="1">PROPER(Music_Data[[#This Row],[Playlist_genre2]])</f>
        <v>Pop</v>
      </c>
      <c r="E1066" s="17">
        <v>0.69199999999999995</v>
      </c>
      <c r="F1066" t="s">
        <v>623</v>
      </c>
      <c r="G1066">
        <v>84</v>
      </c>
      <c r="H1066" t="s">
        <v>39</v>
      </c>
      <c r="I1066">
        <v>57</v>
      </c>
      <c r="J1066" s="22">
        <v>45604</v>
      </c>
      <c r="K1066">
        <v>0</v>
      </c>
      <c r="L1066">
        <v>1</v>
      </c>
      <c r="M1066" s="21">
        <f ca="1">LEFT(Music_Data[[#This Row],[Duration_minutes]],3)/60</f>
        <v>4.9666666666666668</v>
      </c>
      <c r="N1066" s="17">
        <v>0.221</v>
      </c>
      <c r="O1066" s="17" t="str">
        <f ca="1">PROPER(Music_Data[[#This Row],[Playlist_subgenre2]])</f>
        <v>Mainstream</v>
      </c>
    </row>
    <row r="1067" spans="1:15">
      <c r="A1067" s="17">
        <v>0.70899999999999996</v>
      </c>
      <c r="B1067" s="21">
        <v>194</v>
      </c>
      <c r="C1067" s="16">
        <v>0.74399999999999999</v>
      </c>
      <c r="D1067" s="16" t="str">
        <f ca="1">PROPER(Music_Data[[#This Row],[Playlist_genre2]])</f>
        <v>Pop</v>
      </c>
      <c r="E1067" s="17">
        <v>0.71199999999999997</v>
      </c>
      <c r="F1067" t="s">
        <v>490</v>
      </c>
      <c r="G1067">
        <v>84</v>
      </c>
      <c r="H1067" t="s">
        <v>39</v>
      </c>
      <c r="I1067" t="s">
        <v>497</v>
      </c>
      <c r="J1067" s="22">
        <v>45582</v>
      </c>
      <c r="K1067">
        <v>0</v>
      </c>
      <c r="L1067">
        <v>6</v>
      </c>
      <c r="M1067" s="21">
        <f ca="1">LEFT(Music_Data[[#This Row],[Duration_minutes]],3)/60</f>
        <v>2.1666666666666665</v>
      </c>
      <c r="N1067" s="17">
        <v>5.0099999999999999E-2</v>
      </c>
      <c r="O1067" s="17" t="str">
        <f ca="1">PROPER(Music_Data[[#This Row],[Playlist_subgenre2]])</f>
        <v>Mainstream</v>
      </c>
    </row>
    <row r="1068" spans="1:15">
      <c r="A1068" s="17">
        <v>0.93899999999999995</v>
      </c>
      <c r="B1068" s="21">
        <v>129</v>
      </c>
      <c r="C1068" s="16">
        <v>0.67100000000000004</v>
      </c>
      <c r="D1068" s="16" t="str">
        <f ca="1">PROPER(Music_Data[[#This Row],[Playlist_genre2]])</f>
        <v>Pop</v>
      </c>
      <c r="E1068" s="17">
        <v>0.53</v>
      </c>
      <c r="F1068" t="s">
        <v>4214</v>
      </c>
      <c r="G1068">
        <v>84</v>
      </c>
      <c r="H1068" t="s">
        <v>7830</v>
      </c>
      <c r="I1068" t="s">
        <v>4220</v>
      </c>
      <c r="J1068" s="22">
        <v>40711</v>
      </c>
      <c r="K1068">
        <v>1</v>
      </c>
      <c r="L1068">
        <v>8</v>
      </c>
      <c r="M1068" s="21">
        <f ca="1">LEFT(Music_Data[[#This Row],[Duration_minutes]],3)/60</f>
        <v>4.2</v>
      </c>
      <c r="N1068" s="17">
        <v>0.191</v>
      </c>
      <c r="O1068" s="17" t="str">
        <f ca="1">PROPER(Music_Data[[#This Row],[Playlist_subgenre2]])</f>
        <v>Throwback</v>
      </c>
    </row>
    <row r="1069" spans="1:15">
      <c r="A1069" s="17">
        <v>0.85499999999999998</v>
      </c>
      <c r="B1069" s="21">
        <v>127</v>
      </c>
      <c r="C1069" s="16">
        <v>0.63800000000000001</v>
      </c>
      <c r="D1069" s="16" t="str">
        <f ca="1">PROPER(Music_Data[[#This Row],[Playlist_genre2]])</f>
        <v>Pop</v>
      </c>
      <c r="E1069" s="17">
        <v>0.73099999999999998</v>
      </c>
      <c r="F1069" t="s">
        <v>381</v>
      </c>
      <c r="G1069">
        <v>84</v>
      </c>
      <c r="H1069" t="s">
        <v>39</v>
      </c>
      <c r="I1069" t="s">
        <v>388</v>
      </c>
      <c r="J1069" s="22">
        <v>45422</v>
      </c>
      <c r="K1069">
        <v>1</v>
      </c>
      <c r="L1069">
        <v>7</v>
      </c>
      <c r="M1069" s="21">
        <f ca="1">LEFT(Music_Data[[#This Row],[Duration_minutes]],3)/60</f>
        <v>2.9666666666666668</v>
      </c>
      <c r="N1069" s="17">
        <v>7.5700000000000003E-3</v>
      </c>
      <c r="O1069" s="17" t="str">
        <f ca="1">PROPER(Music_Data[[#This Row],[Playlist_subgenre2]])</f>
        <v>Mainstream</v>
      </c>
    </row>
    <row r="1070" spans="1:15">
      <c r="A1070" s="17">
        <v>0.70599999999999996</v>
      </c>
      <c r="B1070" s="21">
        <v>809</v>
      </c>
      <c r="C1070" s="16">
        <v>0.72199999999999998</v>
      </c>
      <c r="D1070" s="16" t="str">
        <f ca="1">PROPER(Music_Data[[#This Row],[Playlist_genre2]])</f>
        <v>Pop</v>
      </c>
      <c r="E1070" s="17">
        <v>0.59899999999999998</v>
      </c>
      <c r="F1070" t="s">
        <v>216</v>
      </c>
      <c r="G1070">
        <v>84</v>
      </c>
      <c r="H1070" t="s">
        <v>6368</v>
      </c>
      <c r="I1070" t="s">
        <v>220</v>
      </c>
      <c r="J1070" s="22">
        <v>45443</v>
      </c>
      <c r="K1070">
        <v>1</v>
      </c>
      <c r="L1070">
        <v>9</v>
      </c>
      <c r="M1070" s="21">
        <f ca="1">LEFT(Music_Data[[#This Row],[Duration_minutes]],3)/60</f>
        <v>2.85</v>
      </c>
      <c r="N1070" s="17">
        <v>7.1999999999999995E-2</v>
      </c>
      <c r="O1070" s="17" t="str">
        <f ca="1">PROPER(Music_Data[[#This Row],[Playlist_subgenre2]])</f>
        <v>Global</v>
      </c>
    </row>
    <row r="1071" spans="1:15">
      <c r="A1071" s="17">
        <v>0.82399999999999995</v>
      </c>
      <c r="B1071" s="21">
        <v>100</v>
      </c>
      <c r="C1071" s="16">
        <v>0.77800000000000002</v>
      </c>
      <c r="D1071" s="16" t="str">
        <f ca="1">PROPER(Music_Data[[#This Row],[Playlist_genre2]])</f>
        <v>Pop</v>
      </c>
      <c r="E1071" s="17">
        <v>0.75800000000000001</v>
      </c>
      <c r="F1071" t="s">
        <v>7856</v>
      </c>
      <c r="G1071">
        <v>84</v>
      </c>
      <c r="H1071" t="s">
        <v>7830</v>
      </c>
      <c r="I1071" t="s">
        <v>7862</v>
      </c>
      <c r="J1071" s="22">
        <v>38684</v>
      </c>
      <c r="K1071">
        <v>0</v>
      </c>
      <c r="L1071">
        <v>10</v>
      </c>
      <c r="M1071" s="21">
        <f ca="1">LEFT(Music_Data[[#This Row],[Duration_minutes]],3)/60</f>
        <v>3.6333333333333333</v>
      </c>
      <c r="N1071" s="17">
        <v>0.28399999999999997</v>
      </c>
      <c r="O1071" s="17" t="str">
        <f ca="1">PROPER(Music_Data[[#This Row],[Playlist_subgenre2]])</f>
        <v>Throwback</v>
      </c>
    </row>
    <row r="1072" spans="1:15">
      <c r="A1072" s="17">
        <v>0.54300000000000004</v>
      </c>
      <c r="B1072" s="21">
        <v>685</v>
      </c>
      <c r="C1072" s="16">
        <v>0.35899999999999999</v>
      </c>
      <c r="D1072" s="16" t="str">
        <f ca="1">PROPER(Music_Data[[#This Row],[Playlist_genre2]])</f>
        <v>Pop</v>
      </c>
      <c r="E1072" s="17">
        <v>0.45300000000000001</v>
      </c>
      <c r="F1072" t="s">
        <v>4924</v>
      </c>
      <c r="G1072">
        <v>84</v>
      </c>
      <c r="H1072" t="s">
        <v>7053</v>
      </c>
      <c r="I1072" t="s">
        <v>7215</v>
      </c>
      <c r="J1072" s="22">
        <v>43700</v>
      </c>
      <c r="K1072">
        <v>1</v>
      </c>
      <c r="L1072">
        <v>7</v>
      </c>
      <c r="M1072" s="21">
        <f ca="1">LEFT(Music_Data[[#This Row],[Duration_minutes]],3)/60</f>
        <v>3.6833333333333331</v>
      </c>
      <c r="N1072" s="17">
        <v>0.49199999999999999</v>
      </c>
      <c r="O1072" s="17" t="str">
        <f ca="1">PROPER(Music_Data[[#This Row],[Playlist_subgenre2]])</f>
        <v>Soft</v>
      </c>
    </row>
    <row r="1073" spans="1:15">
      <c r="A1073" s="17">
        <v>0.38600000000000001</v>
      </c>
      <c r="B1073" s="21">
        <v>192</v>
      </c>
      <c r="C1073" s="16">
        <v>0.504</v>
      </c>
      <c r="D1073" s="16" t="str">
        <f ca="1">PROPER(Music_Data[[#This Row],[Playlist_genre2]])</f>
        <v>Pop</v>
      </c>
      <c r="E1073" s="17">
        <v>0.28100000000000003</v>
      </c>
      <c r="F1073" t="s">
        <v>569</v>
      </c>
      <c r="G1073">
        <v>84</v>
      </c>
      <c r="H1073" t="s">
        <v>39</v>
      </c>
      <c r="I1073" t="s">
        <v>576</v>
      </c>
      <c r="J1073" s="22">
        <v>45400</v>
      </c>
      <c r="K1073">
        <v>1</v>
      </c>
      <c r="L1073">
        <v>11</v>
      </c>
      <c r="M1073" s="21">
        <f ca="1">LEFT(Music_Data[[#This Row],[Duration_minutes]],3)/60</f>
        <v>3.8</v>
      </c>
      <c r="N1073" s="17">
        <v>0.502</v>
      </c>
      <c r="O1073" s="17" t="str">
        <f ca="1">PROPER(Music_Data[[#This Row],[Playlist_subgenre2]])</f>
        <v>Mainstream</v>
      </c>
    </row>
    <row r="1074" spans="1:15">
      <c r="A1074" s="17">
        <v>0.33900000000000002</v>
      </c>
      <c r="B1074" s="21">
        <v>979</v>
      </c>
      <c r="C1074" s="16">
        <v>0.70499999999999996</v>
      </c>
      <c r="D1074" s="16" t="str">
        <f ca="1">PROPER(Music_Data[[#This Row],[Playlist_genre2]])</f>
        <v>Pop</v>
      </c>
      <c r="E1074" s="17">
        <v>0.45700000000000002</v>
      </c>
      <c r="F1074" t="s">
        <v>13158</v>
      </c>
      <c r="G1074">
        <v>84</v>
      </c>
      <c r="H1074" t="s">
        <v>39</v>
      </c>
      <c r="I1074" t="s">
        <v>417</v>
      </c>
      <c r="J1074" s="22">
        <v>45443</v>
      </c>
      <c r="K1074">
        <v>1</v>
      </c>
      <c r="L1074">
        <v>7</v>
      </c>
      <c r="M1074" s="21">
        <f ca="1">LEFT(Music_Data[[#This Row],[Duration_minutes]],3)/60</f>
        <v>3.9333333333333331</v>
      </c>
      <c r="N1074" s="17">
        <v>0.55200000000000005</v>
      </c>
      <c r="O1074" s="17" t="str">
        <f ca="1">PROPER(Music_Data[[#This Row],[Playlist_subgenre2]])</f>
        <v>Mainstream</v>
      </c>
    </row>
    <row r="1075" spans="1:15">
      <c r="A1075" s="17">
        <v>0.79100000000000004</v>
      </c>
      <c r="B1075" s="21">
        <v>105</v>
      </c>
      <c r="C1075" s="16">
        <v>0.89400000000000002</v>
      </c>
      <c r="D1075" s="16" t="str">
        <f ca="1">PROPER(Music_Data[[#This Row],[Playlist_genre2]])</f>
        <v>Pop</v>
      </c>
      <c r="E1075" s="17">
        <v>0.58299999999999996</v>
      </c>
      <c r="F1075" t="s">
        <v>7864</v>
      </c>
      <c r="G1075">
        <v>84</v>
      </c>
      <c r="H1075" t="s">
        <v>7830</v>
      </c>
      <c r="I1075" t="s">
        <v>7869</v>
      </c>
      <c r="J1075" s="22">
        <v>38069</v>
      </c>
      <c r="K1075">
        <v>1</v>
      </c>
      <c r="L1075">
        <v>2</v>
      </c>
      <c r="M1075" s="21">
        <f ca="1">LEFT(Music_Data[[#This Row],[Duration_minutes]],3)/60</f>
        <v>4.166666666666667</v>
      </c>
      <c r="N1075" s="17">
        <v>1.83E-2</v>
      </c>
      <c r="O1075" s="17" t="str">
        <f ca="1">PROPER(Music_Data[[#This Row],[Playlist_subgenre2]])</f>
        <v>Throwback</v>
      </c>
    </row>
    <row r="1076" spans="1:15">
      <c r="A1076" s="17">
        <v>0.78300000000000003</v>
      </c>
      <c r="B1076" s="21">
        <v>124</v>
      </c>
      <c r="C1076" s="16">
        <v>0.53200000000000003</v>
      </c>
      <c r="D1076" s="16" t="str">
        <f ca="1">PROPER(Music_Data[[#This Row],[Playlist_genre2]])</f>
        <v>Pop</v>
      </c>
      <c r="E1076" s="17">
        <v>0.64300000000000002</v>
      </c>
      <c r="F1076" t="s">
        <v>4242</v>
      </c>
      <c r="G1076">
        <v>83</v>
      </c>
      <c r="H1076" t="s">
        <v>7830</v>
      </c>
      <c r="I1076" t="s">
        <v>7890</v>
      </c>
      <c r="J1076" s="22">
        <v>41275</v>
      </c>
      <c r="K1076">
        <v>1</v>
      </c>
      <c r="L1076">
        <v>2</v>
      </c>
      <c r="M1076" s="21">
        <f ca="1">LEFT(Music_Data[[#This Row],[Duration_minutes]],3)/60</f>
        <v>4.1166666666666663</v>
      </c>
      <c r="N1076" s="17">
        <v>3.8E-3</v>
      </c>
      <c r="O1076" s="17" t="str">
        <f ca="1">PROPER(Music_Data[[#This Row],[Playlist_subgenre2]])</f>
        <v>Throwback</v>
      </c>
    </row>
    <row r="1077" spans="1:15">
      <c r="A1077" s="17">
        <v>0.88700000000000001</v>
      </c>
      <c r="B1077" s="21">
        <v>122</v>
      </c>
      <c r="C1077" s="16">
        <v>0.53200000000000003</v>
      </c>
      <c r="D1077" s="16" t="str">
        <f ca="1">PROPER(Music_Data[[#This Row],[Playlist_genre2]])</f>
        <v>Pop</v>
      </c>
      <c r="E1077" s="17">
        <v>0.79400000000000004</v>
      </c>
      <c r="F1077" t="s">
        <v>853</v>
      </c>
      <c r="G1077">
        <v>83</v>
      </c>
      <c r="H1077" t="s">
        <v>7830</v>
      </c>
      <c r="I1077" t="s">
        <v>7883</v>
      </c>
      <c r="J1077" s="22">
        <v>31640</v>
      </c>
      <c r="K1077">
        <v>1</v>
      </c>
      <c r="L1077">
        <v>0</v>
      </c>
      <c r="M1077" s="21">
        <f ca="1">LEFT(Music_Data[[#This Row],[Duration_minutes]],3)/60</f>
        <v>4.1500000000000004</v>
      </c>
      <c r="N1077" s="17">
        <v>7.7799999999999994E-2</v>
      </c>
      <c r="O1077" s="17" t="str">
        <f ca="1">PROPER(Music_Data[[#This Row],[Playlist_subgenre2]])</f>
        <v>Throwback</v>
      </c>
    </row>
    <row r="1078" spans="1:15">
      <c r="A1078" s="17">
        <v>0.47</v>
      </c>
      <c r="B1078" s="21">
        <v>670</v>
      </c>
      <c r="C1078" s="16">
        <v>0.59799999999999998</v>
      </c>
      <c r="D1078" s="16" t="str">
        <f ca="1">PROPER(Music_Data[[#This Row],[Playlist_genre2]])</f>
        <v>Pop</v>
      </c>
      <c r="E1078" s="17">
        <v>0.879</v>
      </c>
      <c r="F1078" t="s">
        <v>6514</v>
      </c>
      <c r="G1078">
        <v>83</v>
      </c>
      <c r="H1078" t="s">
        <v>6368</v>
      </c>
      <c r="I1078" t="s">
        <v>6520</v>
      </c>
      <c r="J1078" s="22">
        <v>23669</v>
      </c>
      <c r="K1078">
        <v>1</v>
      </c>
      <c r="L1078">
        <v>8</v>
      </c>
      <c r="M1078" s="21">
        <f ca="1">LEFT(Music_Data[[#This Row],[Duration_minutes]],3)/60</f>
        <v>2.1</v>
      </c>
      <c r="N1078" s="17">
        <v>0.61699999999999999</v>
      </c>
      <c r="O1078" s="17" t="str">
        <f ca="1">PROPER(Music_Data[[#This Row],[Playlist_subgenre2]])</f>
        <v>Global</v>
      </c>
    </row>
    <row r="1079" spans="1:15">
      <c r="A1079" s="17">
        <v>0.83799999999999997</v>
      </c>
      <c r="B1079" s="21">
        <v>143</v>
      </c>
      <c r="C1079" s="16">
        <v>0.77400000000000002</v>
      </c>
      <c r="D1079" s="16" t="str">
        <f ca="1">PROPER(Music_Data[[#This Row],[Playlist_genre2]])</f>
        <v>Pop</v>
      </c>
      <c r="E1079" s="17">
        <v>0.92400000000000004</v>
      </c>
      <c r="F1079" t="s">
        <v>7893</v>
      </c>
      <c r="G1079">
        <v>83</v>
      </c>
      <c r="H1079" t="s">
        <v>7830</v>
      </c>
      <c r="I1079" t="s">
        <v>7899</v>
      </c>
      <c r="J1079" s="22">
        <v>37938</v>
      </c>
      <c r="K1079">
        <v>0</v>
      </c>
      <c r="L1079">
        <v>5</v>
      </c>
      <c r="M1079" s="21">
        <f ca="1">LEFT(Music_Data[[#This Row],[Duration_minutes]],3)/60</f>
        <v>3.3</v>
      </c>
      <c r="N1079" s="17">
        <v>2.4899999999999999E-2</v>
      </c>
      <c r="O1079" s="17" t="str">
        <f ca="1">PROPER(Music_Data[[#This Row],[Playlist_subgenre2]])</f>
        <v>Throwback</v>
      </c>
    </row>
    <row r="1080" spans="1:15">
      <c r="A1080" s="17">
        <v>0.42499999999999999</v>
      </c>
      <c r="B1080" s="21">
        <v>102</v>
      </c>
      <c r="C1080" s="16">
        <v>0.35699999999999998</v>
      </c>
      <c r="D1080" s="16" t="str">
        <f ca="1">PROPER(Music_Data[[#This Row],[Playlist_genre2]])</f>
        <v>Pop</v>
      </c>
      <c r="E1080" s="17">
        <v>0.27</v>
      </c>
      <c r="F1080" t="s">
        <v>7228</v>
      </c>
      <c r="G1080">
        <v>83</v>
      </c>
      <c r="H1080" t="s">
        <v>7053</v>
      </c>
      <c r="I1080" t="s">
        <v>7234</v>
      </c>
      <c r="J1080" s="22">
        <v>43910</v>
      </c>
      <c r="K1080">
        <v>1</v>
      </c>
      <c r="L1080">
        <v>5</v>
      </c>
      <c r="M1080" s="21">
        <f ca="1">LEFT(Music_Data[[#This Row],[Duration_minutes]],3)/60</f>
        <v>3.3</v>
      </c>
      <c r="N1080" s="17">
        <v>0.58399999999999996</v>
      </c>
      <c r="O1080" s="17" t="str">
        <f ca="1">PROPER(Music_Data[[#This Row],[Playlist_subgenre2]])</f>
        <v>Soft</v>
      </c>
    </row>
    <row r="1081" spans="1:15">
      <c r="A1081" s="17">
        <v>0.71099999999999997</v>
      </c>
      <c r="B1081" s="21">
        <v>125</v>
      </c>
      <c r="C1081" s="16">
        <v>0.69199999999999995</v>
      </c>
      <c r="D1081" s="16" t="str">
        <f ca="1">PROPER(Music_Data[[#This Row],[Playlist_genre2]])</f>
        <v>Pop</v>
      </c>
      <c r="E1081" s="17">
        <v>0.875</v>
      </c>
      <c r="F1081" t="s">
        <v>7902</v>
      </c>
      <c r="G1081">
        <v>83</v>
      </c>
      <c r="H1081" t="s">
        <v>7830</v>
      </c>
      <c r="I1081" t="s">
        <v>7908</v>
      </c>
      <c r="J1081" s="22">
        <v>30320</v>
      </c>
      <c r="K1081">
        <v>0</v>
      </c>
      <c r="L1081">
        <v>0</v>
      </c>
      <c r="M1081" s="21">
        <f ca="1">LEFT(Music_Data[[#This Row],[Duration_minutes]],3)/60</f>
        <v>3.6</v>
      </c>
      <c r="N1081" s="17">
        <v>0.22500000000000001</v>
      </c>
      <c r="O1081" s="17" t="str">
        <f ca="1">PROPER(Music_Data[[#This Row],[Playlist_subgenre2]])</f>
        <v>Throwback</v>
      </c>
    </row>
    <row r="1082" spans="1:15">
      <c r="A1082" s="17">
        <v>0.26400000000000001</v>
      </c>
      <c r="B1082" s="21">
        <v>119</v>
      </c>
      <c r="C1082" s="16">
        <v>0.42199999999999999</v>
      </c>
      <c r="D1082" s="16" t="str">
        <f ca="1">PROPER(Music_Data[[#This Row],[Playlist_genre2]])</f>
        <v>Pop</v>
      </c>
      <c r="E1082" s="17">
        <v>0.33100000000000002</v>
      </c>
      <c r="F1082" t="s">
        <v>7073</v>
      </c>
      <c r="G1082">
        <v>83</v>
      </c>
      <c r="H1082" t="s">
        <v>7053</v>
      </c>
      <c r="I1082" t="s">
        <v>7079</v>
      </c>
      <c r="J1082" s="22">
        <v>41516</v>
      </c>
      <c r="K1082">
        <v>1</v>
      </c>
      <c r="L1082">
        <v>8</v>
      </c>
      <c r="M1082" s="21">
        <f ca="1">LEFT(Music_Data[[#This Row],[Duration_minutes]],3)/60</f>
        <v>4.4833333333333334</v>
      </c>
      <c r="N1082" s="17">
        <v>0.92200000000000004</v>
      </c>
      <c r="O1082" s="17" t="str">
        <f ca="1">PROPER(Music_Data[[#This Row],[Playlist_subgenre2]])</f>
        <v>Soft</v>
      </c>
    </row>
    <row r="1083" spans="1:15">
      <c r="A1083" s="17">
        <v>0.74099999999999999</v>
      </c>
      <c r="B1083" s="21">
        <v>153</v>
      </c>
      <c r="C1083" s="16">
        <v>0.60099999999999998</v>
      </c>
      <c r="D1083" s="16" t="str">
        <f ca="1">PROPER(Music_Data[[#This Row],[Playlist_genre2]])</f>
        <v>Pop</v>
      </c>
      <c r="E1083" s="17">
        <v>0.441</v>
      </c>
      <c r="F1083" t="s">
        <v>7237</v>
      </c>
      <c r="G1083">
        <v>83</v>
      </c>
      <c r="H1083" t="s">
        <v>7053</v>
      </c>
      <c r="I1083" t="s">
        <v>7243</v>
      </c>
      <c r="J1083" s="22">
        <v>44274</v>
      </c>
      <c r="K1083">
        <v>1</v>
      </c>
      <c r="L1083">
        <v>2</v>
      </c>
      <c r="M1083" s="21">
        <f ca="1">LEFT(Music_Data[[#This Row],[Duration_minutes]],3)/60</f>
        <v>2.5499999999999998</v>
      </c>
      <c r="N1083" s="17">
        <v>0.185</v>
      </c>
      <c r="O1083" s="17" t="str">
        <f ca="1">PROPER(Music_Data[[#This Row],[Playlist_subgenre2]])</f>
        <v>Soft</v>
      </c>
    </row>
    <row r="1084" spans="1:15">
      <c r="A1084" s="17">
        <v>0.76</v>
      </c>
      <c r="B1084" s="21">
        <v>999</v>
      </c>
      <c r="C1084" s="16">
        <v>0.65500000000000003</v>
      </c>
      <c r="D1084" s="16" t="str">
        <f ca="1">PROPER(Music_Data[[#This Row],[Playlist_genre2]])</f>
        <v>Pop</v>
      </c>
      <c r="E1084" s="17">
        <v>0.40899999999999997</v>
      </c>
      <c r="F1084" t="s">
        <v>7237</v>
      </c>
      <c r="G1084">
        <v>83</v>
      </c>
      <c r="H1084" t="s">
        <v>7830</v>
      </c>
      <c r="I1084" t="s">
        <v>7923</v>
      </c>
      <c r="J1084" s="22">
        <v>42321</v>
      </c>
      <c r="K1084">
        <v>0</v>
      </c>
      <c r="L1084">
        <v>0</v>
      </c>
      <c r="M1084" s="21">
        <f ca="1">LEFT(Music_Data[[#This Row],[Duration_minutes]],3)/60</f>
        <v>3.3333333333333335</v>
      </c>
      <c r="N1084" s="17">
        <v>7.9699999999999993E-2</v>
      </c>
      <c r="O1084" s="17" t="str">
        <f ca="1">PROPER(Music_Data[[#This Row],[Playlist_subgenre2]])</f>
        <v>Throwback</v>
      </c>
    </row>
    <row r="1085" spans="1:15">
      <c r="A1085" s="17">
        <v>0.83699999999999997</v>
      </c>
      <c r="B1085" s="21">
        <v>120</v>
      </c>
      <c r="C1085" s="16">
        <v>0.755</v>
      </c>
      <c r="D1085" s="16" t="str">
        <f ca="1">PROPER(Music_Data[[#This Row],[Playlist_genre2]])</f>
        <v>Pop</v>
      </c>
      <c r="E1085" s="17">
        <v>0.71399999999999997</v>
      </c>
      <c r="F1085" t="s">
        <v>7910</v>
      </c>
      <c r="G1085">
        <v>83</v>
      </c>
      <c r="H1085" t="s">
        <v>7830</v>
      </c>
      <c r="I1085" t="s">
        <v>7916</v>
      </c>
      <c r="J1085" s="22">
        <v>40179</v>
      </c>
      <c r="K1085">
        <v>0</v>
      </c>
      <c r="L1085">
        <v>2</v>
      </c>
      <c r="M1085" s="21">
        <f ca="1">LEFT(Music_Data[[#This Row],[Duration_minutes]],3)/60</f>
        <v>3.3166666666666669</v>
      </c>
      <c r="N1085" s="17">
        <v>9.9099999999999994E-2</v>
      </c>
      <c r="O1085" s="17" t="str">
        <f ca="1">PROPER(Music_Data[[#This Row],[Playlist_subgenre2]])</f>
        <v>Throwback</v>
      </c>
    </row>
    <row r="1086" spans="1:15">
      <c r="A1086" s="17">
        <v>0.71299999999999997</v>
      </c>
      <c r="B1086" s="21">
        <v>120</v>
      </c>
      <c r="C1086" s="16">
        <v>0.74199999999999999</v>
      </c>
      <c r="D1086" s="16" t="str">
        <f ca="1">PROPER(Music_Data[[#This Row],[Playlist_genre2]])</f>
        <v>Pop</v>
      </c>
      <c r="E1086" s="17">
        <v>0.879</v>
      </c>
      <c r="F1086" t="s">
        <v>7246</v>
      </c>
      <c r="G1086">
        <v>83</v>
      </c>
      <c r="H1086" t="s">
        <v>7053</v>
      </c>
      <c r="I1086" t="s">
        <v>7252</v>
      </c>
      <c r="J1086" s="22">
        <v>41884</v>
      </c>
      <c r="K1086">
        <v>0</v>
      </c>
      <c r="L1086">
        <v>1</v>
      </c>
      <c r="M1086" s="21">
        <f ca="1">LEFT(Music_Data[[#This Row],[Duration_minutes]],3)/60</f>
        <v>3.15</v>
      </c>
      <c r="N1086" s="17">
        <v>2.0500000000000001E-2</v>
      </c>
      <c r="O1086" s="17" t="str">
        <f ca="1">PROPER(Music_Data[[#This Row],[Playlist_subgenre2]])</f>
        <v>Soft</v>
      </c>
    </row>
    <row r="1087" spans="1:15">
      <c r="A1087" s="17">
        <v>0.54700000000000004</v>
      </c>
      <c r="B1087" s="21">
        <v>950</v>
      </c>
      <c r="C1087" s="16">
        <v>0.77800000000000002</v>
      </c>
      <c r="D1087" s="16" t="str">
        <f ca="1">PROPER(Music_Data[[#This Row],[Playlist_genre2]])</f>
        <v>Pop</v>
      </c>
      <c r="E1087" s="17">
        <v>0.442</v>
      </c>
      <c r="F1087" t="s">
        <v>7082</v>
      </c>
      <c r="G1087">
        <v>83</v>
      </c>
      <c r="H1087" t="s">
        <v>7053</v>
      </c>
      <c r="I1087" t="s">
        <v>7088</v>
      </c>
      <c r="J1087" s="22">
        <v>41170</v>
      </c>
      <c r="K1087">
        <v>1</v>
      </c>
      <c r="L1087">
        <v>2</v>
      </c>
      <c r="M1087" s="21">
        <f ca="1">LEFT(Music_Data[[#This Row],[Duration_minutes]],3)/60</f>
        <v>4.0333333333333332</v>
      </c>
      <c r="N1087" s="17">
        <v>0.34399999999999997</v>
      </c>
      <c r="O1087" s="17" t="str">
        <f ca="1">PROPER(Music_Data[[#This Row],[Playlist_subgenre2]])</f>
        <v>Soft</v>
      </c>
    </row>
    <row r="1088" spans="1:15">
      <c r="A1088" s="17">
        <v>0.76300000000000001</v>
      </c>
      <c r="B1088" s="21">
        <v>120</v>
      </c>
      <c r="C1088" s="16">
        <v>0.69499999999999995</v>
      </c>
      <c r="D1088" s="16" t="str">
        <f ca="1">PROPER(Music_Data[[#This Row],[Playlist_genre2]])</f>
        <v>Pop</v>
      </c>
      <c r="E1088" s="17">
        <v>0.55100000000000005</v>
      </c>
      <c r="F1088" t="s">
        <v>7220</v>
      </c>
      <c r="G1088">
        <v>83</v>
      </c>
      <c r="H1088" t="s">
        <v>7053</v>
      </c>
      <c r="I1088" t="s">
        <v>7226</v>
      </c>
      <c r="J1088" s="22">
        <v>43714</v>
      </c>
      <c r="K1088">
        <v>1</v>
      </c>
      <c r="L1088">
        <v>0</v>
      </c>
      <c r="M1088" s="21">
        <f ca="1">LEFT(Music_Data[[#This Row],[Duration_minutes]],3)/60</f>
        <v>3.5833333333333335</v>
      </c>
      <c r="N1088" s="17">
        <v>0.189</v>
      </c>
      <c r="O1088" s="17" t="str">
        <f ca="1">PROPER(Music_Data[[#This Row],[Playlist_subgenre2]])</f>
        <v>Soft</v>
      </c>
    </row>
    <row r="1089" spans="1:15">
      <c r="A1089" s="17">
        <v>0.86599999999999999</v>
      </c>
      <c r="B1089" s="21">
        <v>128</v>
      </c>
      <c r="C1089" s="16">
        <v>0.57799999999999996</v>
      </c>
      <c r="D1089" s="16" t="str">
        <f ca="1">PROPER(Music_Data[[#This Row],[Playlist_genre2]])</f>
        <v>Pop</v>
      </c>
      <c r="E1089" s="17">
        <v>0.61899999999999999</v>
      </c>
      <c r="F1089" t="s">
        <v>7870</v>
      </c>
      <c r="G1089">
        <v>83</v>
      </c>
      <c r="H1089" t="s">
        <v>7830</v>
      </c>
      <c r="I1089" t="s">
        <v>7876</v>
      </c>
      <c r="J1089" s="22">
        <v>41975</v>
      </c>
      <c r="K1089">
        <v>1</v>
      </c>
      <c r="L1089">
        <v>1</v>
      </c>
      <c r="M1089" s="21">
        <f ca="1">LEFT(Music_Data[[#This Row],[Duration_minutes]],3)/60</f>
        <v>3.3166666666666669</v>
      </c>
      <c r="N1089" s="17">
        <v>7.0099999999999997E-3</v>
      </c>
      <c r="O1089" s="17" t="str">
        <f ca="1">PROPER(Music_Data[[#This Row],[Playlist_subgenre2]])</f>
        <v>Throwback</v>
      </c>
    </row>
    <row r="1090" spans="1:15">
      <c r="A1090" s="17">
        <v>0.87</v>
      </c>
      <c r="B1090" s="21">
        <v>100</v>
      </c>
      <c r="C1090" s="16">
        <v>0.54300000000000004</v>
      </c>
      <c r="D1090" s="16" t="str">
        <f ca="1">PROPER(Music_Data[[#This Row],[Playlist_genre2]])</f>
        <v>Pop</v>
      </c>
      <c r="E1090" s="17">
        <v>0.754</v>
      </c>
      <c r="F1090" t="s">
        <v>7925</v>
      </c>
      <c r="G1090">
        <v>82</v>
      </c>
      <c r="H1090" t="s">
        <v>7830</v>
      </c>
      <c r="I1090" t="s">
        <v>7931</v>
      </c>
      <c r="J1090" s="22">
        <v>1976</v>
      </c>
      <c r="K1090">
        <v>1</v>
      </c>
      <c r="L1090">
        <v>9</v>
      </c>
      <c r="M1090" s="21">
        <f ca="1">LEFT(Music_Data[[#This Row],[Duration_minutes]],3)/60</f>
        <v>3.8333333333333335</v>
      </c>
      <c r="N1090" s="17">
        <v>0.35799999999999998</v>
      </c>
      <c r="O1090" s="17" t="str">
        <f ca="1">PROPER(Music_Data[[#This Row],[Playlist_subgenre2]])</f>
        <v>Throwback</v>
      </c>
    </row>
    <row r="1091" spans="1:15">
      <c r="A1091" s="17">
        <v>0.621</v>
      </c>
      <c r="B1091" s="21">
        <v>191</v>
      </c>
      <c r="C1091" s="16">
        <v>0.52500000000000002</v>
      </c>
      <c r="D1091" s="16" t="str">
        <f ca="1">PROPER(Music_Data[[#This Row],[Playlist_genre2]])</f>
        <v>Pop</v>
      </c>
      <c r="E1091" s="17">
        <v>0.59199999999999997</v>
      </c>
      <c r="F1091" t="s">
        <v>464</v>
      </c>
      <c r="G1091">
        <v>82</v>
      </c>
      <c r="H1091" t="s">
        <v>6368</v>
      </c>
      <c r="I1091" t="s">
        <v>6603</v>
      </c>
      <c r="J1091" s="22">
        <v>41967</v>
      </c>
      <c r="K1091">
        <v>1</v>
      </c>
      <c r="L1091">
        <v>7</v>
      </c>
      <c r="M1091" s="21">
        <f ca="1">LEFT(Music_Data[[#This Row],[Duration_minutes]],3)/60</f>
        <v>3.4</v>
      </c>
      <c r="N1091" s="17">
        <v>4.8899999999999999E-2</v>
      </c>
      <c r="O1091" s="17" t="str">
        <f ca="1">PROPER(Music_Data[[#This Row],[Playlist_subgenre2]])</f>
        <v>Global</v>
      </c>
    </row>
    <row r="1092" spans="1:15">
      <c r="A1092" s="17">
        <v>0.83499999999999996</v>
      </c>
      <c r="B1092" s="21">
        <v>125</v>
      </c>
      <c r="C1092" s="16">
        <v>0.52700000000000002</v>
      </c>
      <c r="D1092" s="16" t="str">
        <f ca="1">PROPER(Music_Data[[#This Row],[Playlist_genre2]])</f>
        <v>Pop</v>
      </c>
      <c r="E1092" s="17">
        <v>0.65400000000000003</v>
      </c>
      <c r="F1092" t="s">
        <v>4242</v>
      </c>
      <c r="G1092">
        <v>82</v>
      </c>
      <c r="H1092" t="s">
        <v>7830</v>
      </c>
      <c r="I1092" t="s">
        <v>4249</v>
      </c>
      <c r="J1092" s="22">
        <v>41640</v>
      </c>
      <c r="K1092">
        <v>1</v>
      </c>
      <c r="L1092">
        <v>6</v>
      </c>
      <c r="M1092" s="21">
        <f ca="1">LEFT(Music_Data[[#This Row],[Duration_minutes]],3)/60</f>
        <v>2.9333333333333331</v>
      </c>
      <c r="N1092" s="17">
        <v>1.66E-2</v>
      </c>
      <c r="O1092" s="17" t="str">
        <f ca="1">PROPER(Music_Data[[#This Row],[Playlist_subgenre2]])</f>
        <v>Throwback</v>
      </c>
    </row>
    <row r="1093" spans="1:15">
      <c r="A1093" s="17">
        <v>0.82299999999999995</v>
      </c>
      <c r="B1093" s="21">
        <v>128</v>
      </c>
      <c r="C1093" s="16">
        <v>0.64600000000000002</v>
      </c>
      <c r="D1093" s="16" t="str">
        <f ca="1">PROPER(Music_Data[[#This Row],[Playlist_genre2]])</f>
        <v>Pop</v>
      </c>
      <c r="E1093" s="17">
        <v>0.41799999999999998</v>
      </c>
      <c r="F1093" t="s">
        <v>4232</v>
      </c>
      <c r="G1093">
        <v>82</v>
      </c>
      <c r="H1093" t="s">
        <v>7830</v>
      </c>
      <c r="I1093" t="s">
        <v>4239</v>
      </c>
      <c r="J1093" s="22">
        <v>41943</v>
      </c>
      <c r="K1093">
        <v>0</v>
      </c>
      <c r="L1093">
        <v>2</v>
      </c>
      <c r="M1093" s="21">
        <f ca="1">LEFT(Music_Data[[#This Row],[Duration_minutes]],3)/60</f>
        <v>3.7833333333333332</v>
      </c>
      <c r="N1093" s="17">
        <v>0.21299999999999999</v>
      </c>
      <c r="O1093" s="17" t="str">
        <f ca="1">PROPER(Music_Data[[#This Row],[Playlist_subgenre2]])</f>
        <v>Throwback</v>
      </c>
    </row>
    <row r="1094" spans="1:15">
      <c r="A1094" s="17">
        <v>0.55600000000000005</v>
      </c>
      <c r="B1094" s="21">
        <v>138</v>
      </c>
      <c r="C1094" s="16">
        <v>0.53100000000000003</v>
      </c>
      <c r="D1094" s="16" t="str">
        <f ca="1">PROPER(Music_Data[[#This Row],[Playlist_genre2]])</f>
        <v>Pop</v>
      </c>
      <c r="E1094" s="17">
        <v>0.156</v>
      </c>
      <c r="F1094" t="s">
        <v>8843</v>
      </c>
      <c r="G1094">
        <v>82</v>
      </c>
      <c r="H1094" t="s">
        <v>8847</v>
      </c>
      <c r="I1094" t="s">
        <v>8846</v>
      </c>
      <c r="J1094" s="22">
        <v>45258</v>
      </c>
      <c r="K1094">
        <v>1</v>
      </c>
      <c r="L1094">
        <v>5</v>
      </c>
      <c r="M1094" s="21">
        <f ca="1">LEFT(Music_Data[[#This Row],[Duration_minutes]],3)/60</f>
        <v>2.2000000000000002</v>
      </c>
      <c r="N1094" s="17">
        <v>0.40699999999999997</v>
      </c>
      <c r="O1094" s="17" t="str">
        <f ca="1">PROPER(Music_Data[[#This Row],[Playlist_subgenre2]])</f>
        <v>Bedroom</v>
      </c>
    </row>
    <row r="1095" spans="1:15">
      <c r="A1095" s="17">
        <v>0.41699999999999998</v>
      </c>
      <c r="B1095" s="21">
        <v>138</v>
      </c>
      <c r="C1095" s="16">
        <v>0.20899999999999999</v>
      </c>
      <c r="D1095" s="16" t="str">
        <f ca="1">PROPER(Music_Data[[#This Row],[Playlist_genre2]])</f>
        <v>Pop</v>
      </c>
      <c r="E1095" s="17">
        <v>0.124</v>
      </c>
      <c r="F1095" t="s">
        <v>6465</v>
      </c>
      <c r="G1095">
        <v>82</v>
      </c>
      <c r="H1095" t="s">
        <v>7053</v>
      </c>
      <c r="I1095" t="s">
        <v>7280</v>
      </c>
      <c r="J1095" s="22">
        <v>38510</v>
      </c>
      <c r="K1095">
        <v>1</v>
      </c>
      <c r="L1095">
        <v>3</v>
      </c>
      <c r="M1095" s="21">
        <f ca="1">LEFT(Music_Data[[#This Row],[Duration_minutes]],3)/60</f>
        <v>4.916666666666667</v>
      </c>
      <c r="N1095" s="17">
        <v>0.16400000000000001</v>
      </c>
      <c r="O1095" s="17" t="str">
        <f ca="1">PROPER(Music_Data[[#This Row],[Playlist_subgenre2]])</f>
        <v>Soft</v>
      </c>
    </row>
    <row r="1096" spans="1:15">
      <c r="A1096" s="17">
        <v>0.78700000000000003</v>
      </c>
      <c r="B1096" s="21">
        <v>109</v>
      </c>
      <c r="C1096" s="16">
        <v>0.73399999999999999</v>
      </c>
      <c r="D1096" s="16" t="str">
        <f ca="1">PROPER(Music_Data[[#This Row],[Playlist_genre2]])</f>
        <v>Pop</v>
      </c>
      <c r="E1096" s="17">
        <v>0.67200000000000004</v>
      </c>
      <c r="F1096" t="s">
        <v>254</v>
      </c>
      <c r="G1096">
        <v>82</v>
      </c>
      <c r="H1096" t="s">
        <v>39</v>
      </c>
      <c r="I1096" t="s">
        <v>258</v>
      </c>
      <c r="J1096" s="22">
        <v>45573</v>
      </c>
      <c r="K1096">
        <v>0</v>
      </c>
      <c r="L1096">
        <v>5</v>
      </c>
      <c r="M1096" s="21">
        <f ca="1">LEFT(Music_Data[[#This Row],[Duration_minutes]],3)/60</f>
        <v>2.5833333333333335</v>
      </c>
      <c r="N1096" s="17">
        <v>0.126</v>
      </c>
      <c r="O1096" s="17" t="str">
        <f ca="1">PROPER(Music_Data[[#This Row],[Playlist_subgenre2]])</f>
        <v>Mainstream</v>
      </c>
    </row>
    <row r="1097" spans="1:15">
      <c r="A1097" s="17">
        <v>0.60299999999999998</v>
      </c>
      <c r="B1097" s="21">
        <v>979</v>
      </c>
      <c r="C1097" s="16">
        <v>0.71199999999999997</v>
      </c>
      <c r="D1097" s="16" t="str">
        <f ca="1">PROPER(Music_Data[[#This Row],[Playlist_genre2]])</f>
        <v>Pop</v>
      </c>
      <c r="E1097" s="17">
        <v>0.67</v>
      </c>
      <c r="F1097" t="s">
        <v>7284</v>
      </c>
      <c r="G1097">
        <v>82</v>
      </c>
      <c r="H1097" t="s">
        <v>7053</v>
      </c>
      <c r="I1097" t="s">
        <v>7291</v>
      </c>
      <c r="J1097" s="22">
        <v>45009</v>
      </c>
      <c r="K1097">
        <v>1</v>
      </c>
      <c r="L1097">
        <v>8</v>
      </c>
      <c r="M1097" s="21">
        <f ca="1">LEFT(Music_Data[[#This Row],[Duration_minutes]],3)/60</f>
        <v>4.416666666666667</v>
      </c>
      <c r="N1097" s="17">
        <v>0.186</v>
      </c>
      <c r="O1097" s="17" t="str">
        <f ca="1">PROPER(Music_Data[[#This Row],[Playlist_subgenre2]])</f>
        <v>Soft</v>
      </c>
    </row>
    <row r="1098" spans="1:15">
      <c r="A1098" s="17">
        <v>0.66800000000000004</v>
      </c>
      <c r="B1098" s="21">
        <v>909</v>
      </c>
      <c r="C1098" s="16">
        <v>0.64600000000000002</v>
      </c>
      <c r="D1098" s="16" t="str">
        <f ca="1">PROPER(Music_Data[[#This Row],[Playlist_genre2]])</f>
        <v>Pop</v>
      </c>
      <c r="E1098" s="17">
        <v>0.64</v>
      </c>
      <c r="F1098" t="s">
        <v>530</v>
      </c>
      <c r="G1098">
        <v>82</v>
      </c>
      <c r="H1098" t="s">
        <v>39</v>
      </c>
      <c r="I1098" t="s">
        <v>534</v>
      </c>
      <c r="J1098" s="22">
        <v>45338</v>
      </c>
      <c r="K1098">
        <v>1</v>
      </c>
      <c r="L1098">
        <v>2</v>
      </c>
      <c r="M1098" s="21">
        <f ca="1">LEFT(Music_Data[[#This Row],[Duration_minutes]],3)/60</f>
        <v>2.4666666666666668</v>
      </c>
      <c r="N1098" s="17">
        <v>0.49099999999999999</v>
      </c>
      <c r="O1098" s="17" t="str">
        <f ca="1">PROPER(Music_Data[[#This Row],[Playlist_subgenre2]])</f>
        <v>Mainstream</v>
      </c>
    </row>
    <row r="1099" spans="1:15">
      <c r="A1099" s="17">
        <v>0.32700000000000001</v>
      </c>
      <c r="B1099" s="21">
        <v>910</v>
      </c>
      <c r="C1099" s="16">
        <v>0.77500000000000002</v>
      </c>
      <c r="D1099" s="16" t="str">
        <f ca="1">PROPER(Music_Data[[#This Row],[Playlist_genre2]])</f>
        <v>Pop</v>
      </c>
      <c r="E1099" s="17">
        <v>0.59499999999999997</v>
      </c>
      <c r="F1099" t="s">
        <v>7246</v>
      </c>
      <c r="G1099">
        <v>82</v>
      </c>
      <c r="H1099" t="s">
        <v>7053</v>
      </c>
      <c r="I1099" t="s">
        <v>7335</v>
      </c>
      <c r="J1099" s="22">
        <v>44358</v>
      </c>
      <c r="K1099">
        <v>1</v>
      </c>
      <c r="L1099">
        <v>11</v>
      </c>
      <c r="M1099" s="21">
        <f ca="1">LEFT(Music_Data[[#This Row],[Duration_minutes]],3)/60</f>
        <v>3.15</v>
      </c>
      <c r="N1099" s="17">
        <v>0.84099999999999997</v>
      </c>
      <c r="O1099" s="17" t="str">
        <f ca="1">PROPER(Music_Data[[#This Row],[Playlist_subgenre2]])</f>
        <v>Soft</v>
      </c>
    </row>
    <row r="1100" spans="1:15">
      <c r="A1100" s="17">
        <v>0.86199999999999999</v>
      </c>
      <c r="B1100" s="21">
        <v>950</v>
      </c>
      <c r="C1100" s="16">
        <v>0.71199999999999997</v>
      </c>
      <c r="D1100" s="16" t="str">
        <f ca="1">PROPER(Music_Data[[#This Row],[Playlist_genre2]])</f>
        <v>Pop</v>
      </c>
      <c r="E1100" s="17">
        <v>0.80900000000000005</v>
      </c>
      <c r="F1100" t="s">
        <v>7246</v>
      </c>
      <c r="G1100">
        <v>82</v>
      </c>
      <c r="H1100" t="s">
        <v>7053</v>
      </c>
      <c r="I1100" t="s">
        <v>7383</v>
      </c>
      <c r="J1100" s="22">
        <v>2002</v>
      </c>
      <c r="K1100">
        <v>0</v>
      </c>
      <c r="L1100">
        <v>5</v>
      </c>
      <c r="M1100" s="21">
        <f ca="1">LEFT(Music_Data[[#This Row],[Duration_minutes]],3)/60</f>
        <v>3.4333333333333331</v>
      </c>
      <c r="N1100" s="17">
        <v>5.2499999999999998E-2</v>
      </c>
      <c r="O1100" s="17" t="str">
        <f ca="1">PROPER(Music_Data[[#This Row],[Playlist_subgenre2]])</f>
        <v>Soft</v>
      </c>
    </row>
    <row r="1101" spans="1:15">
      <c r="A1101" s="17">
        <v>0.96299999999999997</v>
      </c>
      <c r="B1101" s="21">
        <v>129</v>
      </c>
      <c r="C1101" s="16">
        <v>0.58099999999999996</v>
      </c>
      <c r="D1101" s="16" t="str">
        <f ca="1">PROPER(Music_Data[[#This Row],[Playlist_genre2]])</f>
        <v>Pop</v>
      </c>
      <c r="E1101" s="17">
        <v>0.78800000000000003</v>
      </c>
      <c r="F1101" t="s">
        <v>4309</v>
      </c>
      <c r="G1101">
        <v>82</v>
      </c>
      <c r="H1101" t="s">
        <v>7830</v>
      </c>
      <c r="I1101" t="s">
        <v>4315</v>
      </c>
      <c r="J1101" s="22">
        <v>2012</v>
      </c>
      <c r="K1101">
        <v>1</v>
      </c>
      <c r="L1101">
        <v>11</v>
      </c>
      <c r="M1101" s="21">
        <f ca="1">LEFT(Music_Data[[#This Row],[Duration_minutes]],3)/60</f>
        <v>3.4</v>
      </c>
      <c r="N1101" s="17">
        <v>2.9499999999999998E-2</v>
      </c>
      <c r="O1101" s="17" t="str">
        <f ca="1">PROPER(Music_Data[[#This Row],[Playlist_subgenre2]])</f>
        <v>Throwback</v>
      </c>
    </row>
    <row r="1102" spans="1:15">
      <c r="A1102" s="17">
        <v>0.80200000000000005</v>
      </c>
      <c r="B1102" s="21">
        <v>124</v>
      </c>
      <c r="C1102" s="16">
        <v>0.72099999999999997</v>
      </c>
      <c r="D1102" s="16" t="str">
        <f ca="1">PROPER(Music_Data[[#This Row],[Playlist_genre2]])</f>
        <v>Pop</v>
      </c>
      <c r="E1102" s="17">
        <v>0.72399999999999998</v>
      </c>
      <c r="F1102" t="s">
        <v>7973</v>
      </c>
      <c r="G1102">
        <v>82</v>
      </c>
      <c r="H1102" t="s">
        <v>7830</v>
      </c>
      <c r="I1102" t="s">
        <v>7979</v>
      </c>
      <c r="J1102" s="22">
        <v>41964</v>
      </c>
      <c r="K1102">
        <v>1</v>
      </c>
      <c r="L1102">
        <v>1</v>
      </c>
      <c r="M1102" s="21">
        <f ca="1">LEFT(Music_Data[[#This Row],[Duration_minutes]],3)/60</f>
        <v>3.8166666666666669</v>
      </c>
      <c r="N1102" s="17">
        <v>9.2100000000000001E-2</v>
      </c>
      <c r="O1102" s="17" t="str">
        <f ca="1">PROPER(Music_Data[[#This Row],[Playlist_subgenre2]])</f>
        <v>Throwback</v>
      </c>
    </row>
    <row r="1103" spans="1:15">
      <c r="A1103" s="17">
        <v>0.56299999999999994</v>
      </c>
      <c r="B1103" s="21">
        <v>105</v>
      </c>
      <c r="C1103" s="16">
        <v>0.83299999999999996</v>
      </c>
      <c r="D1103" s="16" t="str">
        <f ca="1">PROPER(Music_Data[[#This Row],[Playlist_genre2]])</f>
        <v>Pop</v>
      </c>
      <c r="E1103" s="17">
        <v>0.34300000000000003</v>
      </c>
      <c r="F1103" t="s">
        <v>350</v>
      </c>
      <c r="G1103">
        <v>82</v>
      </c>
      <c r="H1103" t="s">
        <v>39</v>
      </c>
      <c r="I1103" t="s">
        <v>357</v>
      </c>
      <c r="J1103" s="22">
        <v>45611</v>
      </c>
      <c r="K1103">
        <v>0</v>
      </c>
      <c r="L1103">
        <v>4</v>
      </c>
      <c r="M1103" s="21">
        <f ca="1">LEFT(Music_Data[[#This Row],[Duration_minutes]],3)/60</f>
        <v>3.0333333333333332</v>
      </c>
      <c r="N1103" s="17">
        <v>0.52800000000000002</v>
      </c>
      <c r="O1103" s="17" t="str">
        <f ca="1">PROPER(Music_Data[[#This Row],[Playlist_subgenre2]])</f>
        <v>Mainstream</v>
      </c>
    </row>
    <row r="1104" spans="1:15">
      <c r="A1104" s="17">
        <v>0.56299999999999994</v>
      </c>
      <c r="B1104" s="21">
        <v>105</v>
      </c>
      <c r="C1104" s="16">
        <v>0.83299999999999996</v>
      </c>
      <c r="D1104" s="16" t="str">
        <f ca="1">PROPER(Music_Data[[#This Row],[Playlist_genre2]])</f>
        <v>Pop</v>
      </c>
      <c r="E1104" s="17">
        <v>0.34300000000000003</v>
      </c>
      <c r="F1104" t="s">
        <v>350</v>
      </c>
      <c r="G1104">
        <v>82</v>
      </c>
      <c r="H1104" t="s">
        <v>6368</v>
      </c>
      <c r="I1104" t="s">
        <v>357</v>
      </c>
      <c r="J1104" s="22">
        <v>45611</v>
      </c>
      <c r="K1104">
        <v>0</v>
      </c>
      <c r="L1104">
        <v>4</v>
      </c>
      <c r="M1104" s="21">
        <f ca="1">LEFT(Music_Data[[#This Row],[Duration_minutes]],3)/60</f>
        <v>3.0333333333333332</v>
      </c>
      <c r="N1104" s="17">
        <v>0.52800000000000002</v>
      </c>
      <c r="O1104" s="17" t="str">
        <f ca="1">PROPER(Music_Data[[#This Row],[Playlist_subgenre2]])</f>
        <v>Global</v>
      </c>
    </row>
    <row r="1105" spans="1:15">
      <c r="A1105" s="17">
        <v>0.754</v>
      </c>
      <c r="B1105" s="21">
        <v>149</v>
      </c>
      <c r="C1105" s="16">
        <v>0.752</v>
      </c>
      <c r="D1105" s="16" t="str">
        <f ca="1">PROPER(Music_Data[[#This Row],[Playlist_genre2]])</f>
        <v>Pop</v>
      </c>
      <c r="E1105" s="17">
        <v>0.755</v>
      </c>
      <c r="F1105" t="s">
        <v>7265</v>
      </c>
      <c r="G1105">
        <v>82</v>
      </c>
      <c r="H1105" t="s">
        <v>7053</v>
      </c>
      <c r="I1105" t="s">
        <v>7271</v>
      </c>
      <c r="J1105" s="22">
        <v>42108</v>
      </c>
      <c r="K1105">
        <v>1</v>
      </c>
      <c r="L1105">
        <v>1</v>
      </c>
      <c r="M1105" s="21">
        <f ca="1">LEFT(Music_Data[[#This Row],[Duration_minutes]],3)/60</f>
        <v>3.4333333333333331</v>
      </c>
      <c r="N1105" s="17">
        <v>1.5100000000000001E-2</v>
      </c>
      <c r="O1105" s="17" t="str">
        <f ca="1">PROPER(Music_Data[[#This Row],[Playlist_subgenre2]])</f>
        <v>Soft</v>
      </c>
    </row>
    <row r="1106" spans="1:15">
      <c r="A1106" s="17">
        <v>0.80700000000000005</v>
      </c>
      <c r="B1106" s="21">
        <v>114</v>
      </c>
      <c r="C1106" s="16">
        <v>0.72899999999999998</v>
      </c>
      <c r="D1106" s="16" t="str">
        <f ca="1">PROPER(Music_Data[[#This Row],[Playlist_genre2]])</f>
        <v>Pop</v>
      </c>
      <c r="E1106" s="17">
        <v>0.76500000000000001</v>
      </c>
      <c r="F1106" t="s">
        <v>7934</v>
      </c>
      <c r="G1106">
        <v>82</v>
      </c>
      <c r="H1106" t="s">
        <v>7830</v>
      </c>
      <c r="I1106" t="s">
        <v>7940</v>
      </c>
      <c r="J1106" s="22">
        <v>39083</v>
      </c>
      <c r="K1106">
        <v>1</v>
      </c>
      <c r="L1106">
        <v>6</v>
      </c>
      <c r="M1106" s="21">
        <f ca="1">LEFT(Music_Data[[#This Row],[Duration_minutes]],3)/60</f>
        <v>2.9833333333333334</v>
      </c>
      <c r="N1106" s="17">
        <v>0.18099999999999999</v>
      </c>
      <c r="O1106" s="17" t="str">
        <f ca="1">PROPER(Music_Data[[#This Row],[Playlist_subgenre2]])</f>
        <v>Throwback</v>
      </c>
    </row>
    <row r="1107" spans="1:15">
      <c r="A1107" s="17">
        <v>0.64600000000000002</v>
      </c>
      <c r="B1107" s="21">
        <v>115</v>
      </c>
      <c r="C1107" s="16">
        <v>0.64500000000000002</v>
      </c>
      <c r="D1107" s="16" t="str">
        <f ca="1">PROPER(Music_Data[[#This Row],[Playlist_genre2]])</f>
        <v>Pop</v>
      </c>
      <c r="E1107" s="17">
        <v>0.29499999999999998</v>
      </c>
      <c r="F1107" t="s">
        <v>464</v>
      </c>
      <c r="G1107">
        <v>81</v>
      </c>
      <c r="H1107" t="s">
        <v>39</v>
      </c>
      <c r="I1107" t="s">
        <v>471</v>
      </c>
      <c r="J1107" s="22">
        <v>45359</v>
      </c>
      <c r="K1107">
        <v>1</v>
      </c>
      <c r="L1107">
        <v>5</v>
      </c>
      <c r="M1107" s="21">
        <f ca="1">LEFT(Music_Data[[#This Row],[Duration_minutes]],3)/60</f>
        <v>3.8</v>
      </c>
      <c r="N1107" s="17">
        <v>6.1499999999999999E-2</v>
      </c>
      <c r="O1107" s="17" t="str">
        <f ca="1">PROPER(Music_Data[[#This Row],[Playlist_subgenre2]])</f>
        <v>Mainstream</v>
      </c>
    </row>
    <row r="1108" spans="1:15">
      <c r="A1108" s="17">
        <v>0.77600000000000002</v>
      </c>
      <c r="B1108" s="21">
        <v>779</v>
      </c>
      <c r="C1108" s="16">
        <v>0.58499999999999996</v>
      </c>
      <c r="D1108" s="16" t="str">
        <f ca="1">PROPER(Music_Data[[#This Row],[Playlist_genre2]])</f>
        <v>Pop</v>
      </c>
      <c r="E1108" s="17">
        <v>0.42699999999999999</v>
      </c>
      <c r="F1108" t="s">
        <v>7310</v>
      </c>
      <c r="G1108">
        <v>81</v>
      </c>
      <c r="H1108" t="s">
        <v>7053</v>
      </c>
      <c r="I1108" t="s">
        <v>7316</v>
      </c>
      <c r="J1108" s="22">
        <v>37411</v>
      </c>
      <c r="K1108">
        <v>1</v>
      </c>
      <c r="L1108">
        <v>5</v>
      </c>
      <c r="M1108" s="21">
        <f ca="1">LEFT(Music_Data[[#This Row],[Duration_minutes]],3)/60</f>
        <v>4.0666666666666664</v>
      </c>
      <c r="N1108" s="17">
        <v>5.7200000000000001E-2</v>
      </c>
      <c r="O1108" s="17" t="str">
        <f ca="1">PROPER(Music_Data[[#This Row],[Playlist_subgenre2]])</f>
        <v>Soft</v>
      </c>
    </row>
    <row r="1109" spans="1:15">
      <c r="A1109" s="17">
        <v>0.69899999999999995</v>
      </c>
      <c r="B1109" s="21">
        <v>929</v>
      </c>
      <c r="C1109" s="16">
        <v>0.75900000000000001</v>
      </c>
      <c r="D1109" s="16" t="str">
        <f ca="1">PROPER(Music_Data[[#This Row],[Playlist_genre2]])</f>
        <v>Pop</v>
      </c>
      <c r="E1109" s="17">
        <v>0.90700000000000003</v>
      </c>
      <c r="F1109" t="s">
        <v>7893</v>
      </c>
      <c r="G1109">
        <v>81</v>
      </c>
      <c r="H1109" t="s">
        <v>7830</v>
      </c>
      <c r="I1109" t="s">
        <v>7955</v>
      </c>
      <c r="J1109" s="22">
        <v>36172</v>
      </c>
      <c r="K1109">
        <v>0</v>
      </c>
      <c r="L1109">
        <v>0</v>
      </c>
      <c r="M1109" s="21">
        <f ca="1">LEFT(Music_Data[[#This Row],[Duration_minutes]],3)/60</f>
        <v>3.5166666666666666</v>
      </c>
      <c r="N1109" s="17">
        <v>0.20200000000000001</v>
      </c>
      <c r="O1109" s="17" t="str">
        <f ca="1">PROPER(Music_Data[[#This Row],[Playlist_subgenre2]])</f>
        <v>Throwback</v>
      </c>
    </row>
    <row r="1110" spans="1:15">
      <c r="A1110" s="17">
        <v>0.85599999999999998</v>
      </c>
      <c r="B1110" s="21">
        <v>127</v>
      </c>
      <c r="C1110" s="16">
        <v>0.59599999999999997</v>
      </c>
      <c r="D1110" s="16" t="str">
        <f ca="1">PROPER(Music_Data[[#This Row],[Playlist_genre2]])</f>
        <v>Pop</v>
      </c>
      <c r="E1110" s="17">
        <v>0.74299999999999999</v>
      </c>
      <c r="F1110" t="s">
        <v>4292</v>
      </c>
      <c r="G1110">
        <v>81</v>
      </c>
      <c r="H1110" t="s">
        <v>7830</v>
      </c>
      <c r="I1110" t="s">
        <v>4297</v>
      </c>
      <c r="J1110" s="22">
        <v>41943</v>
      </c>
      <c r="K1110">
        <v>0</v>
      </c>
      <c r="L1110">
        <v>4</v>
      </c>
      <c r="M1110" s="21">
        <f ca="1">LEFT(Music_Data[[#This Row],[Duration_minutes]],3)/60</f>
        <v>3.7</v>
      </c>
      <c r="N1110" s="17">
        <v>2.1100000000000001E-2</v>
      </c>
      <c r="O1110" s="17" t="str">
        <f ca="1">PROPER(Music_Data[[#This Row],[Playlist_subgenre2]])</f>
        <v>Throwback</v>
      </c>
    </row>
    <row r="1111" spans="1:15">
      <c r="A1111" s="17">
        <v>0.58499999999999996</v>
      </c>
      <c r="B1111" s="21">
        <v>139</v>
      </c>
      <c r="C1111" s="16">
        <v>0.44900000000000001</v>
      </c>
      <c r="D1111" s="16" t="str">
        <f ca="1">PROPER(Music_Data[[#This Row],[Playlist_genre2]])</f>
        <v>Pop</v>
      </c>
      <c r="E1111" s="17">
        <v>0.21199999999999999</v>
      </c>
      <c r="F1111" t="s">
        <v>6465</v>
      </c>
      <c r="G1111">
        <v>81</v>
      </c>
      <c r="H1111" t="s">
        <v>7053</v>
      </c>
      <c r="I1111" t="s">
        <v>7325</v>
      </c>
      <c r="J1111" s="22">
        <v>40840</v>
      </c>
      <c r="K1111">
        <v>1</v>
      </c>
      <c r="L1111">
        <v>5</v>
      </c>
      <c r="M1111" s="21">
        <f ca="1">LEFT(Music_Data[[#This Row],[Duration_minutes]],3)/60</f>
        <v>4.6333333333333337</v>
      </c>
      <c r="N1111" s="17">
        <v>5.0900000000000001E-2</v>
      </c>
      <c r="O1111" s="17" t="str">
        <f ca="1">PROPER(Music_Data[[#This Row],[Playlist_subgenre2]])</f>
        <v>Soft</v>
      </c>
    </row>
    <row r="1112" spans="1:15">
      <c r="A1112" s="17">
        <v>0.44500000000000001</v>
      </c>
      <c r="B1112" s="21">
        <v>789</v>
      </c>
      <c r="C1112" s="16">
        <v>0.78100000000000003</v>
      </c>
      <c r="D1112" s="16" t="str">
        <f ca="1">PROPER(Music_Data[[#This Row],[Playlist_genre2]])</f>
        <v>Pop</v>
      </c>
      <c r="E1112" s="17">
        <v>0.59099999999999997</v>
      </c>
      <c r="F1112" t="s">
        <v>7156</v>
      </c>
      <c r="G1112">
        <v>81</v>
      </c>
      <c r="H1112" t="s">
        <v>7053</v>
      </c>
      <c r="I1112" t="s">
        <v>7341</v>
      </c>
      <c r="J1112" s="22">
        <v>41811</v>
      </c>
      <c r="K1112">
        <v>1</v>
      </c>
      <c r="L1112">
        <v>2</v>
      </c>
      <c r="M1112" s="21">
        <f ca="1">LEFT(Music_Data[[#This Row],[Duration_minutes]],3)/60</f>
        <v>4.6833333333333336</v>
      </c>
      <c r="N1112" s="17">
        <v>0.47399999999999998</v>
      </c>
      <c r="O1112" s="17" t="str">
        <f ca="1">PROPER(Music_Data[[#This Row],[Playlist_subgenre2]])</f>
        <v>Soft</v>
      </c>
    </row>
    <row r="1113" spans="1:15">
      <c r="A1113" s="17">
        <v>0.80600000000000005</v>
      </c>
      <c r="B1113" s="21">
        <v>119</v>
      </c>
      <c r="C1113" s="16">
        <v>0.85099999999999998</v>
      </c>
      <c r="D1113" s="16" t="str">
        <f ca="1">PROPER(Music_Data[[#This Row],[Playlist_genre2]])</f>
        <v>Pop</v>
      </c>
      <c r="E1113" s="17">
        <v>0.77400000000000002</v>
      </c>
      <c r="F1113" t="s">
        <v>242</v>
      </c>
      <c r="G1113">
        <v>81</v>
      </c>
      <c r="H1113" t="s">
        <v>7830</v>
      </c>
      <c r="I1113" t="s">
        <v>7970</v>
      </c>
      <c r="J1113" s="22">
        <v>39448</v>
      </c>
      <c r="K1113">
        <v>1</v>
      </c>
      <c r="L1113">
        <v>4</v>
      </c>
      <c r="M1113" s="21">
        <f ca="1">LEFT(Music_Data[[#This Row],[Duration_minutes]],3)/60</f>
        <v>3.95</v>
      </c>
      <c r="N1113" s="17">
        <v>0.11899999999999999</v>
      </c>
      <c r="O1113" s="17" t="str">
        <f ca="1">PROPER(Music_Data[[#This Row],[Playlist_subgenre2]])</f>
        <v>Throwback</v>
      </c>
    </row>
    <row r="1114" spans="1:15">
      <c r="A1114" s="17">
        <v>0.57399999999999995</v>
      </c>
      <c r="B1114" s="21">
        <v>111</v>
      </c>
      <c r="C1114" s="16">
        <v>0.45900000000000002</v>
      </c>
      <c r="D1114" s="16" t="str">
        <f ca="1">PROPER(Music_Data[[#This Row],[Playlist_genre2]])</f>
        <v>Pop</v>
      </c>
      <c r="E1114" s="17">
        <v>0.183</v>
      </c>
      <c r="F1114" t="s">
        <v>7293</v>
      </c>
      <c r="G1114">
        <v>81</v>
      </c>
      <c r="H1114" t="s">
        <v>7053</v>
      </c>
      <c r="I1114" t="s">
        <v>7300</v>
      </c>
      <c r="J1114" s="22">
        <v>43791</v>
      </c>
      <c r="K1114">
        <v>1</v>
      </c>
      <c r="L1114">
        <v>3</v>
      </c>
      <c r="M1114" s="21">
        <f ca="1">LEFT(Music_Data[[#This Row],[Duration_minutes]],3)/60</f>
        <v>3.5833333333333335</v>
      </c>
      <c r="N1114" s="17">
        <v>0.60799999999999998</v>
      </c>
      <c r="O1114" s="17" t="str">
        <f ca="1">PROPER(Music_Data[[#This Row],[Playlist_subgenre2]])</f>
        <v>Soft</v>
      </c>
    </row>
    <row r="1115" spans="1:15">
      <c r="A1115" s="17">
        <v>0.80600000000000005</v>
      </c>
      <c r="B1115" s="21">
        <v>949</v>
      </c>
      <c r="C1115" s="16">
        <v>0.84299999999999997</v>
      </c>
      <c r="D1115" s="16" t="str">
        <f ca="1">PROPER(Music_Data[[#This Row],[Playlist_genre2]])</f>
        <v>Pop</v>
      </c>
      <c r="E1115" s="17">
        <v>0.61299999999999999</v>
      </c>
      <c r="F1115" t="s">
        <v>5923</v>
      </c>
      <c r="G1115">
        <v>81</v>
      </c>
      <c r="H1115" t="s">
        <v>7830</v>
      </c>
      <c r="I1115" t="s">
        <v>7963</v>
      </c>
      <c r="J1115" s="22">
        <v>36830</v>
      </c>
      <c r="K1115">
        <v>0</v>
      </c>
      <c r="L1115">
        <v>4</v>
      </c>
      <c r="M1115" s="21">
        <f ca="1">LEFT(Music_Data[[#This Row],[Duration_minutes]],3)/60</f>
        <v>4.5</v>
      </c>
      <c r="N1115" s="17">
        <v>0.14299999999999999</v>
      </c>
      <c r="O1115" s="17" t="str">
        <f ca="1">PROPER(Music_Data[[#This Row],[Playlist_subgenre2]])</f>
        <v>Throwback</v>
      </c>
    </row>
    <row r="1116" spans="1:15">
      <c r="A1116" s="17">
        <v>0.91</v>
      </c>
      <c r="B1116" s="21">
        <v>112</v>
      </c>
      <c r="C1116" s="16">
        <v>0.67</v>
      </c>
      <c r="D1116" s="16" t="str">
        <f ca="1">PROPER(Music_Data[[#This Row],[Playlist_genre2]])</f>
        <v>Pop</v>
      </c>
      <c r="E1116" s="17">
        <v>0.78600000000000003</v>
      </c>
      <c r="F1116" t="s">
        <v>81</v>
      </c>
      <c r="G1116">
        <v>81</v>
      </c>
      <c r="H1116" t="s">
        <v>39</v>
      </c>
      <c r="I1116" t="s">
        <v>88</v>
      </c>
      <c r="J1116" s="22">
        <v>45527</v>
      </c>
      <c r="K1116">
        <v>0</v>
      </c>
      <c r="L1116">
        <v>0</v>
      </c>
      <c r="M1116" s="21">
        <f ca="1">LEFT(Music_Data[[#This Row],[Duration_minutes]],3)/60</f>
        <v>2.6166666666666667</v>
      </c>
      <c r="N1116" s="17">
        <v>9.3899999999999997E-2</v>
      </c>
      <c r="O1116" s="17" t="str">
        <f ca="1">PROPER(Music_Data[[#This Row],[Playlist_subgenre2]])</f>
        <v>Mainstream</v>
      </c>
    </row>
    <row r="1117" spans="1:15">
      <c r="A1117" s="17">
        <v>0.64800000000000002</v>
      </c>
      <c r="B1117" s="21">
        <v>968</v>
      </c>
      <c r="C1117" s="16">
        <v>0.63300000000000001</v>
      </c>
      <c r="D1117" s="16" t="str">
        <f ca="1">PROPER(Music_Data[[#This Row],[Playlist_genre2]])</f>
        <v>Pop</v>
      </c>
      <c r="E1117" s="17">
        <v>0.49</v>
      </c>
      <c r="F1117" t="s">
        <v>4924</v>
      </c>
      <c r="G1117">
        <v>81</v>
      </c>
      <c r="H1117" t="s">
        <v>7053</v>
      </c>
      <c r="I1117" t="s">
        <v>7307</v>
      </c>
      <c r="J1117" s="22">
        <v>44855</v>
      </c>
      <c r="K1117">
        <v>1</v>
      </c>
      <c r="L1117">
        <v>4</v>
      </c>
      <c r="M1117" s="21">
        <f ca="1">LEFT(Music_Data[[#This Row],[Duration_minutes]],3)/60</f>
        <v>3.3333333333333335</v>
      </c>
      <c r="N1117" s="17">
        <v>0.121</v>
      </c>
      <c r="O1117" s="17" t="str">
        <f ca="1">PROPER(Music_Data[[#This Row],[Playlist_subgenre2]])</f>
        <v>Soft</v>
      </c>
    </row>
    <row r="1118" spans="1:15">
      <c r="A1118" s="17">
        <v>0.86099999999999999</v>
      </c>
      <c r="B1118" s="21">
        <v>119</v>
      </c>
      <c r="C1118" s="16">
        <v>0.66300000000000003</v>
      </c>
      <c r="D1118" s="16" t="str">
        <f ca="1">PROPER(Music_Data[[#This Row],[Playlist_genre2]])</f>
        <v>Pop</v>
      </c>
      <c r="E1118" s="17">
        <v>0.65400000000000003</v>
      </c>
      <c r="F1118" t="s">
        <v>7942</v>
      </c>
      <c r="G1118">
        <v>81</v>
      </c>
      <c r="H1118" t="s">
        <v>7830</v>
      </c>
      <c r="I1118" t="s">
        <v>7947</v>
      </c>
      <c r="J1118" s="22">
        <v>40267</v>
      </c>
      <c r="K1118">
        <v>0</v>
      </c>
      <c r="L1118">
        <v>7</v>
      </c>
      <c r="M1118" s="21">
        <f ca="1">LEFT(Music_Data[[#This Row],[Duration_minutes]],3)/60</f>
        <v>3.6666666666666665</v>
      </c>
      <c r="N1118" s="17">
        <v>3.3799999999999997E-2</v>
      </c>
      <c r="O1118" s="17" t="str">
        <f ca="1">PROPER(Music_Data[[#This Row],[Playlist_subgenre2]])</f>
        <v>Throwback</v>
      </c>
    </row>
    <row r="1119" spans="1:15">
      <c r="A1119" s="17">
        <v>0.82399999999999995</v>
      </c>
      <c r="B1119" s="21">
        <v>118</v>
      </c>
      <c r="C1119" s="16">
        <v>0.70899999999999996</v>
      </c>
      <c r="D1119" s="16" t="str">
        <f ca="1">PROPER(Music_Data[[#This Row],[Playlist_genre2]])</f>
        <v>Pop</v>
      </c>
      <c r="E1119" s="17">
        <v>0.86699999999999999</v>
      </c>
      <c r="F1119" t="s">
        <v>7981</v>
      </c>
      <c r="G1119">
        <v>81</v>
      </c>
      <c r="H1119" t="s">
        <v>7830</v>
      </c>
      <c r="I1119" t="s">
        <v>7987</v>
      </c>
      <c r="J1119" s="22">
        <v>31930</v>
      </c>
      <c r="K1119">
        <v>1</v>
      </c>
      <c r="L1119">
        <v>1</v>
      </c>
      <c r="M1119" s="21">
        <f ca="1">LEFT(Music_Data[[#This Row],[Duration_minutes]],3)/60</f>
        <v>4.8499999999999996</v>
      </c>
      <c r="N1119" s="17">
        <v>0.20699999999999999</v>
      </c>
      <c r="O1119" s="17" t="str">
        <f ca="1">PROPER(Music_Data[[#This Row],[Playlist_subgenre2]])</f>
        <v>Throwback</v>
      </c>
    </row>
    <row r="1120" spans="1:15">
      <c r="A1120" s="17">
        <v>0.66300000000000003</v>
      </c>
      <c r="B1120" s="21">
        <v>146</v>
      </c>
      <c r="C1120" s="16">
        <v>0.63400000000000001</v>
      </c>
      <c r="D1120" s="16" t="str">
        <f ca="1">PROPER(Music_Data[[#This Row],[Playlist_genre2]])</f>
        <v>Pop</v>
      </c>
      <c r="E1120" s="17">
        <v>0.6</v>
      </c>
      <c r="F1120" t="s">
        <v>8854</v>
      </c>
      <c r="G1120">
        <v>80</v>
      </c>
      <c r="H1120" t="s">
        <v>8847</v>
      </c>
      <c r="I1120" t="s">
        <v>8860</v>
      </c>
      <c r="J1120" s="22">
        <v>44757</v>
      </c>
      <c r="K1120">
        <v>1</v>
      </c>
      <c r="L1120">
        <v>11</v>
      </c>
      <c r="M1120" s="21">
        <f ca="1">LEFT(Music_Data[[#This Row],[Duration_minutes]],3)/60</f>
        <v>2.95</v>
      </c>
      <c r="N1120" s="17">
        <v>0.433</v>
      </c>
      <c r="O1120" s="17" t="str">
        <f ca="1">PROPER(Music_Data[[#This Row],[Playlist_subgenre2]])</f>
        <v>Bedroom</v>
      </c>
    </row>
    <row r="1121" spans="1:15">
      <c r="A1121" s="17">
        <v>0.76600000000000001</v>
      </c>
      <c r="B1121" s="21">
        <v>127</v>
      </c>
      <c r="C1121" s="16">
        <v>0.74399999999999999</v>
      </c>
      <c r="D1121" s="16" t="str">
        <f ca="1">PROPER(Music_Data[[#This Row],[Playlist_genre2]])</f>
        <v>Pop</v>
      </c>
      <c r="E1121" s="17">
        <v>0.61</v>
      </c>
      <c r="F1121" t="s">
        <v>8047</v>
      </c>
      <c r="G1121">
        <v>80</v>
      </c>
      <c r="H1121" t="s">
        <v>7830</v>
      </c>
      <c r="I1121" t="s">
        <v>8053</v>
      </c>
      <c r="J1121" s="22">
        <v>39814</v>
      </c>
      <c r="K1121">
        <v>1</v>
      </c>
      <c r="L1121">
        <v>0</v>
      </c>
      <c r="M1121" s="21">
        <f ca="1">LEFT(Music_Data[[#This Row],[Duration_minutes]],3)/60</f>
        <v>4.8166666666666664</v>
      </c>
      <c r="N1121" s="17">
        <v>8.7300000000000003E-2</v>
      </c>
      <c r="O1121" s="17" t="str">
        <f ca="1">PROPER(Music_Data[[#This Row],[Playlist_subgenre2]])</f>
        <v>Throwback</v>
      </c>
    </row>
    <row r="1122" spans="1:15">
      <c r="A1122" s="17">
        <v>0.42399999999999999</v>
      </c>
      <c r="B1122" s="21">
        <v>119</v>
      </c>
      <c r="C1122" s="16">
        <v>0.754</v>
      </c>
      <c r="D1122" s="16" t="str">
        <f ca="1">PROPER(Music_Data[[#This Row],[Playlist_genre2]])</f>
        <v>Pop</v>
      </c>
      <c r="E1122" s="17">
        <v>0.80600000000000005</v>
      </c>
      <c r="F1122" t="s">
        <v>6609</v>
      </c>
      <c r="G1122">
        <v>80</v>
      </c>
      <c r="H1122" t="s">
        <v>6368</v>
      </c>
      <c r="I1122" t="s">
        <v>6615</v>
      </c>
      <c r="J1122" s="22">
        <v>21156</v>
      </c>
      <c r="K1122">
        <v>1</v>
      </c>
      <c r="L1122">
        <v>2</v>
      </c>
      <c r="M1122" s="21">
        <f ca="1">LEFT(Music_Data[[#This Row],[Duration_minutes]],3)/60</f>
        <v>2.1666666666666665</v>
      </c>
      <c r="N1122" s="17">
        <v>0.64300000000000002</v>
      </c>
      <c r="O1122" s="17" t="str">
        <f ca="1">PROPER(Music_Data[[#This Row],[Playlist_subgenre2]])</f>
        <v>Global</v>
      </c>
    </row>
    <row r="1123" spans="1:15">
      <c r="A1123" s="17">
        <v>0.84399999999999997</v>
      </c>
      <c r="B1123" s="21">
        <v>113</v>
      </c>
      <c r="C1123" s="16">
        <v>0.78800000000000003</v>
      </c>
      <c r="D1123" s="16" t="str">
        <f ca="1">PROPER(Music_Data[[#This Row],[Playlist_genre2]])</f>
        <v>Pop</v>
      </c>
      <c r="E1123" s="17">
        <v>0.38200000000000001</v>
      </c>
      <c r="F1123" t="s">
        <v>7893</v>
      </c>
      <c r="G1123">
        <v>80</v>
      </c>
      <c r="H1123" t="s">
        <v>7830</v>
      </c>
      <c r="I1123" t="s">
        <v>7994</v>
      </c>
      <c r="J1123" s="22">
        <v>39380</v>
      </c>
      <c r="K1123">
        <v>1</v>
      </c>
      <c r="L1123">
        <v>2</v>
      </c>
      <c r="M1123" s="21">
        <f ca="1">LEFT(Music_Data[[#This Row],[Duration_minutes]],3)/60</f>
        <v>4.1833333333333336</v>
      </c>
      <c r="N1123" s="17">
        <v>0.25</v>
      </c>
      <c r="O1123" s="17" t="str">
        <f ca="1">PROPER(Music_Data[[#This Row],[Playlist_subgenre2]])</f>
        <v>Throwback</v>
      </c>
    </row>
    <row r="1124" spans="1:15">
      <c r="A1124" s="17">
        <v>0.80300000000000005</v>
      </c>
      <c r="B1124" s="21">
        <v>106</v>
      </c>
      <c r="C1124" s="16">
        <v>0.81799999999999995</v>
      </c>
      <c r="D1124" s="16" t="str">
        <f ca="1">PROPER(Music_Data[[#This Row],[Playlist_genre2]])</f>
        <v>Pop</v>
      </c>
      <c r="E1124" s="17">
        <v>0.63200000000000001</v>
      </c>
      <c r="F1124" t="s">
        <v>6476</v>
      </c>
      <c r="G1124">
        <v>80</v>
      </c>
      <c r="H1124" t="s">
        <v>7830</v>
      </c>
      <c r="I1124" t="s">
        <v>6480</v>
      </c>
      <c r="J1124" s="22">
        <v>42691</v>
      </c>
      <c r="K1124">
        <v>1</v>
      </c>
      <c r="L1124">
        <v>1</v>
      </c>
      <c r="M1124" s="21">
        <f ca="1">LEFT(Music_Data[[#This Row],[Duration_minutes]],3)/60</f>
        <v>3.75</v>
      </c>
      <c r="N1124" s="17">
        <v>3.4000000000000002E-2</v>
      </c>
      <c r="O1124" s="17" t="str">
        <f ca="1">PROPER(Music_Data[[#This Row],[Playlist_subgenre2]])</f>
        <v>Throwback</v>
      </c>
    </row>
    <row r="1125" spans="1:15">
      <c r="A1125" s="17">
        <v>0.83399999999999996</v>
      </c>
      <c r="B1125" s="21">
        <v>139</v>
      </c>
      <c r="C1125" s="16">
        <v>0.50900000000000001</v>
      </c>
      <c r="D1125" s="16" t="str">
        <f ca="1">PROPER(Music_Data[[#This Row],[Playlist_genre2]])</f>
        <v>Pop</v>
      </c>
      <c r="E1125" s="17">
        <v>0.77400000000000002</v>
      </c>
      <c r="F1125" t="s">
        <v>6031</v>
      </c>
      <c r="G1125">
        <v>80</v>
      </c>
      <c r="H1125" t="s">
        <v>7830</v>
      </c>
      <c r="I1125" t="s">
        <v>6037</v>
      </c>
      <c r="J1125" s="22">
        <v>30991</v>
      </c>
      <c r="K1125">
        <v>1</v>
      </c>
      <c r="L1125">
        <v>2</v>
      </c>
      <c r="M1125" s="21">
        <f ca="1">LEFT(Music_Data[[#This Row],[Duration_minutes]],3)/60</f>
        <v>3.6</v>
      </c>
      <c r="N1125" s="17">
        <v>1.83E-2</v>
      </c>
      <c r="O1125" s="17" t="str">
        <f ca="1">PROPER(Music_Data[[#This Row],[Playlist_subgenre2]])</f>
        <v>Throwback</v>
      </c>
    </row>
    <row r="1126" spans="1:15">
      <c r="A1126" s="17">
        <v>0.57999999999999996</v>
      </c>
      <c r="B1126" s="21">
        <v>120</v>
      </c>
      <c r="C1126" s="16">
        <v>0.78200000000000003</v>
      </c>
      <c r="D1126" s="16" t="str">
        <f ca="1">PROPER(Music_Data[[#This Row],[Playlist_genre2]])</f>
        <v>Pop</v>
      </c>
      <c r="E1126" s="17">
        <v>0.66</v>
      </c>
      <c r="F1126" t="s">
        <v>8020</v>
      </c>
      <c r="G1126">
        <v>80</v>
      </c>
      <c r="H1126" t="s">
        <v>7830</v>
      </c>
      <c r="I1126" t="s">
        <v>8026</v>
      </c>
      <c r="J1126" s="22">
        <v>40909</v>
      </c>
      <c r="K1126">
        <v>1</v>
      </c>
      <c r="L1126">
        <v>7</v>
      </c>
      <c r="M1126" s="21">
        <f ca="1">LEFT(Music_Data[[#This Row],[Duration_minutes]],3)/60</f>
        <v>3.2166666666666668</v>
      </c>
      <c r="N1126" s="17">
        <v>1.14E-2</v>
      </c>
      <c r="O1126" s="17" t="str">
        <f ca="1">PROPER(Music_Data[[#This Row],[Playlist_subgenre2]])</f>
        <v>Throwback</v>
      </c>
    </row>
    <row r="1127" spans="1:15">
      <c r="A1127" s="17">
        <v>0.79900000000000004</v>
      </c>
      <c r="B1127" s="21">
        <v>120</v>
      </c>
      <c r="C1127" s="16">
        <v>0.71</v>
      </c>
      <c r="D1127" s="16" t="str">
        <f ca="1">PROPER(Music_Data[[#This Row],[Playlist_genre2]])</f>
        <v>Pop</v>
      </c>
      <c r="E1127" s="17">
        <v>0.72499999999999998</v>
      </c>
      <c r="F1127" t="s">
        <v>8001</v>
      </c>
      <c r="G1127">
        <v>80</v>
      </c>
      <c r="H1127" t="s">
        <v>7830</v>
      </c>
      <c r="I1127" t="s">
        <v>8007</v>
      </c>
      <c r="J1127" s="22">
        <v>30603</v>
      </c>
      <c r="K1127">
        <v>1</v>
      </c>
      <c r="L1127">
        <v>6</v>
      </c>
      <c r="M1127" s="21">
        <f ca="1">LEFT(Music_Data[[#This Row],[Duration_minutes]],3)/60</f>
        <v>3.9666666666666668</v>
      </c>
      <c r="N1127" s="17">
        <v>0.22</v>
      </c>
      <c r="O1127" s="17" t="str">
        <f ca="1">PROPER(Music_Data[[#This Row],[Playlist_subgenre2]])</f>
        <v>Throwback</v>
      </c>
    </row>
    <row r="1128" spans="1:15">
      <c r="A1128" s="17">
        <v>0.78700000000000003</v>
      </c>
      <c r="B1128" s="21">
        <v>126</v>
      </c>
      <c r="C1128" s="16">
        <v>0.60399999999999998</v>
      </c>
      <c r="D1128" s="16" t="str">
        <f ca="1">PROPER(Music_Data[[#This Row],[Playlist_genre2]])</f>
        <v>Pop</v>
      </c>
      <c r="E1128" s="17">
        <v>0.30099999999999999</v>
      </c>
      <c r="F1128" t="s">
        <v>4317</v>
      </c>
      <c r="G1128">
        <v>80</v>
      </c>
      <c r="H1128" t="s">
        <v>7830</v>
      </c>
      <c r="I1128" t="s">
        <v>4323</v>
      </c>
      <c r="J1128" s="22">
        <v>41250</v>
      </c>
      <c r="K1128">
        <v>0</v>
      </c>
      <c r="L1128">
        <v>0</v>
      </c>
      <c r="M1128" s="21">
        <f ca="1">LEFT(Music_Data[[#This Row],[Duration_minutes]],3)/60</f>
        <v>4.083333333333333</v>
      </c>
      <c r="N1128" s="17">
        <v>6.7900000000000002E-2</v>
      </c>
      <c r="O1128" s="17" t="str">
        <f ca="1">PROPER(Music_Data[[#This Row],[Playlist_subgenre2]])</f>
        <v>Throwback</v>
      </c>
    </row>
    <row r="1129" spans="1:15">
      <c r="A1129" s="17">
        <v>0.84499999999999997</v>
      </c>
      <c r="B1129" s="21">
        <v>110</v>
      </c>
      <c r="C1129" s="16">
        <v>0.67100000000000004</v>
      </c>
      <c r="D1129" s="16" t="str">
        <f ca="1">PROPER(Music_Data[[#This Row],[Playlist_genre2]])</f>
        <v>Pop</v>
      </c>
      <c r="E1129" s="17">
        <v>0.77500000000000002</v>
      </c>
      <c r="F1129" t="s">
        <v>7351</v>
      </c>
      <c r="G1129">
        <v>80</v>
      </c>
      <c r="H1129" t="s">
        <v>7053</v>
      </c>
      <c r="I1129" t="s">
        <v>7358</v>
      </c>
      <c r="J1129" s="22">
        <v>45071</v>
      </c>
      <c r="K1129">
        <v>0</v>
      </c>
      <c r="L1129">
        <v>11</v>
      </c>
      <c r="M1129" s="21">
        <f ca="1">LEFT(Music_Data[[#This Row],[Duration_minutes]],3)/60</f>
        <v>2.9333333333333331</v>
      </c>
      <c r="N1129" s="17">
        <v>2.07E-2</v>
      </c>
      <c r="O1129" s="17" t="str">
        <f ca="1">PROPER(Music_Data[[#This Row],[Playlist_subgenre2]])</f>
        <v>Soft</v>
      </c>
    </row>
    <row r="1130" spans="1:15">
      <c r="A1130" s="17">
        <v>0.79500000000000004</v>
      </c>
      <c r="B1130" s="21">
        <v>899</v>
      </c>
      <c r="C1130" s="16">
        <v>0.64600000000000002</v>
      </c>
      <c r="D1130" s="16" t="str">
        <f ca="1">PROPER(Music_Data[[#This Row],[Playlist_genre2]])</f>
        <v>Pop</v>
      </c>
      <c r="E1130" s="17">
        <v>0.79600000000000004</v>
      </c>
      <c r="F1130" t="s">
        <v>8011</v>
      </c>
      <c r="G1130">
        <v>80</v>
      </c>
      <c r="H1130" t="s">
        <v>7830</v>
      </c>
      <c r="I1130" t="s">
        <v>8017</v>
      </c>
      <c r="J1130" s="22">
        <v>40858</v>
      </c>
      <c r="K1130">
        <v>1</v>
      </c>
      <c r="L1130">
        <v>9</v>
      </c>
      <c r="M1130" s="21">
        <f ca="1">LEFT(Music_Data[[#This Row],[Duration_minutes]],3)/60</f>
        <v>3.5</v>
      </c>
      <c r="N1130" s="17">
        <v>3.1899999999999998E-2</v>
      </c>
      <c r="O1130" s="17" t="str">
        <f ca="1">PROPER(Music_Data[[#This Row],[Playlist_subgenre2]])</f>
        <v>Throwback</v>
      </c>
    </row>
    <row r="1131" spans="1:15">
      <c r="A1131" s="17">
        <v>0.58299999999999996</v>
      </c>
      <c r="B1131" s="21">
        <v>117</v>
      </c>
      <c r="C1131" s="16">
        <v>0.96699999999999997</v>
      </c>
      <c r="D1131" s="16" t="str">
        <f ca="1">PROPER(Music_Data[[#This Row],[Playlist_genre2]])</f>
        <v>Pop</v>
      </c>
      <c r="E1131" s="17">
        <v>0.96399999999999997</v>
      </c>
      <c r="F1131" t="s">
        <v>8039</v>
      </c>
      <c r="G1131">
        <v>80</v>
      </c>
      <c r="H1131" t="s">
        <v>7830</v>
      </c>
      <c r="I1131" t="s">
        <v>8045</v>
      </c>
      <c r="J1131" s="22">
        <v>38972</v>
      </c>
      <c r="K1131">
        <v>0</v>
      </c>
      <c r="L1131">
        <v>7</v>
      </c>
      <c r="M1131" s="21">
        <f ca="1">LEFT(Music_Data[[#This Row],[Duration_minutes]],3)/60</f>
        <v>4.0333333333333332</v>
      </c>
      <c r="N1131" s="17">
        <v>5.8400000000000001E-2</v>
      </c>
      <c r="O1131" s="17" t="str">
        <f ca="1">PROPER(Music_Data[[#This Row],[Playlist_subgenre2]])</f>
        <v>Throwback</v>
      </c>
    </row>
    <row r="1132" spans="1:15">
      <c r="A1132" s="17">
        <v>0.52900000000000003</v>
      </c>
      <c r="B1132" s="21">
        <v>755</v>
      </c>
      <c r="C1132" s="16">
        <v>0.55100000000000005</v>
      </c>
      <c r="D1132" s="16" t="str">
        <f ca="1">PROPER(Music_Data[[#This Row],[Playlist_genre2]])</f>
        <v>Pop</v>
      </c>
      <c r="E1132" s="17">
        <v>0.52100000000000002</v>
      </c>
      <c r="F1132" t="s">
        <v>8888</v>
      </c>
      <c r="G1132">
        <v>80</v>
      </c>
      <c r="H1132" t="s">
        <v>8847</v>
      </c>
      <c r="I1132" t="s">
        <v>8895</v>
      </c>
      <c r="J1132" s="22">
        <v>42860</v>
      </c>
      <c r="K1132">
        <v>0</v>
      </c>
      <c r="L1132">
        <v>5</v>
      </c>
      <c r="M1132" s="21">
        <f ca="1">LEFT(Music_Data[[#This Row],[Duration_minutes]],3)/60</f>
        <v>3.0333333333333332</v>
      </c>
      <c r="N1132" s="17">
        <v>0.29599999999999999</v>
      </c>
      <c r="O1132" s="17" t="str">
        <f ca="1">PROPER(Music_Data[[#This Row],[Playlist_subgenre2]])</f>
        <v>Bedroom</v>
      </c>
    </row>
    <row r="1133" spans="1:15">
      <c r="A1133" s="17">
        <v>0.66300000000000003</v>
      </c>
      <c r="B1133" s="21">
        <v>102</v>
      </c>
      <c r="C1133" s="16">
        <v>0.65100000000000002</v>
      </c>
      <c r="D1133" s="16" t="str">
        <f ca="1">PROPER(Music_Data[[#This Row],[Playlist_genre2]])</f>
        <v>Pop</v>
      </c>
      <c r="E1133" s="17">
        <v>0.46500000000000002</v>
      </c>
      <c r="F1133" t="s">
        <v>7246</v>
      </c>
      <c r="G1133">
        <v>80</v>
      </c>
      <c r="H1133" t="s">
        <v>7053</v>
      </c>
      <c r="I1133" t="s">
        <v>7435</v>
      </c>
      <c r="J1133" s="22">
        <v>2002</v>
      </c>
      <c r="K1133">
        <v>0</v>
      </c>
      <c r="L1133">
        <v>0</v>
      </c>
      <c r="M1133" s="21">
        <f ca="1">LEFT(Music_Data[[#This Row],[Duration_minutes]],3)/60</f>
        <v>4.3166666666666664</v>
      </c>
      <c r="N1133" s="17">
        <v>0.22800000000000001</v>
      </c>
      <c r="O1133" s="17" t="str">
        <f ca="1">PROPER(Music_Data[[#This Row],[Playlist_subgenre2]])</f>
        <v>Soft</v>
      </c>
    </row>
    <row r="1134" spans="1:15">
      <c r="A1134" s="17">
        <v>0.88200000000000001</v>
      </c>
      <c r="B1134" s="21">
        <v>102</v>
      </c>
      <c r="C1134" s="16">
        <v>0.74199999999999999</v>
      </c>
      <c r="D1134" s="16" t="str">
        <f ca="1">PROPER(Music_Data[[#This Row],[Playlist_genre2]])</f>
        <v>Pop</v>
      </c>
      <c r="E1134" s="17">
        <v>0.46300000000000002</v>
      </c>
      <c r="F1134" t="s">
        <v>8029</v>
      </c>
      <c r="G1134">
        <v>80</v>
      </c>
      <c r="H1134" t="s">
        <v>7830</v>
      </c>
      <c r="I1134" t="s">
        <v>8035</v>
      </c>
      <c r="J1134" s="22">
        <v>43280</v>
      </c>
      <c r="K1134">
        <v>1</v>
      </c>
      <c r="L1134">
        <v>7</v>
      </c>
      <c r="M1134" s="21">
        <f ca="1">LEFT(Music_Data[[#This Row],[Duration_minutes]],3)/60</f>
        <v>3.6833333333333331</v>
      </c>
      <c r="N1134" s="17">
        <v>4.6600000000000003E-2</v>
      </c>
      <c r="O1134" s="17" t="str">
        <f ca="1">PROPER(Music_Data[[#This Row],[Playlist_subgenre2]])</f>
        <v>Throwback</v>
      </c>
    </row>
    <row r="1135" spans="1:15">
      <c r="A1135" s="17">
        <v>0.86899999999999999</v>
      </c>
      <c r="B1135" s="21">
        <v>159</v>
      </c>
      <c r="C1135" s="16">
        <v>0.53300000000000003</v>
      </c>
      <c r="D1135" s="16" t="str">
        <f ca="1">PROPER(Music_Data[[#This Row],[Playlist_genre2]])</f>
        <v>Pop</v>
      </c>
      <c r="E1135" s="17">
        <v>0.42499999999999999</v>
      </c>
      <c r="F1135" t="s">
        <v>4368</v>
      </c>
      <c r="G1135">
        <v>80</v>
      </c>
      <c r="H1135" t="s">
        <v>7830</v>
      </c>
      <c r="I1135" t="s">
        <v>4371</v>
      </c>
      <c r="J1135" s="22">
        <v>42405</v>
      </c>
      <c r="K1135">
        <v>1</v>
      </c>
      <c r="L1135">
        <v>11</v>
      </c>
      <c r="M1135" s="21">
        <f ca="1">LEFT(Music_Data[[#This Row],[Duration_minutes]],3)/60</f>
        <v>3.4666666666666668</v>
      </c>
      <c r="N1135" s="17">
        <v>0.156</v>
      </c>
      <c r="O1135" s="17" t="str">
        <f ca="1">PROPER(Music_Data[[#This Row],[Playlist_subgenre2]])</f>
        <v>Throwback</v>
      </c>
    </row>
    <row r="1136" spans="1:15">
      <c r="A1136" s="17">
        <v>0.63800000000000001</v>
      </c>
      <c r="B1136" s="21">
        <v>790</v>
      </c>
      <c r="C1136" s="16">
        <v>0.48099999999999998</v>
      </c>
      <c r="D1136" s="16" t="str">
        <f ca="1">PROPER(Music_Data[[#This Row],[Playlist_genre2]])</f>
        <v>Pop</v>
      </c>
      <c r="E1136" s="17">
        <v>0.497</v>
      </c>
      <c r="F1136" t="s">
        <v>7342</v>
      </c>
      <c r="G1136">
        <v>80</v>
      </c>
      <c r="H1136" t="s">
        <v>7053</v>
      </c>
      <c r="I1136" t="s">
        <v>7348</v>
      </c>
      <c r="J1136" s="22">
        <v>36977</v>
      </c>
      <c r="K1136">
        <v>1</v>
      </c>
      <c r="L1136">
        <v>0</v>
      </c>
      <c r="M1136" s="21">
        <f ca="1">LEFT(Music_Data[[#This Row],[Duration_minutes]],3)/60</f>
        <v>4.3166666666666664</v>
      </c>
      <c r="N1136" s="17">
        <v>0.153</v>
      </c>
      <c r="O1136" s="17" t="str">
        <f ca="1">PROPER(Music_Data[[#This Row],[Playlist_subgenre2]])</f>
        <v>Soft</v>
      </c>
    </row>
    <row r="1137" spans="1:15">
      <c r="A1137" s="17">
        <v>0.83399999999999996</v>
      </c>
      <c r="B1137" s="21">
        <v>950</v>
      </c>
      <c r="C1137" s="16">
        <v>0.751</v>
      </c>
      <c r="D1137" s="16" t="str">
        <f ca="1">PROPER(Music_Data[[#This Row],[Playlist_genre2]])</f>
        <v>Pop</v>
      </c>
      <c r="E1137" s="17">
        <v>0.89400000000000002</v>
      </c>
      <c r="F1137" t="s">
        <v>7893</v>
      </c>
      <c r="G1137">
        <v>79</v>
      </c>
      <c r="H1137" t="s">
        <v>7830</v>
      </c>
      <c r="I1137" t="s">
        <v>8098</v>
      </c>
      <c r="J1137" s="22">
        <v>36662</v>
      </c>
      <c r="K1137">
        <v>0</v>
      </c>
      <c r="L1137">
        <v>1</v>
      </c>
      <c r="M1137" s="21">
        <f ca="1">LEFT(Music_Data[[#This Row],[Duration_minutes]],3)/60</f>
        <v>3.5166666666666666</v>
      </c>
      <c r="N1137" s="17">
        <v>0.3</v>
      </c>
      <c r="O1137" s="17" t="str">
        <f ca="1">PROPER(Music_Data[[#This Row],[Playlist_subgenre2]])</f>
        <v>Throwback</v>
      </c>
    </row>
    <row r="1138" spans="1:15">
      <c r="A1138" s="17">
        <v>0.85699999999999998</v>
      </c>
      <c r="B1138" s="21">
        <v>128</v>
      </c>
      <c r="C1138" s="16">
        <v>0.41399999999999998</v>
      </c>
      <c r="D1138" s="16" t="str">
        <f ca="1">PROPER(Music_Data[[#This Row],[Playlist_genre2]])</f>
        <v>Pop</v>
      </c>
      <c r="E1138" s="17">
        <v>0.34799999999999998</v>
      </c>
      <c r="F1138" t="s">
        <v>4377</v>
      </c>
      <c r="G1138">
        <v>79</v>
      </c>
      <c r="H1138" t="s">
        <v>7830</v>
      </c>
      <c r="I1138" t="s">
        <v>4382</v>
      </c>
      <c r="J1138" s="22">
        <v>41943</v>
      </c>
      <c r="K1138">
        <v>0</v>
      </c>
      <c r="L1138">
        <v>0</v>
      </c>
      <c r="M1138" s="21">
        <f ca="1">LEFT(Music_Data[[#This Row],[Duration_minutes]],3)/60</f>
        <v>3.5333333333333332</v>
      </c>
      <c r="N1138" s="17">
        <v>2.87E-2</v>
      </c>
      <c r="O1138" s="17" t="str">
        <f ca="1">PROPER(Music_Data[[#This Row],[Playlist_subgenre2]])</f>
        <v>Throwback</v>
      </c>
    </row>
    <row r="1139" spans="1:15">
      <c r="A1139" s="17">
        <v>0.79800000000000004</v>
      </c>
      <c r="B1139" s="21">
        <v>116</v>
      </c>
      <c r="C1139" s="16">
        <v>0.79600000000000004</v>
      </c>
      <c r="D1139" s="16" t="str">
        <f ca="1">PROPER(Music_Data[[#This Row],[Playlist_genre2]])</f>
        <v>Pop</v>
      </c>
      <c r="E1139" s="17">
        <v>0.94199999999999995</v>
      </c>
      <c r="F1139" t="s">
        <v>7403</v>
      </c>
      <c r="G1139">
        <v>79</v>
      </c>
      <c r="H1139" t="s">
        <v>7053</v>
      </c>
      <c r="I1139" t="s">
        <v>7409</v>
      </c>
      <c r="J1139" s="22">
        <v>44421</v>
      </c>
      <c r="K1139">
        <v>1</v>
      </c>
      <c r="L1139">
        <v>1</v>
      </c>
      <c r="M1139" s="21">
        <f ca="1">LEFT(Music_Data[[#This Row],[Duration_minutes]],3)/60</f>
        <v>3.3666666666666667</v>
      </c>
      <c r="N1139" s="17">
        <v>3.4000000000000002E-2</v>
      </c>
      <c r="O1139" s="17" t="str">
        <f ca="1">PROPER(Music_Data[[#This Row],[Playlist_subgenre2]])</f>
        <v>Soft</v>
      </c>
    </row>
    <row r="1140" spans="1:15">
      <c r="A1140" s="17">
        <v>0.46500000000000002</v>
      </c>
      <c r="B1140" s="21">
        <v>890</v>
      </c>
      <c r="C1140" s="16">
        <v>0.44900000000000001</v>
      </c>
      <c r="D1140" s="16" t="str">
        <f ca="1">PROPER(Music_Data[[#This Row],[Playlist_genre2]])</f>
        <v>Pop</v>
      </c>
      <c r="E1140" s="17">
        <v>0.54300000000000004</v>
      </c>
      <c r="F1140" t="s">
        <v>7393</v>
      </c>
      <c r="G1140">
        <v>79</v>
      </c>
      <c r="H1140" t="s">
        <v>7053</v>
      </c>
      <c r="I1140" t="s">
        <v>7400</v>
      </c>
      <c r="J1140" s="22">
        <v>43917</v>
      </c>
      <c r="K1140">
        <v>1</v>
      </c>
      <c r="L1140">
        <v>0</v>
      </c>
      <c r="M1140" s="21">
        <f ca="1">LEFT(Music_Data[[#This Row],[Duration_minutes]],3)/60</f>
        <v>3.3</v>
      </c>
      <c r="N1140" s="17">
        <v>0.52400000000000002</v>
      </c>
      <c r="O1140" s="17" t="str">
        <f ca="1">PROPER(Music_Data[[#This Row],[Playlist_subgenre2]])</f>
        <v>Soft</v>
      </c>
    </row>
    <row r="1141" spans="1:15">
      <c r="A1141" s="17">
        <v>0.56699999999999995</v>
      </c>
      <c r="B1141" s="21">
        <v>125</v>
      </c>
      <c r="C1141" s="16">
        <v>0.84499999999999997</v>
      </c>
      <c r="D1141" s="16" t="str">
        <f ca="1">PROPER(Music_Data[[#This Row],[Playlist_genre2]])</f>
        <v>Pop</v>
      </c>
      <c r="E1141" s="17">
        <v>0.79300000000000004</v>
      </c>
      <c r="F1141" t="s">
        <v>7237</v>
      </c>
      <c r="G1141">
        <v>79</v>
      </c>
      <c r="H1141" t="s">
        <v>7830</v>
      </c>
      <c r="I1141" t="s">
        <v>8063</v>
      </c>
      <c r="J1141" s="22">
        <v>42321</v>
      </c>
      <c r="K1141">
        <v>0</v>
      </c>
      <c r="L1141">
        <v>5</v>
      </c>
      <c r="M1141" s="21">
        <f ca="1">LEFT(Music_Data[[#This Row],[Duration_minutes]],3)/60</f>
        <v>3.4166666666666665</v>
      </c>
      <c r="N1141" s="17">
        <v>0.59</v>
      </c>
      <c r="O1141" s="17" t="str">
        <f ca="1">PROPER(Music_Data[[#This Row],[Playlist_subgenre2]])</f>
        <v>Throwback</v>
      </c>
    </row>
    <row r="1142" spans="1:15">
      <c r="A1142" s="17">
        <v>0.73899999999999999</v>
      </c>
      <c r="B1142" s="21">
        <v>118</v>
      </c>
      <c r="C1142" s="16">
        <v>0.82199999999999995</v>
      </c>
      <c r="D1142" s="16" t="str">
        <f ca="1">PROPER(Music_Data[[#This Row],[Playlist_genre2]])</f>
        <v>Pop</v>
      </c>
      <c r="E1142" s="17">
        <v>0.745</v>
      </c>
      <c r="F1142" t="s">
        <v>8110</v>
      </c>
      <c r="G1142">
        <v>79</v>
      </c>
      <c r="H1142" t="s">
        <v>7830</v>
      </c>
      <c r="I1142" t="s">
        <v>8115</v>
      </c>
      <c r="J1142" s="22">
        <v>39448</v>
      </c>
      <c r="K1142">
        <v>0</v>
      </c>
      <c r="L1142">
        <v>1</v>
      </c>
      <c r="M1142" s="21">
        <f ca="1">LEFT(Music_Data[[#This Row],[Duration_minutes]],3)/60</f>
        <v>4.0166666666666666</v>
      </c>
      <c r="N1142" s="17">
        <v>2.64E-2</v>
      </c>
      <c r="O1142" s="17" t="str">
        <f ca="1">PROPER(Music_Data[[#This Row],[Playlist_subgenre2]])</f>
        <v>Throwback</v>
      </c>
    </row>
    <row r="1143" spans="1:15">
      <c r="A1143" s="17">
        <v>0.872</v>
      </c>
      <c r="B1143" s="21">
        <v>184</v>
      </c>
      <c r="C1143" s="16">
        <v>0.46600000000000003</v>
      </c>
      <c r="D1143" s="16" t="str">
        <f ca="1">PROPER(Music_Data[[#This Row],[Playlist_genre2]])</f>
        <v>Pop</v>
      </c>
      <c r="E1143" s="17">
        <v>0.80600000000000005</v>
      </c>
      <c r="F1143" t="s">
        <v>644</v>
      </c>
      <c r="G1143">
        <v>79</v>
      </c>
      <c r="H1143" t="s">
        <v>6368</v>
      </c>
      <c r="I1143" t="s">
        <v>648</v>
      </c>
      <c r="J1143" s="22">
        <v>45611</v>
      </c>
      <c r="K1143">
        <v>1</v>
      </c>
      <c r="L1143">
        <v>7</v>
      </c>
      <c r="M1143" s="21">
        <f ca="1">LEFT(Music_Data[[#This Row],[Duration_minutes]],3)/60</f>
        <v>3.1666666666666665</v>
      </c>
      <c r="N1143" s="17">
        <v>1.5599999999999999E-2</v>
      </c>
      <c r="O1143" s="17" t="str">
        <f ca="1">PROPER(Music_Data[[#This Row],[Playlist_subgenre2]])</f>
        <v>Global</v>
      </c>
    </row>
    <row r="1144" spans="1:15">
      <c r="A1144" s="17">
        <v>0.47299999999999998</v>
      </c>
      <c r="B1144" s="21">
        <v>119</v>
      </c>
      <c r="C1144" s="16">
        <v>0.76500000000000001</v>
      </c>
      <c r="D1144" s="16" t="str">
        <f ca="1">PROPER(Music_Data[[#This Row],[Playlist_genre2]])</f>
        <v>Pop</v>
      </c>
      <c r="E1144" s="17">
        <v>0.34</v>
      </c>
      <c r="F1144" t="s">
        <v>7386</v>
      </c>
      <c r="G1144">
        <v>79</v>
      </c>
      <c r="H1144" t="s">
        <v>7053</v>
      </c>
      <c r="I1144" t="s">
        <v>7391</v>
      </c>
      <c r="J1144" s="22">
        <v>42461</v>
      </c>
      <c r="K1144">
        <v>1</v>
      </c>
      <c r="L1144">
        <v>10</v>
      </c>
      <c r="M1144" s="21">
        <f ca="1">LEFT(Music_Data[[#This Row],[Duration_minutes]],3)/60</f>
        <v>3.95</v>
      </c>
      <c r="N1144" s="17">
        <v>0.28699999999999998</v>
      </c>
      <c r="O1144" s="17" t="str">
        <f ca="1">PROPER(Music_Data[[#This Row],[Playlist_subgenre2]])</f>
        <v>Soft</v>
      </c>
    </row>
    <row r="1145" spans="1:15">
      <c r="A1145" s="17">
        <v>0.76100000000000001</v>
      </c>
      <c r="B1145" s="21">
        <v>128</v>
      </c>
      <c r="C1145" s="16">
        <v>0.72199999999999998</v>
      </c>
      <c r="D1145" s="16" t="str">
        <f ca="1">PROPER(Music_Data[[#This Row],[Playlist_genre2]])</f>
        <v>Pop</v>
      </c>
      <c r="E1145" s="17">
        <v>0.624</v>
      </c>
      <c r="F1145" t="s">
        <v>8083</v>
      </c>
      <c r="G1145">
        <v>79</v>
      </c>
      <c r="H1145" t="s">
        <v>7830</v>
      </c>
      <c r="I1145" t="s">
        <v>8089</v>
      </c>
      <c r="J1145" s="22">
        <v>2010</v>
      </c>
      <c r="K1145">
        <v>0</v>
      </c>
      <c r="L1145">
        <v>11</v>
      </c>
      <c r="M1145" s="21">
        <f ca="1">LEFT(Music_Data[[#This Row],[Duration_minutes]],3)/60</f>
        <v>3.35</v>
      </c>
      <c r="N1145" s="17">
        <v>1.1900000000000001E-2</v>
      </c>
      <c r="O1145" s="17" t="str">
        <f ca="1">PROPER(Music_Data[[#This Row],[Playlist_subgenre2]])</f>
        <v>Throwback</v>
      </c>
    </row>
    <row r="1146" spans="1:15">
      <c r="A1146" s="17">
        <v>0.79700000000000004</v>
      </c>
      <c r="B1146" s="21">
        <v>139</v>
      </c>
      <c r="C1146" s="16">
        <v>0.70399999999999996</v>
      </c>
      <c r="D1146" s="16" t="str">
        <f ca="1">PROPER(Music_Data[[#This Row],[Playlist_genre2]])</f>
        <v>Pop</v>
      </c>
      <c r="E1146" s="17">
        <v>0.82499999999999996</v>
      </c>
      <c r="F1146" t="s">
        <v>5592</v>
      </c>
      <c r="G1146">
        <v>79</v>
      </c>
      <c r="H1146" t="s">
        <v>7053</v>
      </c>
      <c r="I1146" t="s">
        <v>7367</v>
      </c>
      <c r="J1146" s="22">
        <v>44694</v>
      </c>
      <c r="K1146">
        <v>1</v>
      </c>
      <c r="L1146">
        <v>0</v>
      </c>
      <c r="M1146" s="21">
        <f ca="1">LEFT(Music_Data[[#This Row],[Duration_minutes]],3)/60</f>
        <v>2.4666666666666668</v>
      </c>
      <c r="N1146" s="17">
        <v>8.2600000000000007E-2</v>
      </c>
      <c r="O1146" s="17" t="str">
        <f ca="1">PROPER(Music_Data[[#This Row],[Playlist_subgenre2]])</f>
        <v>Soft</v>
      </c>
    </row>
    <row r="1147" spans="1:15">
      <c r="A1147" s="17">
        <v>0.628</v>
      </c>
      <c r="B1147" s="21">
        <v>103</v>
      </c>
      <c r="C1147" s="16">
        <v>0.67400000000000004</v>
      </c>
      <c r="D1147" s="16" t="str">
        <f ca="1">PROPER(Music_Data[[#This Row],[Playlist_genre2]])</f>
        <v>Pop</v>
      </c>
      <c r="E1147" s="17">
        <v>0.55200000000000005</v>
      </c>
      <c r="F1147" t="s">
        <v>13203</v>
      </c>
      <c r="G1147">
        <v>79</v>
      </c>
      <c r="H1147" t="s">
        <v>7053</v>
      </c>
      <c r="I1147" t="s">
        <v>7375</v>
      </c>
      <c r="J1147" s="22">
        <v>41170</v>
      </c>
      <c r="K1147">
        <v>1</v>
      </c>
      <c r="L1147">
        <v>2</v>
      </c>
      <c r="M1147" s="21">
        <f ca="1">LEFT(Music_Data[[#This Row],[Duration_minutes]],3)/60</f>
        <v>4.1166666666666663</v>
      </c>
      <c r="N1147" s="17">
        <v>1.4400000000000001E-3</v>
      </c>
      <c r="O1147" s="17" t="str">
        <f ca="1">PROPER(Music_Data[[#This Row],[Playlist_subgenre2]])</f>
        <v>Soft</v>
      </c>
    </row>
    <row r="1148" spans="1:15">
      <c r="A1148" s="17">
        <v>0.66900000000000004</v>
      </c>
      <c r="B1148" s="21">
        <v>122</v>
      </c>
      <c r="C1148" s="16">
        <v>0.83399999999999996</v>
      </c>
      <c r="D1148" s="16" t="str">
        <f ca="1">PROPER(Music_Data[[#This Row],[Playlist_genre2]])</f>
        <v>Pop</v>
      </c>
      <c r="E1148" s="17">
        <v>0.54700000000000004</v>
      </c>
      <c r="F1148" t="s">
        <v>8066</v>
      </c>
      <c r="G1148">
        <v>79</v>
      </c>
      <c r="H1148" t="s">
        <v>7830</v>
      </c>
      <c r="I1148" t="s">
        <v>8072</v>
      </c>
      <c r="J1148" s="22">
        <v>39601</v>
      </c>
      <c r="K1148">
        <v>0</v>
      </c>
      <c r="L1148">
        <v>6</v>
      </c>
      <c r="M1148" s="21">
        <f ca="1">LEFT(Music_Data[[#This Row],[Duration_minutes]],3)/60</f>
        <v>4.45</v>
      </c>
      <c r="N1148" s="17">
        <v>3.4099999999999998E-2</v>
      </c>
      <c r="O1148" s="17" t="str">
        <f ca="1">PROPER(Music_Data[[#This Row],[Playlist_subgenre2]])</f>
        <v>Throwback</v>
      </c>
    </row>
    <row r="1149" spans="1:15">
      <c r="A1149" s="17">
        <v>0.501</v>
      </c>
      <c r="B1149" s="21">
        <v>144</v>
      </c>
      <c r="C1149" s="16">
        <v>0.5</v>
      </c>
      <c r="D1149" s="16" t="str">
        <f ca="1">PROPER(Music_Data[[#This Row],[Playlist_genre2]])</f>
        <v>Pop</v>
      </c>
      <c r="E1149" s="17">
        <v>0.623</v>
      </c>
      <c r="F1149" t="s">
        <v>8101</v>
      </c>
      <c r="G1149">
        <v>79</v>
      </c>
      <c r="H1149" t="s">
        <v>7830</v>
      </c>
      <c r="I1149" t="s">
        <v>8107</v>
      </c>
      <c r="J1149" s="22">
        <v>1981</v>
      </c>
      <c r="K1149">
        <v>0</v>
      </c>
      <c r="L1149">
        <v>0</v>
      </c>
      <c r="M1149" s="21">
        <f ca="1">LEFT(Music_Data[[#This Row],[Duration_minutes]],3)/60</f>
        <v>2.5499999999999998</v>
      </c>
      <c r="N1149" s="17">
        <v>0.46200000000000002</v>
      </c>
      <c r="O1149" s="17" t="str">
        <f ca="1">PROPER(Music_Data[[#This Row],[Playlist_subgenre2]])</f>
        <v>Throwback</v>
      </c>
    </row>
    <row r="1150" spans="1:15">
      <c r="A1150" s="17">
        <v>0.86399999999999999</v>
      </c>
      <c r="B1150" s="21">
        <v>110</v>
      </c>
      <c r="C1150" s="16">
        <v>0.76800000000000002</v>
      </c>
      <c r="D1150" s="16" t="str">
        <f ca="1">PROPER(Music_Data[[#This Row],[Playlist_genre2]])</f>
        <v>Pop</v>
      </c>
      <c r="E1150" s="17">
        <v>0.89100000000000001</v>
      </c>
      <c r="F1150" t="s">
        <v>8075</v>
      </c>
      <c r="G1150">
        <v>79</v>
      </c>
      <c r="H1150" t="s">
        <v>7830</v>
      </c>
      <c r="I1150" t="s">
        <v>8081</v>
      </c>
      <c r="J1150" s="22">
        <v>35065</v>
      </c>
      <c r="K1150">
        <v>1</v>
      </c>
      <c r="L1150">
        <v>11</v>
      </c>
      <c r="M1150" s="21">
        <f ca="1">LEFT(Music_Data[[#This Row],[Duration_minutes]],3)/60</f>
        <v>2.8833333333333333</v>
      </c>
      <c r="N1150" s="17">
        <v>0.10100000000000001</v>
      </c>
      <c r="O1150" s="17" t="str">
        <f ca="1">PROPER(Music_Data[[#This Row],[Playlist_subgenre2]])</f>
        <v>Throwback</v>
      </c>
    </row>
    <row r="1151" spans="1:15">
      <c r="A1151" s="17">
        <v>0.80600000000000005</v>
      </c>
      <c r="B1151" s="21">
        <v>104</v>
      </c>
      <c r="C1151" s="16">
        <v>0.60799999999999998</v>
      </c>
      <c r="D1151" s="16" t="str">
        <f ca="1">PROPER(Music_Data[[#This Row],[Playlist_genre2]])</f>
        <v>Pop</v>
      </c>
      <c r="E1151" s="17">
        <v>0.58699999999999997</v>
      </c>
      <c r="F1151" t="s">
        <v>203</v>
      </c>
      <c r="G1151">
        <v>79</v>
      </c>
      <c r="H1151" t="s">
        <v>39</v>
      </c>
      <c r="I1151" t="s">
        <v>207</v>
      </c>
      <c r="J1151" s="22">
        <v>45610</v>
      </c>
      <c r="K1151">
        <v>1</v>
      </c>
      <c r="L1151">
        <v>1</v>
      </c>
      <c r="M1151" s="21">
        <f ca="1">LEFT(Music_Data[[#This Row],[Duration_minutes]],3)/60</f>
        <v>3.0166666666666666</v>
      </c>
      <c r="N1151" s="17">
        <v>0.121</v>
      </c>
      <c r="O1151" s="17" t="str">
        <f ca="1">PROPER(Music_Data[[#This Row],[Playlist_subgenre2]])</f>
        <v>Mainstream</v>
      </c>
    </row>
    <row r="1152" spans="1:15">
      <c r="A1152" s="17">
        <v>0.57399999999999995</v>
      </c>
      <c r="B1152" s="21">
        <v>125</v>
      </c>
      <c r="C1152" s="16">
        <v>0.61299999999999999</v>
      </c>
      <c r="D1152" s="16" t="str">
        <f ca="1">PROPER(Music_Data[[#This Row],[Playlist_genre2]])</f>
        <v>Pop</v>
      </c>
      <c r="E1152" s="17">
        <v>0.755</v>
      </c>
      <c r="F1152" t="s">
        <v>8118</v>
      </c>
      <c r="G1152">
        <v>78</v>
      </c>
      <c r="H1152" t="s">
        <v>7830</v>
      </c>
      <c r="I1152" t="s">
        <v>8124</v>
      </c>
      <c r="J1152" s="22">
        <v>38414</v>
      </c>
      <c r="K1152">
        <v>1</v>
      </c>
      <c r="L1152">
        <v>11</v>
      </c>
      <c r="M1152" s="21">
        <f ca="1">LEFT(Music_Data[[#This Row],[Duration_minutes]],3)/60</f>
        <v>3.4833333333333334</v>
      </c>
      <c r="N1152" s="17">
        <v>2.53E-2</v>
      </c>
      <c r="O1152" s="17" t="str">
        <f ca="1">PROPER(Music_Data[[#This Row],[Playlist_subgenre2]])</f>
        <v>Throwback</v>
      </c>
    </row>
    <row r="1153" spans="1:15">
      <c r="A1153" s="17">
        <v>0.49099999999999999</v>
      </c>
      <c r="B1153" s="21">
        <v>119</v>
      </c>
      <c r="C1153" s="16">
        <v>0.749</v>
      </c>
      <c r="D1153" s="16" t="str">
        <f ca="1">PROPER(Music_Data[[#This Row],[Playlist_genre2]])</f>
        <v>Pop</v>
      </c>
      <c r="E1153" s="17">
        <v>0.53600000000000003</v>
      </c>
      <c r="F1153" t="s">
        <v>7925</v>
      </c>
      <c r="G1153">
        <v>78</v>
      </c>
      <c r="H1153" t="s">
        <v>7830</v>
      </c>
      <c r="I1153" t="s">
        <v>8132</v>
      </c>
      <c r="J1153" s="22">
        <v>1979</v>
      </c>
      <c r="K1153">
        <v>1</v>
      </c>
      <c r="L1153">
        <v>10</v>
      </c>
      <c r="M1153" s="21">
        <f ca="1">LEFT(Music_Data[[#This Row],[Duration_minutes]],3)/60</f>
        <v>4.8666666666666663</v>
      </c>
      <c r="N1153" s="17">
        <v>0.02</v>
      </c>
      <c r="O1153" s="17" t="str">
        <f ca="1">PROPER(Music_Data[[#This Row],[Playlist_subgenre2]])</f>
        <v>Throwback</v>
      </c>
    </row>
    <row r="1154" spans="1:15">
      <c r="A1154" s="17">
        <v>0.45</v>
      </c>
      <c r="B1154" s="21">
        <v>178</v>
      </c>
      <c r="C1154" s="16">
        <v>0.59699999999999998</v>
      </c>
      <c r="D1154" s="16" t="str">
        <f ca="1">PROPER(Music_Data[[#This Row],[Playlist_genre2]])</f>
        <v>Pop</v>
      </c>
      <c r="E1154" s="17">
        <v>0.53700000000000003</v>
      </c>
      <c r="F1154" t="s">
        <v>7458</v>
      </c>
      <c r="G1154">
        <v>78</v>
      </c>
      <c r="H1154" t="s">
        <v>7053</v>
      </c>
      <c r="I1154" t="s">
        <v>7465</v>
      </c>
      <c r="J1154" s="22">
        <v>43959</v>
      </c>
      <c r="K1154">
        <v>1</v>
      </c>
      <c r="L1154">
        <v>8</v>
      </c>
      <c r="M1154" s="21">
        <f ca="1">LEFT(Music_Data[[#This Row],[Duration_minutes]],3)/60</f>
        <v>3.8</v>
      </c>
      <c r="N1154" s="17">
        <v>0.223</v>
      </c>
      <c r="O1154" s="17" t="str">
        <f ca="1">PROPER(Music_Data[[#This Row],[Playlist_subgenre2]])</f>
        <v>Soft</v>
      </c>
    </row>
    <row r="1155" spans="1:15">
      <c r="A1155" s="17">
        <v>0.73599999999999999</v>
      </c>
      <c r="B1155" s="21">
        <v>127</v>
      </c>
      <c r="C1155" s="16">
        <v>0.57899999999999996</v>
      </c>
      <c r="D1155" s="16" t="str">
        <f ca="1">PROPER(Music_Data[[#This Row],[Playlist_genre2]])</f>
        <v>Pop</v>
      </c>
      <c r="E1155" s="17">
        <v>0.61299999999999999</v>
      </c>
      <c r="F1155" t="s">
        <v>4242</v>
      </c>
      <c r="G1155">
        <v>78</v>
      </c>
      <c r="H1155" t="s">
        <v>7830</v>
      </c>
      <c r="I1155" t="s">
        <v>4354</v>
      </c>
      <c r="J1155" s="22">
        <v>42279</v>
      </c>
      <c r="K1155">
        <v>0</v>
      </c>
      <c r="L1155">
        <v>6</v>
      </c>
      <c r="M1155" s="21">
        <f ca="1">LEFT(Music_Data[[#This Row],[Duration_minutes]],3)/60</f>
        <v>3.8333333333333335</v>
      </c>
      <c r="N1155" s="17">
        <v>0.31</v>
      </c>
      <c r="O1155" s="17" t="str">
        <f ca="1">PROPER(Music_Data[[#This Row],[Playlist_subgenre2]])</f>
        <v>Throwback</v>
      </c>
    </row>
    <row r="1156" spans="1:15">
      <c r="A1156" s="17">
        <v>0.82</v>
      </c>
      <c r="B1156" s="21">
        <v>144</v>
      </c>
      <c r="C1156" s="16">
        <v>0.621</v>
      </c>
      <c r="D1156" s="16" t="str">
        <f ca="1">PROPER(Music_Data[[#This Row],[Playlist_genre2]])</f>
        <v>Pop</v>
      </c>
      <c r="E1156" s="17">
        <v>0.45200000000000001</v>
      </c>
      <c r="F1156" t="s">
        <v>6476</v>
      </c>
      <c r="G1156">
        <v>78</v>
      </c>
      <c r="H1156" t="s">
        <v>7053</v>
      </c>
      <c r="I1156" t="s">
        <v>7471</v>
      </c>
      <c r="J1156" s="22">
        <v>40309</v>
      </c>
      <c r="K1156">
        <v>1</v>
      </c>
      <c r="L1156">
        <v>10</v>
      </c>
      <c r="M1156" s="21">
        <f ca="1">LEFT(Music_Data[[#This Row],[Duration_minutes]],3)/60</f>
        <v>3.8333333333333335</v>
      </c>
      <c r="N1156" s="17">
        <v>0.33200000000000002</v>
      </c>
      <c r="O1156" s="17" t="str">
        <f ca="1">PROPER(Music_Data[[#This Row],[Playlist_subgenre2]])</f>
        <v>Soft</v>
      </c>
    </row>
    <row r="1157" spans="1:15">
      <c r="A1157" s="17">
        <v>0.17399999999999999</v>
      </c>
      <c r="B1157" s="21">
        <v>112</v>
      </c>
      <c r="C1157" s="16">
        <v>0.68100000000000005</v>
      </c>
      <c r="D1157" s="16" t="str">
        <f ca="1">PROPER(Music_Data[[#This Row],[Playlist_genre2]])</f>
        <v>Pop</v>
      </c>
      <c r="E1157" s="17">
        <v>0.23100000000000001</v>
      </c>
      <c r="F1157" t="s">
        <v>7473</v>
      </c>
      <c r="G1157">
        <v>78</v>
      </c>
      <c r="H1157" t="s">
        <v>7053</v>
      </c>
      <c r="I1157" t="s">
        <v>7479</v>
      </c>
      <c r="J1157" s="22">
        <v>43168</v>
      </c>
      <c r="K1157">
        <v>1</v>
      </c>
      <c r="L1157">
        <v>1</v>
      </c>
      <c r="M1157" s="21">
        <f ca="1">LEFT(Music_Data[[#This Row],[Duration_minutes]],3)/60</f>
        <v>4.333333333333333</v>
      </c>
      <c r="N1157" s="17">
        <v>0.83699999999999997</v>
      </c>
      <c r="O1157" s="17" t="str">
        <f ca="1">PROPER(Music_Data[[#This Row],[Playlist_subgenre2]])</f>
        <v>Soft</v>
      </c>
    </row>
    <row r="1158" spans="1:15">
      <c r="A1158" s="17">
        <v>0.91700000000000004</v>
      </c>
      <c r="B1158" s="21">
        <v>132</v>
      </c>
      <c r="C1158" s="16">
        <v>0.65200000000000002</v>
      </c>
      <c r="D1158" s="16" t="str">
        <f ca="1">PROPER(Music_Data[[#This Row],[Playlist_genre2]])</f>
        <v>Pop</v>
      </c>
      <c r="E1158" s="17">
        <v>0.45900000000000002</v>
      </c>
      <c r="F1158" t="s">
        <v>8159</v>
      </c>
      <c r="G1158">
        <v>78</v>
      </c>
      <c r="H1158" t="s">
        <v>7830</v>
      </c>
      <c r="I1158" t="s">
        <v>8163</v>
      </c>
      <c r="J1158" s="22">
        <v>1998</v>
      </c>
      <c r="K1158">
        <v>1</v>
      </c>
      <c r="L1158">
        <v>6</v>
      </c>
      <c r="M1158" s="21">
        <f ca="1">LEFT(Music_Data[[#This Row],[Duration_minutes]],3)/60</f>
        <v>3.9833333333333334</v>
      </c>
      <c r="N1158" s="17">
        <v>8.2000000000000007E-3</v>
      </c>
      <c r="O1158" s="17" t="str">
        <f ca="1">PROPER(Music_Data[[#This Row],[Playlist_subgenre2]])</f>
        <v>Throwback</v>
      </c>
    </row>
    <row r="1159" spans="1:15">
      <c r="A1159" s="17">
        <v>0.54600000000000004</v>
      </c>
      <c r="B1159" s="21">
        <v>104</v>
      </c>
      <c r="C1159" s="16">
        <v>0.74199999999999999</v>
      </c>
      <c r="D1159" s="16" t="str">
        <f ca="1">PROPER(Music_Data[[#This Row],[Playlist_genre2]])</f>
        <v>Pop</v>
      </c>
      <c r="E1159" s="17">
        <v>0.86799999999999999</v>
      </c>
      <c r="F1159" t="s">
        <v>8871</v>
      </c>
      <c r="G1159">
        <v>78</v>
      </c>
      <c r="H1159" t="s">
        <v>8847</v>
      </c>
      <c r="I1159" t="s">
        <v>8877</v>
      </c>
      <c r="J1159" s="22">
        <v>43679</v>
      </c>
      <c r="K1159">
        <v>1</v>
      </c>
      <c r="L1159">
        <v>1</v>
      </c>
      <c r="M1159" s="21">
        <f ca="1">LEFT(Music_Data[[#This Row],[Duration_minutes]],3)/60</f>
        <v>4.333333333333333</v>
      </c>
      <c r="N1159" s="17">
        <v>0.17199999999999999</v>
      </c>
      <c r="O1159" s="17" t="str">
        <f ca="1">PROPER(Music_Data[[#This Row],[Playlist_subgenre2]])</f>
        <v>Bedroom</v>
      </c>
    </row>
    <row r="1160" spans="1:15">
      <c r="A1160" s="17">
        <v>0.72599999999999998</v>
      </c>
      <c r="B1160" s="21">
        <v>121</v>
      </c>
      <c r="C1160" s="16">
        <v>0.503</v>
      </c>
      <c r="D1160" s="16" t="str">
        <f ca="1">PROPER(Music_Data[[#This Row],[Playlist_genre2]])</f>
        <v>Pop</v>
      </c>
      <c r="E1160" s="17">
        <v>0.52900000000000003</v>
      </c>
      <c r="F1160" t="s">
        <v>8197</v>
      </c>
      <c r="G1160">
        <v>78</v>
      </c>
      <c r="H1160" t="s">
        <v>7830</v>
      </c>
      <c r="I1160" t="s">
        <v>8202</v>
      </c>
      <c r="J1160" s="22">
        <v>41428</v>
      </c>
      <c r="K1160">
        <v>1</v>
      </c>
      <c r="L1160">
        <v>1</v>
      </c>
      <c r="M1160" s="21">
        <f ca="1">LEFT(Music_Data[[#This Row],[Duration_minutes]],3)/60</f>
        <v>4.25</v>
      </c>
      <c r="N1160" s="17">
        <v>1.5900000000000001E-2</v>
      </c>
      <c r="O1160" s="17" t="str">
        <f ca="1">PROPER(Music_Data[[#This Row],[Playlist_subgenre2]])</f>
        <v>Throwback</v>
      </c>
    </row>
    <row r="1161" spans="1:15">
      <c r="A1161" s="17">
        <v>0.78300000000000003</v>
      </c>
      <c r="B1161" s="21">
        <v>105</v>
      </c>
      <c r="C1161" s="16">
        <v>0.55400000000000005</v>
      </c>
      <c r="D1161" s="16" t="str">
        <f ca="1">PROPER(Music_Data[[#This Row],[Playlist_genre2]])</f>
        <v>Pop</v>
      </c>
      <c r="E1161" s="17">
        <v>0.81299999999999994</v>
      </c>
      <c r="F1161" t="s">
        <v>8206</v>
      </c>
      <c r="G1161">
        <v>78</v>
      </c>
      <c r="H1161" t="s">
        <v>7830</v>
      </c>
      <c r="I1161" t="s">
        <v>8212</v>
      </c>
      <c r="J1161" s="22">
        <v>1980</v>
      </c>
      <c r="K1161">
        <v>1</v>
      </c>
      <c r="L1161">
        <v>6</v>
      </c>
      <c r="M1161" s="21">
        <f ca="1">LEFT(Music_Data[[#This Row],[Duration_minutes]],3)/60</f>
        <v>2.7</v>
      </c>
      <c r="N1161" s="17">
        <v>0.41599999999999998</v>
      </c>
      <c r="O1161" s="17" t="str">
        <f ca="1">PROPER(Music_Data[[#This Row],[Playlist_subgenre2]])</f>
        <v>Throwback</v>
      </c>
    </row>
    <row r="1162" spans="1:15">
      <c r="A1162" s="17">
        <v>0.84399999999999997</v>
      </c>
      <c r="B1162" s="21">
        <v>131</v>
      </c>
      <c r="C1162" s="16">
        <v>0.72899999999999998</v>
      </c>
      <c r="D1162" s="16" t="str">
        <f ca="1">PROPER(Music_Data[[#This Row],[Playlist_genre2]])</f>
        <v>Pop</v>
      </c>
      <c r="E1162" s="17">
        <v>0.77700000000000002</v>
      </c>
      <c r="F1162" t="s">
        <v>8169</v>
      </c>
      <c r="G1162">
        <v>78</v>
      </c>
      <c r="H1162" t="s">
        <v>7830</v>
      </c>
      <c r="I1162" t="s">
        <v>8176</v>
      </c>
      <c r="J1162" s="22">
        <v>27691</v>
      </c>
      <c r="K1162">
        <v>1</v>
      </c>
      <c r="L1162">
        <v>5</v>
      </c>
      <c r="M1162" s="21">
        <f ca="1">LEFT(Music_Data[[#This Row],[Duration_minutes]],3)/60</f>
        <v>4.583333333333333</v>
      </c>
      <c r="N1162" s="17">
        <v>0.14899999999999999</v>
      </c>
      <c r="O1162" s="17" t="str">
        <f ca="1">PROPER(Music_Data[[#This Row],[Playlist_subgenre2]])</f>
        <v>Throwback</v>
      </c>
    </row>
    <row r="1163" spans="1:15">
      <c r="A1163" s="17">
        <v>0.48799999999999999</v>
      </c>
      <c r="B1163" s="21">
        <v>136</v>
      </c>
      <c r="C1163" s="16">
        <v>0.752</v>
      </c>
      <c r="D1163" s="16" t="str">
        <f ca="1">PROPER(Music_Data[[#This Row],[Playlist_genre2]])</f>
        <v>Pop</v>
      </c>
      <c r="E1163" s="17">
        <v>0.53300000000000003</v>
      </c>
      <c r="F1163" t="s">
        <v>7485</v>
      </c>
      <c r="G1163">
        <v>78</v>
      </c>
      <c r="H1163" t="s">
        <v>7053</v>
      </c>
      <c r="I1163" t="s">
        <v>7491</v>
      </c>
      <c r="J1163" s="22">
        <v>43847</v>
      </c>
      <c r="K1163">
        <v>1</v>
      </c>
      <c r="L1163">
        <v>6</v>
      </c>
      <c r="M1163" s="21">
        <f ca="1">LEFT(Music_Data[[#This Row],[Duration_minutes]],3)/60</f>
        <v>3.35</v>
      </c>
      <c r="N1163" s="17">
        <v>0.29299999999999998</v>
      </c>
      <c r="O1163" s="17" t="str">
        <f ca="1">PROPER(Music_Data[[#This Row],[Playlist_subgenre2]])</f>
        <v>Soft</v>
      </c>
    </row>
    <row r="1164" spans="1:15">
      <c r="A1164" s="17">
        <v>0.77700000000000002</v>
      </c>
      <c r="B1164" s="21">
        <v>130</v>
      </c>
      <c r="C1164" s="16">
        <v>0.73</v>
      </c>
      <c r="D1164" s="16" t="str">
        <f ca="1">PROPER(Music_Data[[#This Row],[Playlist_genre2]])</f>
        <v>Pop</v>
      </c>
      <c r="E1164" s="17">
        <v>0.57499999999999996</v>
      </c>
      <c r="F1164" t="s">
        <v>4357</v>
      </c>
      <c r="G1164">
        <v>78</v>
      </c>
      <c r="H1164" t="s">
        <v>7830</v>
      </c>
      <c r="I1164" t="s">
        <v>4364</v>
      </c>
      <c r="J1164" s="22">
        <v>40662</v>
      </c>
      <c r="K1164">
        <v>0</v>
      </c>
      <c r="L1164">
        <v>3</v>
      </c>
      <c r="M1164" s="21">
        <f ca="1">LEFT(Music_Data[[#This Row],[Duration_minutes]],3)/60</f>
        <v>4.7333333333333334</v>
      </c>
      <c r="N1164" s="17">
        <v>0.105</v>
      </c>
      <c r="O1164" s="17" t="str">
        <f ca="1">PROPER(Music_Data[[#This Row],[Playlist_subgenre2]])</f>
        <v>Throwback</v>
      </c>
    </row>
    <row r="1165" spans="1:15">
      <c r="A1165" s="17">
        <v>0.71399999999999997</v>
      </c>
      <c r="B1165" s="21">
        <v>100</v>
      </c>
      <c r="C1165" s="16">
        <v>0.89200000000000002</v>
      </c>
      <c r="D1165" s="16" t="str">
        <f ca="1">PROPER(Music_Data[[#This Row],[Playlist_genre2]])</f>
        <v>Pop</v>
      </c>
      <c r="E1165" s="17">
        <v>0.81699999999999995</v>
      </c>
      <c r="F1165" t="s">
        <v>8143</v>
      </c>
      <c r="G1165">
        <v>78</v>
      </c>
      <c r="H1165" t="s">
        <v>7830</v>
      </c>
      <c r="I1165" t="s">
        <v>8149</v>
      </c>
      <c r="J1165" s="22">
        <v>37564</v>
      </c>
      <c r="K1165">
        <v>0</v>
      </c>
      <c r="L1165">
        <v>4</v>
      </c>
      <c r="M1165" s="21">
        <f ca="1">LEFT(Music_Data[[#This Row],[Duration_minutes]],3)/60</f>
        <v>4.45</v>
      </c>
      <c r="N1165" s="17">
        <v>0.20100000000000001</v>
      </c>
      <c r="O1165" s="17" t="str">
        <f ca="1">PROPER(Music_Data[[#This Row],[Playlist_subgenre2]])</f>
        <v>Throwback</v>
      </c>
    </row>
    <row r="1166" spans="1:15">
      <c r="A1166" s="17">
        <v>0.56299999999999994</v>
      </c>
      <c r="B1166" s="21">
        <v>126</v>
      </c>
      <c r="C1166" s="16">
        <v>0.76600000000000001</v>
      </c>
      <c r="D1166" s="16" t="str">
        <f ca="1">PROPER(Music_Data[[#This Row],[Playlist_genre2]])</f>
        <v>Pop</v>
      </c>
      <c r="E1166" s="17">
        <v>0.96399999999999997</v>
      </c>
      <c r="F1166" t="s">
        <v>8179</v>
      </c>
      <c r="G1166">
        <v>78</v>
      </c>
      <c r="H1166" t="s">
        <v>7830</v>
      </c>
      <c r="I1166" t="s">
        <v>8185</v>
      </c>
      <c r="J1166" s="22">
        <v>37165</v>
      </c>
      <c r="K1166">
        <v>0</v>
      </c>
      <c r="L1166">
        <v>9</v>
      </c>
      <c r="M1166" s="21">
        <f ca="1">LEFT(Music_Data[[#This Row],[Duration_minutes]],3)/60</f>
        <v>3.8333333333333335</v>
      </c>
      <c r="N1166" s="17">
        <v>2.63E-2</v>
      </c>
      <c r="O1166" s="17" t="str">
        <f ca="1">PROPER(Music_Data[[#This Row],[Playlist_subgenre2]])</f>
        <v>Throwback</v>
      </c>
    </row>
    <row r="1167" spans="1:15">
      <c r="A1167" s="17">
        <v>0.92800000000000005</v>
      </c>
      <c r="B1167" s="21">
        <v>127</v>
      </c>
      <c r="C1167" s="16">
        <v>0.57099999999999995</v>
      </c>
      <c r="D1167" s="16" t="str">
        <f ca="1">PROPER(Music_Data[[#This Row],[Playlist_genre2]])</f>
        <v>Pop</v>
      </c>
      <c r="E1167" s="17">
        <v>0.48799999999999999</v>
      </c>
      <c r="F1167" t="s">
        <v>644</v>
      </c>
      <c r="G1167">
        <v>78</v>
      </c>
      <c r="H1167" t="s">
        <v>6368</v>
      </c>
      <c r="I1167" t="s">
        <v>6599</v>
      </c>
      <c r="J1167" s="22">
        <v>45611</v>
      </c>
      <c r="K1167">
        <v>0</v>
      </c>
      <c r="L1167">
        <v>4</v>
      </c>
      <c r="M1167" s="21">
        <f ca="1">LEFT(Music_Data[[#This Row],[Duration_minutes]],3)/60</f>
        <v>2.7833333333333332</v>
      </c>
      <c r="N1167" s="17">
        <v>9.3200000000000002E-3</v>
      </c>
      <c r="O1167" s="17" t="str">
        <f ca="1">PROPER(Music_Data[[#This Row],[Playlist_subgenre2]])</f>
        <v>Global</v>
      </c>
    </row>
    <row r="1168" spans="1:15">
      <c r="A1168" s="17">
        <v>0.78800000000000003</v>
      </c>
      <c r="B1168" s="21">
        <v>120</v>
      </c>
      <c r="C1168" s="16">
        <v>0.748</v>
      </c>
      <c r="D1168" s="16" t="str">
        <f ca="1">PROPER(Music_Data[[#This Row],[Playlist_genre2]])</f>
        <v>Pop</v>
      </c>
      <c r="E1168" s="17">
        <v>0.88400000000000001</v>
      </c>
      <c r="F1168" t="s">
        <v>7246</v>
      </c>
      <c r="G1168">
        <v>78</v>
      </c>
      <c r="H1168" t="s">
        <v>7053</v>
      </c>
      <c r="I1168" t="s">
        <v>4340</v>
      </c>
      <c r="J1168" s="22">
        <v>41884</v>
      </c>
      <c r="K1168">
        <v>1</v>
      </c>
      <c r="L1168">
        <v>1</v>
      </c>
      <c r="M1168" s="21">
        <f ca="1">LEFT(Music_Data[[#This Row],[Duration_minutes]],3)/60</f>
        <v>3.9166666666666665</v>
      </c>
      <c r="N1168" s="17">
        <v>5.91E-2</v>
      </c>
      <c r="O1168" s="17" t="str">
        <f ca="1">PROPER(Music_Data[[#This Row],[Playlist_subgenre2]])</f>
        <v>Soft</v>
      </c>
    </row>
    <row r="1169" spans="1:15">
      <c r="A1169" s="17">
        <v>0.55100000000000005</v>
      </c>
      <c r="B1169" s="21">
        <v>928</v>
      </c>
      <c r="C1169" s="16">
        <v>0.91100000000000003</v>
      </c>
      <c r="D1169" s="16" t="str">
        <f ca="1">PROPER(Music_Data[[#This Row],[Playlist_genre2]])</f>
        <v>Pop</v>
      </c>
      <c r="E1169" s="17">
        <v>0.96899999999999997</v>
      </c>
      <c r="F1169" t="s">
        <v>3836</v>
      </c>
      <c r="G1169">
        <v>78</v>
      </c>
      <c r="H1169" t="s">
        <v>7830</v>
      </c>
      <c r="I1169" t="s">
        <v>3843</v>
      </c>
      <c r="J1169" s="22">
        <v>37131</v>
      </c>
      <c r="K1169">
        <v>0</v>
      </c>
      <c r="L1169">
        <v>8</v>
      </c>
      <c r="M1169" s="21">
        <f ca="1">LEFT(Music_Data[[#This Row],[Duration_minutes]],3)/60</f>
        <v>4.416666666666667</v>
      </c>
      <c r="N1169" s="17">
        <v>0.13300000000000001</v>
      </c>
      <c r="O1169" s="17" t="str">
        <f ca="1">PROPER(Music_Data[[#This Row],[Playlist_subgenre2]])</f>
        <v>Throwback</v>
      </c>
    </row>
    <row r="1170" spans="1:15">
      <c r="A1170" s="17">
        <v>0.53</v>
      </c>
      <c r="B1170" s="21">
        <v>108</v>
      </c>
      <c r="C1170" s="16">
        <v>0.63</v>
      </c>
      <c r="D1170" s="16" t="str">
        <f ca="1">PROPER(Music_Data[[#This Row],[Playlist_genre2]])</f>
        <v>Pop</v>
      </c>
      <c r="E1170" s="17">
        <v>0.41699999999999998</v>
      </c>
      <c r="F1170" t="s">
        <v>7412</v>
      </c>
      <c r="G1170">
        <v>78</v>
      </c>
      <c r="H1170" t="s">
        <v>7053</v>
      </c>
      <c r="I1170" t="s">
        <v>7418</v>
      </c>
      <c r="J1170" s="22">
        <v>42013</v>
      </c>
      <c r="K1170">
        <v>1</v>
      </c>
      <c r="L1170">
        <v>0</v>
      </c>
      <c r="M1170" s="21">
        <f ca="1">LEFT(Music_Data[[#This Row],[Duration_minutes]],3)/60</f>
        <v>3.75</v>
      </c>
      <c r="N1170" s="17">
        <v>0.4</v>
      </c>
      <c r="O1170" s="17" t="str">
        <f ca="1">PROPER(Music_Data[[#This Row],[Playlist_subgenre2]])</f>
        <v>Soft</v>
      </c>
    </row>
    <row r="1171" spans="1:15">
      <c r="A1171" s="17">
        <v>0.42199999999999999</v>
      </c>
      <c r="B1171" s="21">
        <v>119</v>
      </c>
      <c r="C1171" s="16">
        <v>0.53</v>
      </c>
      <c r="D1171" s="16" t="str">
        <f ca="1">PROPER(Music_Data[[#This Row],[Playlist_genre2]])</f>
        <v>Pop</v>
      </c>
      <c r="E1171" s="17">
        <v>0.34899999999999998</v>
      </c>
      <c r="F1171" t="s">
        <v>7063</v>
      </c>
      <c r="G1171">
        <v>78</v>
      </c>
      <c r="H1171" t="s">
        <v>7053</v>
      </c>
      <c r="I1171" t="s">
        <v>7070</v>
      </c>
      <c r="J1171" s="22">
        <v>41551</v>
      </c>
      <c r="K1171">
        <v>1</v>
      </c>
      <c r="L1171">
        <v>5</v>
      </c>
      <c r="M1171" s="21">
        <f ca="1">LEFT(Music_Data[[#This Row],[Duration_minutes]],3)/60</f>
        <v>3.6833333333333331</v>
      </c>
      <c r="N1171" s="17">
        <v>0.40699999999999997</v>
      </c>
      <c r="O1171" s="17" t="str">
        <f ca="1">PROPER(Music_Data[[#This Row],[Playlist_subgenre2]])</f>
        <v>Soft</v>
      </c>
    </row>
    <row r="1172" spans="1:15">
      <c r="A1172" s="17">
        <v>0.40100000000000002</v>
      </c>
      <c r="B1172" s="21">
        <v>111</v>
      </c>
      <c r="C1172" s="16">
        <v>0.67700000000000005</v>
      </c>
      <c r="D1172" s="16" t="str">
        <f ca="1">PROPER(Music_Data[[#This Row],[Playlist_genre2]])</f>
        <v>Pop</v>
      </c>
      <c r="E1172" s="17">
        <v>0.19500000000000001</v>
      </c>
      <c r="F1172" t="s">
        <v>7436</v>
      </c>
      <c r="G1172">
        <v>78</v>
      </c>
      <c r="H1172" t="s">
        <v>7053</v>
      </c>
      <c r="I1172" t="s">
        <v>7442</v>
      </c>
      <c r="J1172" s="22">
        <v>43028</v>
      </c>
      <c r="K1172">
        <v>1</v>
      </c>
      <c r="L1172">
        <v>9</v>
      </c>
      <c r="M1172" s="21">
        <f ca="1">LEFT(Music_Data[[#This Row],[Duration_minutes]],3)/60</f>
        <v>3.8666666666666667</v>
      </c>
      <c r="N1172" s="17">
        <v>0.71199999999999997</v>
      </c>
      <c r="O1172" s="17" t="str">
        <f ca="1">PROPER(Music_Data[[#This Row],[Playlist_subgenre2]])</f>
        <v>Soft</v>
      </c>
    </row>
    <row r="1173" spans="1:15">
      <c r="A1173" s="17">
        <v>0.69899999999999995</v>
      </c>
      <c r="B1173" s="21">
        <v>114</v>
      </c>
      <c r="C1173" s="16">
        <v>0.85</v>
      </c>
      <c r="D1173" s="16" t="str">
        <f ca="1">PROPER(Music_Data[[#This Row],[Playlist_genre2]])</f>
        <v>Pop</v>
      </c>
      <c r="E1173" s="17">
        <v>0.91500000000000004</v>
      </c>
      <c r="F1173" t="s">
        <v>7444</v>
      </c>
      <c r="G1173">
        <v>78</v>
      </c>
      <c r="H1173" t="s">
        <v>7053</v>
      </c>
      <c r="I1173" t="s">
        <v>7447</v>
      </c>
      <c r="J1173" s="22">
        <v>45156</v>
      </c>
      <c r="K1173">
        <v>1</v>
      </c>
      <c r="L1173">
        <v>0</v>
      </c>
      <c r="M1173" s="21">
        <f ca="1">LEFT(Music_Data[[#This Row],[Duration_minutes]],3)/60</f>
        <v>1.9</v>
      </c>
      <c r="N1173" s="17">
        <v>0.152</v>
      </c>
      <c r="O1173" s="17" t="str">
        <f ca="1">PROPER(Music_Data[[#This Row],[Playlist_subgenre2]])</f>
        <v>Soft</v>
      </c>
    </row>
    <row r="1174" spans="1:15">
      <c r="A1174" s="17">
        <v>0.627</v>
      </c>
      <c r="B1174" s="21">
        <v>155</v>
      </c>
      <c r="C1174" s="16">
        <v>0.68700000000000006</v>
      </c>
      <c r="D1174" s="16" t="str">
        <f ca="1">PROPER(Music_Data[[#This Row],[Playlist_genre2]])</f>
        <v>Pop</v>
      </c>
      <c r="E1174" s="17">
        <v>0.47</v>
      </c>
      <c r="F1174" t="s">
        <v>3098</v>
      </c>
      <c r="G1174">
        <v>78</v>
      </c>
      <c r="H1174" t="s">
        <v>6368</v>
      </c>
      <c r="I1174" t="s">
        <v>3103</v>
      </c>
      <c r="J1174" s="22">
        <v>45611</v>
      </c>
      <c r="K1174">
        <v>1</v>
      </c>
      <c r="L1174">
        <v>7</v>
      </c>
      <c r="M1174" s="21">
        <f ca="1">LEFT(Music_Data[[#This Row],[Duration_minutes]],3)/60</f>
        <v>3.4333333333333331</v>
      </c>
      <c r="N1174" s="17">
        <v>0.32600000000000001</v>
      </c>
      <c r="O1174" s="17" t="str">
        <f ca="1">PROPER(Music_Data[[#This Row],[Playlist_subgenre2]])</f>
        <v>Global</v>
      </c>
    </row>
    <row r="1175" spans="1:15">
      <c r="A1175" s="17">
        <v>0.81399999999999995</v>
      </c>
      <c r="B1175" s="21">
        <v>124</v>
      </c>
      <c r="C1175" s="16">
        <v>0.70699999999999996</v>
      </c>
      <c r="D1175" s="16" t="str">
        <f ca="1">PROPER(Music_Data[[#This Row],[Playlist_genre2]])</f>
        <v>Pop</v>
      </c>
      <c r="E1175" s="17">
        <v>0.71699999999999997</v>
      </c>
      <c r="F1175" t="s">
        <v>8066</v>
      </c>
      <c r="G1175">
        <v>78</v>
      </c>
      <c r="H1175" t="s">
        <v>7830</v>
      </c>
      <c r="I1175" t="s">
        <v>8156</v>
      </c>
      <c r="J1175" s="22">
        <v>39601</v>
      </c>
      <c r="K1175">
        <v>0</v>
      </c>
      <c r="L1175">
        <v>11</v>
      </c>
      <c r="M1175" s="21">
        <f ca="1">LEFT(Music_Data[[#This Row],[Duration_minutes]],3)/60</f>
        <v>3.9666666666666668</v>
      </c>
      <c r="N1175" s="17">
        <v>8.6099999999999996E-2</v>
      </c>
      <c r="O1175" s="17" t="str">
        <f ca="1">PROPER(Music_Data[[#This Row],[Playlist_subgenre2]])</f>
        <v>Throwback</v>
      </c>
    </row>
    <row r="1176" spans="1:15">
      <c r="A1176" s="17">
        <v>0.64</v>
      </c>
      <c r="B1176" s="21">
        <v>990</v>
      </c>
      <c r="C1176" s="16">
        <v>0.77900000000000003</v>
      </c>
      <c r="D1176" s="16" t="str">
        <f ca="1">PROPER(Music_Data[[#This Row],[Playlist_genre2]])</f>
        <v>Pop</v>
      </c>
      <c r="E1176" s="17">
        <v>0.499</v>
      </c>
      <c r="F1176" t="s">
        <v>8066</v>
      </c>
      <c r="G1176">
        <v>78</v>
      </c>
      <c r="H1176" t="s">
        <v>7830</v>
      </c>
      <c r="I1176" t="s">
        <v>8227</v>
      </c>
      <c r="J1176" s="22">
        <v>38593</v>
      </c>
      <c r="K1176">
        <v>1</v>
      </c>
      <c r="L1176">
        <v>7</v>
      </c>
      <c r="M1176" s="21">
        <f ca="1">LEFT(Music_Data[[#This Row],[Duration_minutes]],3)/60</f>
        <v>4.0999999999999996</v>
      </c>
      <c r="N1176" s="17">
        <v>1.55E-4</v>
      </c>
      <c r="O1176" s="17" t="str">
        <f ca="1">PROPER(Music_Data[[#This Row],[Playlist_subgenre2]])</f>
        <v>Throwback</v>
      </c>
    </row>
    <row r="1177" spans="1:15">
      <c r="A1177" s="17">
        <v>0.39400000000000002</v>
      </c>
      <c r="B1177" s="21">
        <v>961</v>
      </c>
      <c r="C1177" s="16">
        <v>0.42099999999999999</v>
      </c>
      <c r="D1177" s="16" t="str">
        <f ca="1">PROPER(Music_Data[[#This Row],[Playlist_genre2]])</f>
        <v>Pop</v>
      </c>
      <c r="E1177" s="17">
        <v>0.39900000000000002</v>
      </c>
      <c r="F1177" t="s">
        <v>8862</v>
      </c>
      <c r="G1177">
        <v>78</v>
      </c>
      <c r="H1177" t="s">
        <v>8847</v>
      </c>
      <c r="I1177" t="s">
        <v>8868</v>
      </c>
      <c r="J1177" s="22">
        <v>44827</v>
      </c>
      <c r="K1177">
        <v>1</v>
      </c>
      <c r="L1177">
        <v>11</v>
      </c>
      <c r="M1177" s="21">
        <f ca="1">LEFT(Music_Data[[#This Row],[Duration_minutes]],3)/60</f>
        <v>3.5166666666666666</v>
      </c>
      <c r="N1177" s="17">
        <v>0.86299999999999999</v>
      </c>
      <c r="O1177" s="17" t="str">
        <f ca="1">PROPER(Music_Data[[#This Row],[Playlist_subgenre2]])</f>
        <v>Bedroom</v>
      </c>
    </row>
    <row r="1178" spans="1:15">
      <c r="A1178" s="17">
        <v>0.81499999999999995</v>
      </c>
      <c r="B1178" s="21">
        <v>123</v>
      </c>
      <c r="C1178" s="16">
        <v>0.63600000000000001</v>
      </c>
      <c r="D1178" s="16" t="str">
        <f ca="1">PROPER(Music_Data[[#This Row],[Playlist_genre2]])</f>
        <v>Pop</v>
      </c>
      <c r="E1178" s="17">
        <v>0.63600000000000001</v>
      </c>
      <c r="F1178" t="s">
        <v>4336</v>
      </c>
      <c r="G1178">
        <v>78</v>
      </c>
      <c r="H1178" t="s">
        <v>7830</v>
      </c>
      <c r="I1178" t="s">
        <v>4343</v>
      </c>
      <c r="J1178" s="22">
        <v>42272</v>
      </c>
      <c r="K1178">
        <v>0</v>
      </c>
      <c r="L1178">
        <v>5</v>
      </c>
      <c r="M1178" s="21">
        <f ca="1">LEFT(Music_Data[[#This Row],[Duration_minutes]],3)/60</f>
        <v>3.65</v>
      </c>
      <c r="N1178" s="17">
        <v>1.8499999999999999E-2</v>
      </c>
      <c r="O1178" s="17" t="str">
        <f ca="1">PROPER(Music_Data[[#This Row],[Playlist_subgenre2]])</f>
        <v>Throwback</v>
      </c>
    </row>
    <row r="1179" spans="1:15">
      <c r="A1179" s="17">
        <v>0.6</v>
      </c>
      <c r="B1179" s="21">
        <v>125</v>
      </c>
      <c r="C1179" s="16">
        <v>0.95099999999999996</v>
      </c>
      <c r="D1179" s="16" t="str">
        <f ca="1">PROPER(Music_Data[[#This Row],[Playlist_genre2]])</f>
        <v>Pop</v>
      </c>
      <c r="E1179" s="17">
        <v>0.82199999999999995</v>
      </c>
      <c r="F1179" t="s">
        <v>8189</v>
      </c>
      <c r="G1179">
        <v>78</v>
      </c>
      <c r="H1179" t="s">
        <v>7830</v>
      </c>
      <c r="I1179" t="s">
        <v>8195</v>
      </c>
      <c r="J1179" s="22">
        <v>38621</v>
      </c>
      <c r="K1179">
        <v>0</v>
      </c>
      <c r="L1179">
        <v>0</v>
      </c>
      <c r="M1179" s="21">
        <f ca="1">LEFT(Music_Data[[#This Row],[Duration_minutes]],3)/60</f>
        <v>3.6333333333333333</v>
      </c>
      <c r="N1179" s="17">
        <v>0.106</v>
      </c>
      <c r="O1179" s="17" t="str">
        <f ca="1">PROPER(Music_Data[[#This Row],[Playlist_subgenre2]])</f>
        <v>Throwback</v>
      </c>
    </row>
    <row r="1180" spans="1:15">
      <c r="A1180" s="17">
        <v>0.55000000000000004</v>
      </c>
      <c r="B1180" s="21">
        <v>101</v>
      </c>
      <c r="C1180" s="16">
        <v>0.55100000000000005</v>
      </c>
      <c r="D1180" s="16" t="str">
        <f ca="1">PROPER(Music_Data[[#This Row],[Playlist_genre2]])</f>
        <v>Pop</v>
      </c>
      <c r="E1180" s="17">
        <v>0.34200000000000003</v>
      </c>
      <c r="F1180" t="s">
        <v>7421</v>
      </c>
      <c r="G1180">
        <v>78</v>
      </c>
      <c r="H1180" t="s">
        <v>7053</v>
      </c>
      <c r="I1180" t="s">
        <v>7427</v>
      </c>
      <c r="J1180" s="22">
        <v>44673</v>
      </c>
      <c r="K1180">
        <v>1</v>
      </c>
      <c r="L1180">
        <v>10</v>
      </c>
      <c r="M1180" s="21">
        <f ca="1">LEFT(Music_Data[[#This Row],[Duration_minutes]],3)/60</f>
        <v>2.9333333333333331</v>
      </c>
      <c r="N1180" s="17">
        <v>0.77700000000000002</v>
      </c>
      <c r="O1180" s="17" t="str">
        <f ca="1">PROPER(Music_Data[[#This Row],[Playlist_subgenre2]])</f>
        <v>Soft</v>
      </c>
    </row>
    <row r="1181" spans="1:15">
      <c r="A1181" s="17">
        <v>0.84</v>
      </c>
      <c r="B1181" s="21">
        <v>129</v>
      </c>
      <c r="C1181" s="16">
        <v>0.61199999999999999</v>
      </c>
      <c r="D1181" s="16" t="str">
        <f ca="1">PROPER(Music_Data[[#This Row],[Playlist_genre2]])</f>
        <v>Pop</v>
      </c>
      <c r="E1181" s="17">
        <v>0.438</v>
      </c>
      <c r="F1181" t="s">
        <v>8135</v>
      </c>
      <c r="G1181">
        <v>78</v>
      </c>
      <c r="H1181" t="s">
        <v>7830</v>
      </c>
      <c r="I1181" t="s">
        <v>8141</v>
      </c>
      <c r="J1181" s="22">
        <v>41166</v>
      </c>
      <c r="K1181">
        <v>0</v>
      </c>
      <c r="L1181">
        <v>11</v>
      </c>
      <c r="M1181" s="21">
        <f ca="1">LEFT(Music_Data[[#This Row],[Duration_minutes]],3)/60</f>
        <v>3.5333333333333332</v>
      </c>
      <c r="N1181" s="17">
        <v>0.112</v>
      </c>
      <c r="O1181" s="17" t="str">
        <f ca="1">PROPER(Music_Data[[#This Row],[Playlist_subgenre2]])</f>
        <v>Throwback</v>
      </c>
    </row>
    <row r="1182" spans="1:15">
      <c r="A1182" s="17">
        <v>0.8</v>
      </c>
      <c r="B1182" s="21">
        <v>160</v>
      </c>
      <c r="C1182" s="16">
        <v>0.64700000000000002</v>
      </c>
      <c r="D1182" s="16" t="str">
        <f ca="1">PROPER(Music_Data[[#This Row],[Playlist_genre2]])</f>
        <v>Pop</v>
      </c>
      <c r="E1182" s="17">
        <v>0.94199999999999995</v>
      </c>
      <c r="F1182" t="s">
        <v>4924</v>
      </c>
      <c r="G1182">
        <v>78</v>
      </c>
      <c r="H1182" t="s">
        <v>7830</v>
      </c>
      <c r="I1182" t="s">
        <v>8220</v>
      </c>
      <c r="J1182" s="22">
        <v>41640</v>
      </c>
      <c r="K1182">
        <v>1</v>
      </c>
      <c r="L1182">
        <v>7</v>
      </c>
      <c r="M1182" s="21">
        <f ca="1">LEFT(Music_Data[[#This Row],[Duration_minutes]],3)/60</f>
        <v>3.65</v>
      </c>
      <c r="N1182" s="17">
        <v>6.4699999999999994E-2</v>
      </c>
      <c r="O1182" s="17" t="str">
        <f ca="1">PROPER(Music_Data[[#This Row],[Playlist_subgenre2]])</f>
        <v>Throwback</v>
      </c>
    </row>
    <row r="1183" spans="1:15">
      <c r="A1183" s="17">
        <v>0.76400000000000001</v>
      </c>
      <c r="B1183" s="21">
        <v>169</v>
      </c>
      <c r="C1183" s="16">
        <v>0.59099999999999997</v>
      </c>
      <c r="D1183" s="16" t="str">
        <f ca="1">PROPER(Music_Data[[#This Row],[Playlist_genre2]])</f>
        <v>Pop</v>
      </c>
      <c r="E1183" s="17">
        <v>0.47799999999999998</v>
      </c>
      <c r="F1183" t="s">
        <v>7451</v>
      </c>
      <c r="G1183">
        <v>78</v>
      </c>
      <c r="H1183" t="s">
        <v>7053</v>
      </c>
      <c r="I1183" t="s">
        <v>7454</v>
      </c>
      <c r="J1183" s="22">
        <v>44386</v>
      </c>
      <c r="K1183">
        <v>1</v>
      </c>
      <c r="L1183">
        <v>1</v>
      </c>
      <c r="M1183" s="21">
        <f ca="1">LEFT(Music_Data[[#This Row],[Duration_minutes]],3)/60</f>
        <v>2.35</v>
      </c>
      <c r="N1183" s="17">
        <v>3.8300000000000001E-2</v>
      </c>
      <c r="O1183" s="17" t="str">
        <f ca="1">PROPER(Music_Data[[#This Row],[Playlist_subgenre2]])</f>
        <v>Soft</v>
      </c>
    </row>
    <row r="1184" spans="1:15">
      <c r="A1184" s="17">
        <v>0.625</v>
      </c>
      <c r="B1184" s="21">
        <v>937</v>
      </c>
      <c r="C1184" s="16">
        <v>0.79800000000000004</v>
      </c>
      <c r="D1184" s="16" t="str">
        <f ca="1">PROPER(Music_Data[[#This Row],[Playlist_genre2]])</f>
        <v>Pop</v>
      </c>
      <c r="E1184" s="17">
        <v>0.85799999999999998</v>
      </c>
      <c r="F1184" t="s">
        <v>8239</v>
      </c>
      <c r="G1184">
        <v>77</v>
      </c>
      <c r="H1184" t="s">
        <v>7830</v>
      </c>
      <c r="I1184" t="s">
        <v>8245</v>
      </c>
      <c r="J1184" s="22">
        <v>34327</v>
      </c>
      <c r="K1184">
        <v>1</v>
      </c>
      <c r="L1184">
        <v>11</v>
      </c>
      <c r="M1184" s="21">
        <f ca="1">LEFT(Music_Data[[#This Row],[Duration_minutes]],3)/60</f>
        <v>3.5166666666666666</v>
      </c>
      <c r="N1184" s="17">
        <v>5.47E-3</v>
      </c>
      <c r="O1184" s="17" t="str">
        <f ca="1">PROPER(Music_Data[[#This Row],[Playlist_subgenre2]])</f>
        <v>Throwback</v>
      </c>
    </row>
    <row r="1185" spans="1:15">
      <c r="A1185" s="17">
        <v>0.36599999999999999</v>
      </c>
      <c r="B1185" s="21">
        <v>141</v>
      </c>
      <c r="C1185" s="16">
        <v>0.60399999999999998</v>
      </c>
      <c r="D1185" s="16" t="str">
        <f ca="1">PROPER(Music_Data[[#This Row],[Playlist_genre2]])</f>
        <v>Pop</v>
      </c>
      <c r="E1185" s="17">
        <v>0.13</v>
      </c>
      <c r="F1185" t="s">
        <v>7056</v>
      </c>
      <c r="G1185">
        <v>77</v>
      </c>
      <c r="H1185" t="s">
        <v>7053</v>
      </c>
      <c r="I1185" t="s">
        <v>7059</v>
      </c>
      <c r="J1185" s="22">
        <v>44483</v>
      </c>
      <c r="K1185">
        <v>1</v>
      </c>
      <c r="L1185">
        <v>5</v>
      </c>
      <c r="M1185" s="21">
        <f ca="1">LEFT(Music_Data[[#This Row],[Duration_minutes]],3)/60</f>
        <v>3.7333333333333334</v>
      </c>
      <c r="N1185" s="17">
        <v>0.57799999999999996</v>
      </c>
      <c r="O1185" s="17" t="str">
        <f ca="1">PROPER(Music_Data[[#This Row],[Playlist_subgenre2]])</f>
        <v>Soft</v>
      </c>
    </row>
    <row r="1186" spans="1:15">
      <c r="A1186" s="17">
        <v>0.90200000000000002</v>
      </c>
      <c r="B1186" s="21">
        <v>100</v>
      </c>
      <c r="C1186" s="16">
        <v>0.67300000000000004</v>
      </c>
      <c r="D1186" s="16" t="str">
        <f ca="1">PROPER(Music_Data[[#This Row],[Playlist_genre2]])</f>
        <v>Pop</v>
      </c>
      <c r="E1186" s="17">
        <v>0.53600000000000003</v>
      </c>
      <c r="F1186" t="s">
        <v>7505</v>
      </c>
      <c r="G1186">
        <v>77</v>
      </c>
      <c r="H1186" t="s">
        <v>7053</v>
      </c>
      <c r="I1186" t="s">
        <v>7511</v>
      </c>
      <c r="J1186" s="22">
        <v>41640</v>
      </c>
      <c r="K1186">
        <v>1</v>
      </c>
      <c r="L1186">
        <v>2</v>
      </c>
      <c r="M1186" s="21">
        <f ca="1">LEFT(Music_Data[[#This Row],[Duration_minutes]],3)/60</f>
        <v>3.2333333333333334</v>
      </c>
      <c r="N1186" s="17">
        <v>5.91E-2</v>
      </c>
      <c r="O1186" s="17" t="str">
        <f ca="1">PROPER(Music_Data[[#This Row],[Playlist_subgenre2]])</f>
        <v>Soft</v>
      </c>
    </row>
    <row r="1187" spans="1:15">
      <c r="A1187" s="17">
        <v>0.88900000000000001</v>
      </c>
      <c r="B1187" s="21">
        <v>126</v>
      </c>
      <c r="C1187" s="16">
        <v>0.58399999999999996</v>
      </c>
      <c r="D1187" s="16" t="str">
        <f ca="1">PROPER(Music_Data[[#This Row],[Playlist_genre2]])</f>
        <v>Pop</v>
      </c>
      <c r="E1187" s="17">
        <v>0.46400000000000002</v>
      </c>
      <c r="F1187" t="s">
        <v>4242</v>
      </c>
      <c r="G1187">
        <v>77</v>
      </c>
      <c r="H1187" t="s">
        <v>7830</v>
      </c>
      <c r="I1187" t="s">
        <v>8254</v>
      </c>
      <c r="J1187" s="22">
        <v>40844</v>
      </c>
      <c r="K1187">
        <v>0</v>
      </c>
      <c r="L1187">
        <v>1</v>
      </c>
      <c r="M1187" s="21">
        <f ca="1">LEFT(Music_Data[[#This Row],[Duration_minutes]],3)/60</f>
        <v>3.3166666666666669</v>
      </c>
      <c r="N1187" s="17">
        <v>4.6199999999999998E-2</v>
      </c>
      <c r="O1187" s="17" t="str">
        <f ca="1">PROPER(Music_Data[[#This Row],[Playlist_subgenre2]])</f>
        <v>Throwback</v>
      </c>
    </row>
    <row r="1188" spans="1:15">
      <c r="A1188" s="17">
        <v>0.77</v>
      </c>
      <c r="B1188" s="21">
        <v>991</v>
      </c>
      <c r="C1188" s="16">
        <v>0.64600000000000002</v>
      </c>
      <c r="D1188" s="16" t="str">
        <f ca="1">PROPER(Music_Data[[#This Row],[Playlist_genre2]])</f>
        <v>Pop</v>
      </c>
      <c r="E1188" s="17">
        <v>0.68100000000000005</v>
      </c>
      <c r="F1188" t="s">
        <v>13210</v>
      </c>
      <c r="G1188">
        <v>77</v>
      </c>
      <c r="H1188" t="s">
        <v>7830</v>
      </c>
      <c r="I1188" t="s">
        <v>8281</v>
      </c>
      <c r="J1188" s="22">
        <v>37796</v>
      </c>
      <c r="K1188">
        <v>0</v>
      </c>
      <c r="L1188">
        <v>2</v>
      </c>
      <c r="M1188" s="21">
        <f ca="1">LEFT(Music_Data[[#This Row],[Duration_minutes]],3)/60</f>
        <v>3.9333333333333331</v>
      </c>
      <c r="N1188" s="17">
        <v>2.49E-3</v>
      </c>
      <c r="O1188" s="17" t="str">
        <f ca="1">PROPER(Music_Data[[#This Row],[Playlist_subgenre2]])</f>
        <v>Throwback</v>
      </c>
    </row>
    <row r="1189" spans="1:15">
      <c r="A1189" s="17">
        <v>0.92700000000000005</v>
      </c>
      <c r="B1189" s="21">
        <v>123</v>
      </c>
      <c r="C1189" s="16">
        <v>0.63100000000000001</v>
      </c>
      <c r="D1189" s="16" t="str">
        <f ca="1">PROPER(Music_Data[[#This Row],[Playlist_genre2]])</f>
        <v>Pop</v>
      </c>
      <c r="E1189" s="17">
        <v>0.46500000000000002</v>
      </c>
      <c r="F1189" t="s">
        <v>4445</v>
      </c>
      <c r="G1189">
        <v>77</v>
      </c>
      <c r="H1189" t="s">
        <v>7830</v>
      </c>
      <c r="I1189" t="s">
        <v>4449</v>
      </c>
      <c r="J1189" s="22">
        <v>42489</v>
      </c>
      <c r="K1189">
        <v>0</v>
      </c>
      <c r="L1189">
        <v>9</v>
      </c>
      <c r="M1189" s="21">
        <f ca="1">LEFT(Music_Data[[#This Row],[Duration_minutes]],3)/60</f>
        <v>3.7</v>
      </c>
      <c r="N1189" s="17">
        <v>0.19900000000000001</v>
      </c>
      <c r="O1189" s="17" t="str">
        <f ca="1">PROPER(Music_Data[[#This Row],[Playlist_subgenre2]])</f>
        <v>Throwback</v>
      </c>
    </row>
    <row r="1190" spans="1:15">
      <c r="A1190" s="17">
        <v>0.81100000000000005</v>
      </c>
      <c r="B1190" s="21">
        <v>116</v>
      </c>
      <c r="C1190" s="16">
        <v>0.79400000000000004</v>
      </c>
      <c r="D1190" s="16" t="str">
        <f ca="1">PROPER(Music_Data[[#This Row],[Playlist_genre2]])</f>
        <v>Pop</v>
      </c>
      <c r="E1190" s="17">
        <v>0.86199999999999999</v>
      </c>
      <c r="F1190" t="s">
        <v>4395</v>
      </c>
      <c r="G1190">
        <v>77</v>
      </c>
      <c r="H1190" t="s">
        <v>7830</v>
      </c>
      <c r="I1190" t="s">
        <v>4398</v>
      </c>
      <c r="J1190" s="22">
        <v>41383</v>
      </c>
      <c r="K1190">
        <v>0</v>
      </c>
      <c r="L1190">
        <v>6</v>
      </c>
      <c r="M1190" s="21">
        <f ca="1">LEFT(Music_Data[[#This Row],[Duration_minutes]],3)/60</f>
        <v>4.1333333333333337</v>
      </c>
      <c r="N1190" s="17">
        <v>4.2599999999999999E-2</v>
      </c>
      <c r="O1190" s="17" t="str">
        <f ca="1">PROPER(Music_Data[[#This Row],[Playlist_subgenre2]])</f>
        <v>Throwback</v>
      </c>
    </row>
    <row r="1191" spans="1:15">
      <c r="A1191" s="17">
        <v>0.86</v>
      </c>
      <c r="B1191" s="21">
        <v>127</v>
      </c>
      <c r="C1191" s="16">
        <v>0.60799999999999998</v>
      </c>
      <c r="D1191" s="16" t="str">
        <f ca="1">PROPER(Music_Data[[#This Row],[Playlist_genre2]])</f>
        <v>Pop</v>
      </c>
      <c r="E1191" s="17">
        <v>0.437</v>
      </c>
      <c r="F1191" t="s">
        <v>4384</v>
      </c>
      <c r="G1191">
        <v>77</v>
      </c>
      <c r="H1191" t="s">
        <v>7830</v>
      </c>
      <c r="I1191" t="s">
        <v>4390</v>
      </c>
      <c r="J1191" s="22">
        <v>41082</v>
      </c>
      <c r="K1191">
        <v>0</v>
      </c>
      <c r="L1191">
        <v>5</v>
      </c>
      <c r="M1191" s="21">
        <f ca="1">LEFT(Music_Data[[#This Row],[Duration_minutes]],3)/60</f>
        <v>3.8666666666666667</v>
      </c>
      <c r="N1191" s="17">
        <v>9.9099999999999994E-2</v>
      </c>
      <c r="O1191" s="17" t="str">
        <f ca="1">PROPER(Music_Data[[#This Row],[Playlist_subgenre2]])</f>
        <v>Throwback</v>
      </c>
    </row>
    <row r="1192" spans="1:15">
      <c r="A1192" s="17">
        <v>0.62</v>
      </c>
      <c r="B1192" s="21">
        <v>117</v>
      </c>
      <c r="C1192" s="16">
        <v>0.74099999999999999</v>
      </c>
      <c r="D1192" s="16" t="str">
        <f ca="1">PROPER(Music_Data[[#This Row],[Playlist_genre2]])</f>
        <v>Pop</v>
      </c>
      <c r="E1192" s="17">
        <v>0.93400000000000005</v>
      </c>
      <c r="F1192" t="s">
        <v>395</v>
      </c>
      <c r="G1192">
        <v>77</v>
      </c>
      <c r="H1192" t="s">
        <v>39</v>
      </c>
      <c r="I1192" t="s">
        <v>402</v>
      </c>
      <c r="J1192" s="22">
        <v>45373</v>
      </c>
      <c r="K1192">
        <v>1</v>
      </c>
      <c r="L1192">
        <v>10</v>
      </c>
      <c r="M1192" s="21">
        <f ca="1">LEFT(Music_Data[[#This Row],[Duration_minutes]],3)/60</f>
        <v>4.1833333333333336</v>
      </c>
      <c r="N1192" s="17">
        <v>2.9499999999999998E-2</v>
      </c>
      <c r="O1192" s="17" t="str">
        <f ca="1">PROPER(Music_Data[[#This Row],[Playlist_subgenre2]])</f>
        <v>Mainstream</v>
      </c>
    </row>
    <row r="1193" spans="1:15">
      <c r="A1193" s="17">
        <v>0.71599999999999997</v>
      </c>
      <c r="B1193" s="21">
        <v>943</v>
      </c>
      <c r="C1193" s="16">
        <v>0.53500000000000003</v>
      </c>
      <c r="D1193" s="16" t="str">
        <f ca="1">PROPER(Music_Data[[#This Row],[Playlist_genre2]])</f>
        <v>Pop</v>
      </c>
      <c r="E1193" s="17">
        <v>0.90100000000000002</v>
      </c>
      <c r="F1193" t="s">
        <v>816</v>
      </c>
      <c r="G1193">
        <v>77</v>
      </c>
      <c r="H1193" t="s">
        <v>7830</v>
      </c>
      <c r="I1193" t="s">
        <v>822</v>
      </c>
      <c r="J1193" s="22">
        <v>29908</v>
      </c>
      <c r="K1193">
        <v>1</v>
      </c>
      <c r="L1193">
        <v>4</v>
      </c>
      <c r="M1193" s="21">
        <f ca="1">LEFT(Music_Data[[#This Row],[Duration_minutes]],3)/60</f>
        <v>2.9166666666666665</v>
      </c>
      <c r="N1193" s="17">
        <v>0.32600000000000001</v>
      </c>
      <c r="O1193" s="17" t="str">
        <f ca="1">PROPER(Music_Data[[#This Row],[Playlist_subgenre2]])</f>
        <v>Throwback</v>
      </c>
    </row>
    <row r="1194" spans="1:15">
      <c r="A1194" s="17">
        <v>0.73799999999999999</v>
      </c>
      <c r="B1194" s="21">
        <v>119</v>
      </c>
      <c r="C1194" s="16">
        <v>0.72099999999999997</v>
      </c>
      <c r="D1194" s="16" t="str">
        <f ca="1">PROPER(Music_Data[[#This Row],[Playlist_genre2]])</f>
        <v>Pop</v>
      </c>
      <c r="E1194" s="17">
        <v>0.63700000000000001</v>
      </c>
      <c r="F1194" t="s">
        <v>7495</v>
      </c>
      <c r="G1194">
        <v>77</v>
      </c>
      <c r="H1194" t="s">
        <v>7053</v>
      </c>
      <c r="I1194" t="s">
        <v>7501</v>
      </c>
      <c r="J1194" s="22">
        <v>44337</v>
      </c>
      <c r="K1194">
        <v>1</v>
      </c>
      <c r="L1194">
        <v>7</v>
      </c>
      <c r="M1194" s="21">
        <f ca="1">LEFT(Music_Data[[#This Row],[Duration_minutes]],3)/60</f>
        <v>2.5666666666666669</v>
      </c>
      <c r="N1194" s="17">
        <v>2.2599999999999999E-3</v>
      </c>
      <c r="O1194" s="17" t="str">
        <f ca="1">PROPER(Music_Data[[#This Row],[Playlist_subgenre2]])</f>
        <v>Soft</v>
      </c>
    </row>
    <row r="1195" spans="1:15">
      <c r="A1195" s="17">
        <v>0.65400000000000003</v>
      </c>
      <c r="B1195" s="21">
        <v>117</v>
      </c>
      <c r="C1195" s="16">
        <v>0.92</v>
      </c>
      <c r="D1195" s="16" t="str">
        <f ca="1">PROPER(Music_Data[[#This Row],[Playlist_genre2]])</f>
        <v>Pop</v>
      </c>
      <c r="E1195" s="17">
        <v>0.84699999999999998</v>
      </c>
      <c r="F1195" t="s">
        <v>8256</v>
      </c>
      <c r="G1195">
        <v>77</v>
      </c>
      <c r="H1195" t="s">
        <v>7830</v>
      </c>
      <c r="I1195" t="s">
        <v>8263</v>
      </c>
      <c r="J1195" s="22">
        <v>39486</v>
      </c>
      <c r="K1195">
        <v>0</v>
      </c>
      <c r="L1195">
        <v>11</v>
      </c>
      <c r="M1195" s="21">
        <f ca="1">LEFT(Music_Data[[#This Row],[Duration_minutes]],3)/60</f>
        <v>4.8833333333333337</v>
      </c>
      <c r="N1195" s="17">
        <v>2.3599999999999999E-2</v>
      </c>
      <c r="O1195" s="17" t="str">
        <f ca="1">PROPER(Music_Data[[#This Row],[Playlist_subgenre2]])</f>
        <v>Throwback</v>
      </c>
    </row>
    <row r="1196" spans="1:15">
      <c r="A1196" s="17">
        <v>0.80800000000000005</v>
      </c>
      <c r="B1196" s="21">
        <v>126</v>
      </c>
      <c r="C1196" s="16">
        <v>0.72</v>
      </c>
      <c r="D1196" s="16" t="str">
        <f ca="1">PROPER(Music_Data[[#This Row],[Playlist_genre2]])</f>
        <v>Pop</v>
      </c>
      <c r="E1196" s="17">
        <v>0.86899999999999999</v>
      </c>
      <c r="F1196" t="s">
        <v>8230</v>
      </c>
      <c r="G1196">
        <v>77</v>
      </c>
      <c r="H1196" t="s">
        <v>7830</v>
      </c>
      <c r="I1196" t="s">
        <v>8236</v>
      </c>
      <c r="J1196" s="22">
        <v>2001</v>
      </c>
      <c r="K1196">
        <v>1</v>
      </c>
      <c r="L1196">
        <v>6</v>
      </c>
      <c r="M1196" s="21">
        <f ca="1">LEFT(Music_Data[[#This Row],[Duration_minutes]],3)/60</f>
        <v>5.1166666666666663</v>
      </c>
      <c r="N1196" s="17">
        <v>7.9299999999999995E-3</v>
      </c>
      <c r="O1196" s="17" t="str">
        <f ca="1">PROPER(Music_Data[[#This Row],[Playlist_subgenre2]])</f>
        <v>Throwback</v>
      </c>
    </row>
    <row r="1197" spans="1:15">
      <c r="A1197" s="17">
        <v>0.85499999999999998</v>
      </c>
      <c r="B1197" s="21">
        <v>120</v>
      </c>
      <c r="C1197" s="16">
        <v>0.67</v>
      </c>
      <c r="D1197" s="16" t="str">
        <f ca="1">PROPER(Music_Data[[#This Row],[Playlist_genre2]])</f>
        <v>Pop</v>
      </c>
      <c r="E1197" s="17">
        <v>0.64800000000000002</v>
      </c>
      <c r="F1197" t="s">
        <v>8319</v>
      </c>
      <c r="G1197">
        <v>77</v>
      </c>
      <c r="H1197" t="s">
        <v>7830</v>
      </c>
      <c r="I1197" t="s">
        <v>8324</v>
      </c>
      <c r="J1197" s="22">
        <v>40711</v>
      </c>
      <c r="K1197">
        <v>0</v>
      </c>
      <c r="L1197">
        <v>0</v>
      </c>
      <c r="M1197" s="21">
        <f ca="1">LEFT(Music_Data[[#This Row],[Duration_minutes]],3)/60</f>
        <v>3.7833333333333332</v>
      </c>
      <c r="N1197" s="17">
        <v>1.24E-2</v>
      </c>
      <c r="O1197" s="17" t="str">
        <f ca="1">PROPER(Music_Data[[#This Row],[Playlist_subgenre2]])</f>
        <v>Throwback</v>
      </c>
    </row>
    <row r="1198" spans="1:15">
      <c r="A1198" s="17">
        <v>0.75800000000000001</v>
      </c>
      <c r="B1198" s="21">
        <v>135</v>
      </c>
      <c r="C1198" s="16">
        <v>0.67300000000000004</v>
      </c>
      <c r="D1198" s="16" t="str">
        <f ca="1">PROPER(Music_Data[[#This Row],[Playlist_genre2]])</f>
        <v>Pop</v>
      </c>
      <c r="E1198" s="17">
        <v>0.54200000000000004</v>
      </c>
      <c r="F1198" t="s">
        <v>8267</v>
      </c>
      <c r="G1198">
        <v>77</v>
      </c>
      <c r="H1198" t="s">
        <v>7830</v>
      </c>
      <c r="I1198" t="s">
        <v>8273</v>
      </c>
      <c r="J1198" s="22">
        <v>2012</v>
      </c>
      <c r="K1198">
        <v>1</v>
      </c>
      <c r="L1198">
        <v>7</v>
      </c>
      <c r="M1198" s="21">
        <f ca="1">LEFT(Music_Data[[#This Row],[Duration_minutes]],3)/60</f>
        <v>3.8166666666666669</v>
      </c>
      <c r="N1198" s="17">
        <v>3.9E-2</v>
      </c>
      <c r="O1198" s="17" t="str">
        <f ca="1">PROPER(Music_Data[[#This Row],[Playlist_subgenre2]])</f>
        <v>Throwback</v>
      </c>
    </row>
    <row r="1199" spans="1:15">
      <c r="A1199" s="17">
        <v>0.77900000000000003</v>
      </c>
      <c r="B1199" s="21">
        <v>173</v>
      </c>
      <c r="C1199" s="16">
        <v>0.46800000000000003</v>
      </c>
      <c r="D1199" s="16" t="str">
        <f ca="1">PROPER(Music_Data[[#This Row],[Playlist_genre2]])</f>
        <v>Pop</v>
      </c>
      <c r="E1199" s="17">
        <v>0.26</v>
      </c>
      <c r="F1199" t="s">
        <v>7100</v>
      </c>
      <c r="G1199">
        <v>77</v>
      </c>
      <c r="H1199" t="s">
        <v>7053</v>
      </c>
      <c r="I1199" t="s">
        <v>7106</v>
      </c>
      <c r="J1199" s="22">
        <v>42664</v>
      </c>
      <c r="K1199">
        <v>1</v>
      </c>
      <c r="L1199">
        <v>9</v>
      </c>
      <c r="M1199" s="21">
        <f ca="1">LEFT(Music_Data[[#This Row],[Duration_minutes]],3)/60</f>
        <v>3.6166666666666667</v>
      </c>
      <c r="N1199" s="17">
        <v>0.112</v>
      </c>
      <c r="O1199" s="17" t="str">
        <f ca="1">PROPER(Music_Data[[#This Row],[Playlist_subgenre2]])</f>
        <v>Soft</v>
      </c>
    </row>
    <row r="1200" spans="1:15">
      <c r="A1200" s="17">
        <v>0.748</v>
      </c>
      <c r="B1200" s="21">
        <v>137</v>
      </c>
      <c r="C1200" s="16">
        <v>0.749</v>
      </c>
      <c r="D1200" s="16" t="str">
        <f ca="1">PROPER(Music_Data[[#This Row],[Playlist_genre2]])</f>
        <v>Pop</v>
      </c>
      <c r="E1200" s="17">
        <v>0.82699999999999996</v>
      </c>
      <c r="F1200" t="s">
        <v>7925</v>
      </c>
      <c r="G1200">
        <v>76</v>
      </c>
      <c r="H1200" t="s">
        <v>7830</v>
      </c>
      <c r="I1200" t="s">
        <v>8331</v>
      </c>
      <c r="J1200" s="22">
        <v>1975</v>
      </c>
      <c r="K1200">
        <v>1</v>
      </c>
      <c r="L1200">
        <v>2</v>
      </c>
      <c r="M1200" s="21">
        <f ca="1">LEFT(Music_Data[[#This Row],[Duration_minutes]],3)/60</f>
        <v>3.55</v>
      </c>
      <c r="N1200" s="17">
        <v>0.29499999999999998</v>
      </c>
      <c r="O1200" s="17" t="str">
        <f ca="1">PROPER(Music_Data[[#This Row],[Playlist_subgenre2]])</f>
        <v>Throwback</v>
      </c>
    </row>
    <row r="1201" spans="1:15">
      <c r="A1201" s="17">
        <v>0.64600000000000002</v>
      </c>
      <c r="B1201" s="21">
        <v>886</v>
      </c>
      <c r="C1201" s="16">
        <v>0.86699999999999999</v>
      </c>
      <c r="D1201" s="16" t="str">
        <f ca="1">PROPER(Music_Data[[#This Row],[Playlist_genre2]])</f>
        <v>Pop</v>
      </c>
      <c r="E1201" s="17">
        <v>0.67</v>
      </c>
      <c r="F1201" t="s">
        <v>8302</v>
      </c>
      <c r="G1201">
        <v>76</v>
      </c>
      <c r="H1201" t="s">
        <v>7830</v>
      </c>
      <c r="I1201" t="s">
        <v>8308</v>
      </c>
      <c r="J1201" s="22">
        <v>35317</v>
      </c>
      <c r="K1201">
        <v>0</v>
      </c>
      <c r="L1201">
        <v>1</v>
      </c>
      <c r="M1201" s="21">
        <f ca="1">LEFT(Music_Data[[#This Row],[Duration_minutes]],3)/60</f>
        <v>5.0666666666666664</v>
      </c>
      <c r="N1201" s="17">
        <v>0.30299999999999999</v>
      </c>
      <c r="O1201" s="17" t="str">
        <f ca="1">PROPER(Music_Data[[#This Row],[Playlist_subgenre2]])</f>
        <v>Throwback</v>
      </c>
    </row>
    <row r="1202" spans="1:15">
      <c r="A1202" s="17">
        <v>0.91500000000000004</v>
      </c>
      <c r="B1202" s="21">
        <v>126</v>
      </c>
      <c r="C1202" s="16">
        <v>0.54400000000000004</v>
      </c>
      <c r="D1202" s="16" t="str">
        <f ca="1">PROPER(Music_Data[[#This Row],[Playlist_genre2]])</f>
        <v>Pop</v>
      </c>
      <c r="E1202" s="17">
        <v>0.51</v>
      </c>
      <c r="F1202" t="s">
        <v>4495</v>
      </c>
      <c r="G1202">
        <v>76</v>
      </c>
      <c r="H1202" t="s">
        <v>7830</v>
      </c>
      <c r="I1202" t="s">
        <v>4501</v>
      </c>
      <c r="J1202" s="22">
        <v>41943</v>
      </c>
      <c r="K1202">
        <v>1</v>
      </c>
      <c r="L1202">
        <v>8</v>
      </c>
      <c r="M1202" s="21">
        <f ca="1">LEFT(Music_Data[[#This Row],[Duration_minutes]],3)/60</f>
        <v>3.0666666666666669</v>
      </c>
      <c r="N1202" s="17">
        <v>0.129</v>
      </c>
      <c r="O1202" s="17" t="str">
        <f ca="1">PROPER(Music_Data[[#This Row],[Playlist_subgenre2]])</f>
        <v>Throwback</v>
      </c>
    </row>
    <row r="1203" spans="1:15">
      <c r="A1203" s="17">
        <v>0.86</v>
      </c>
      <c r="B1203" s="21">
        <v>939</v>
      </c>
      <c r="C1203" s="16">
        <v>0.73699999999999999</v>
      </c>
      <c r="D1203" s="16" t="str">
        <f ca="1">PROPER(Music_Data[[#This Row],[Playlist_genre2]])</f>
        <v>Pop</v>
      </c>
      <c r="E1203" s="17">
        <v>0.65600000000000003</v>
      </c>
      <c r="F1203" t="s">
        <v>8362</v>
      </c>
      <c r="G1203">
        <v>76</v>
      </c>
      <c r="H1203" t="s">
        <v>7830</v>
      </c>
      <c r="I1203" t="s">
        <v>8366</v>
      </c>
      <c r="J1203" s="22">
        <v>43489</v>
      </c>
      <c r="K1203">
        <v>0</v>
      </c>
      <c r="L1203">
        <v>8</v>
      </c>
      <c r="M1203" s="21">
        <f ca="1">LEFT(Music_Data[[#This Row],[Duration_minutes]],3)/60</f>
        <v>3.2166666666666668</v>
      </c>
      <c r="N1203" s="17">
        <v>0.11</v>
      </c>
      <c r="O1203" s="17" t="str">
        <f ca="1">PROPER(Music_Data[[#This Row],[Playlist_subgenre2]])</f>
        <v>Throwback</v>
      </c>
    </row>
    <row r="1204" spans="1:15">
      <c r="A1204" s="17">
        <v>0.75600000000000001</v>
      </c>
      <c r="B1204" s="21">
        <v>131</v>
      </c>
      <c r="C1204" s="16">
        <v>0.80200000000000005</v>
      </c>
      <c r="D1204" s="16" t="str">
        <f ca="1">PROPER(Music_Data[[#This Row],[Playlist_genre2]])</f>
        <v>Pop</v>
      </c>
      <c r="E1204" s="17">
        <v>0.96299999999999997</v>
      </c>
      <c r="F1204" t="s">
        <v>8351</v>
      </c>
      <c r="G1204">
        <v>76</v>
      </c>
      <c r="H1204" t="s">
        <v>7830</v>
      </c>
      <c r="I1204" t="s">
        <v>8358</v>
      </c>
      <c r="J1204" s="22">
        <v>29012</v>
      </c>
      <c r="K1204">
        <v>0</v>
      </c>
      <c r="L1204">
        <v>2</v>
      </c>
      <c r="M1204" s="21">
        <f ca="1">LEFT(Music_Data[[#This Row],[Duration_minutes]],3)/60</f>
        <v>4.8</v>
      </c>
      <c r="N1204" s="17">
        <v>8.43E-2</v>
      </c>
      <c r="O1204" s="17" t="str">
        <f ca="1">PROPER(Music_Data[[#This Row],[Playlist_subgenre2]])</f>
        <v>Throwback</v>
      </c>
    </row>
    <row r="1205" spans="1:15">
      <c r="A1205" s="17">
        <v>0.89</v>
      </c>
      <c r="B1205" s="21">
        <v>128</v>
      </c>
      <c r="C1205" s="16">
        <v>0.70599999999999996</v>
      </c>
      <c r="D1205" s="16" t="str">
        <f ca="1">PROPER(Music_Data[[#This Row],[Playlist_genre2]])</f>
        <v>Pop</v>
      </c>
      <c r="E1205" s="17">
        <v>0.68400000000000005</v>
      </c>
      <c r="F1205" t="s">
        <v>8391</v>
      </c>
      <c r="G1205">
        <v>76</v>
      </c>
      <c r="H1205" t="s">
        <v>7830</v>
      </c>
      <c r="I1205" t="s">
        <v>8397</v>
      </c>
      <c r="J1205" s="22">
        <v>41082</v>
      </c>
      <c r="K1205">
        <v>0</v>
      </c>
      <c r="L1205">
        <v>1</v>
      </c>
      <c r="M1205" s="21">
        <f ca="1">LEFT(Music_Data[[#This Row],[Duration_minutes]],3)/60</f>
        <v>4.1333333333333337</v>
      </c>
      <c r="N1205" s="17">
        <v>5.8799999999999998E-2</v>
      </c>
      <c r="O1205" s="17" t="str">
        <f ca="1">PROPER(Music_Data[[#This Row],[Playlist_subgenre2]])</f>
        <v>Throwback</v>
      </c>
    </row>
    <row r="1206" spans="1:15">
      <c r="A1206" s="17">
        <v>0.86899999999999999</v>
      </c>
      <c r="B1206" s="21">
        <v>127</v>
      </c>
      <c r="C1206" s="16">
        <v>0.61599999999999999</v>
      </c>
      <c r="D1206" s="16" t="str">
        <f ca="1">PROPER(Music_Data[[#This Row],[Playlist_genre2]])</f>
        <v>Pop</v>
      </c>
      <c r="E1206" s="17">
        <v>0.47299999999999998</v>
      </c>
      <c r="F1206" t="s">
        <v>4486</v>
      </c>
      <c r="G1206">
        <v>76</v>
      </c>
      <c r="H1206" t="s">
        <v>7830</v>
      </c>
      <c r="I1206" t="s">
        <v>4492</v>
      </c>
      <c r="J1206" s="22">
        <v>40506</v>
      </c>
      <c r="K1206">
        <v>1</v>
      </c>
      <c r="L1206">
        <v>0</v>
      </c>
      <c r="M1206" s="21">
        <f ca="1">LEFT(Music_Data[[#This Row],[Duration_minutes]],3)/60</f>
        <v>3.9</v>
      </c>
      <c r="N1206" s="17">
        <v>2.8299999999999999E-2</v>
      </c>
      <c r="O1206" s="17" t="str">
        <f ca="1">PROPER(Music_Data[[#This Row],[Playlist_subgenre2]])</f>
        <v>Throwback</v>
      </c>
    </row>
    <row r="1207" spans="1:15">
      <c r="A1207" s="17">
        <v>0.48599999999999999</v>
      </c>
      <c r="B1207" s="21">
        <v>163</v>
      </c>
      <c r="C1207" s="16">
        <v>0.68700000000000006</v>
      </c>
      <c r="D1207" s="16" t="str">
        <f ca="1">PROPER(Music_Data[[#This Row],[Playlist_genre2]])</f>
        <v>Pop</v>
      </c>
      <c r="E1207" s="17">
        <v>0.79200000000000004</v>
      </c>
      <c r="F1207" t="s">
        <v>8880</v>
      </c>
      <c r="G1207">
        <v>76</v>
      </c>
      <c r="H1207" t="s">
        <v>8847</v>
      </c>
      <c r="I1207" t="s">
        <v>8884</v>
      </c>
      <c r="J1207" s="22">
        <v>45097</v>
      </c>
      <c r="K1207">
        <v>1</v>
      </c>
      <c r="L1207">
        <v>11</v>
      </c>
      <c r="M1207" s="21">
        <f ca="1">LEFT(Music_Data[[#This Row],[Duration_minutes]],3)/60</f>
        <v>3.7333333333333334</v>
      </c>
      <c r="N1207" s="17">
        <v>0.58699999999999997</v>
      </c>
      <c r="O1207" s="17" t="str">
        <f ca="1">PROPER(Music_Data[[#This Row],[Playlist_subgenre2]])</f>
        <v>Bedroom</v>
      </c>
    </row>
    <row r="1208" spans="1:15">
      <c r="A1208" s="17">
        <v>0.83</v>
      </c>
      <c r="B1208" s="21">
        <v>113</v>
      </c>
      <c r="C1208" s="16">
        <v>0.66600000000000004</v>
      </c>
      <c r="D1208" s="16" t="str">
        <f ca="1">PROPER(Music_Data[[#This Row],[Playlist_genre2]])</f>
        <v>Pop</v>
      </c>
      <c r="E1208" s="17">
        <v>0.70199999999999996</v>
      </c>
      <c r="F1208" t="s">
        <v>8143</v>
      </c>
      <c r="G1208">
        <v>76</v>
      </c>
      <c r="H1208" t="s">
        <v>7830</v>
      </c>
      <c r="I1208" t="s">
        <v>8346</v>
      </c>
      <c r="J1208" s="22">
        <v>42496</v>
      </c>
      <c r="K1208">
        <v>1</v>
      </c>
      <c r="L1208">
        <v>0</v>
      </c>
      <c r="M1208" s="21">
        <f ca="1">LEFT(Music_Data[[#This Row],[Duration_minutes]],3)/60</f>
        <v>3.9333333333333331</v>
      </c>
      <c r="N1208" s="17">
        <v>1.23E-2</v>
      </c>
      <c r="O1208" s="17" t="str">
        <f ca="1">PROPER(Music_Data[[#This Row],[Playlist_subgenre2]])</f>
        <v>Throwback</v>
      </c>
    </row>
    <row r="1209" spans="1:15">
      <c r="A1209" s="17">
        <v>0.87</v>
      </c>
      <c r="B1209" s="21">
        <v>109</v>
      </c>
      <c r="C1209" s="16">
        <v>0.59699999999999998</v>
      </c>
      <c r="D1209" s="16" t="str">
        <f ca="1">PROPER(Music_Data[[#This Row],[Playlist_genre2]])</f>
        <v>Pop</v>
      </c>
      <c r="E1209" s="17">
        <v>0.94399999999999995</v>
      </c>
      <c r="F1209" t="s">
        <v>8311</v>
      </c>
      <c r="G1209">
        <v>76</v>
      </c>
      <c r="H1209" t="s">
        <v>7830</v>
      </c>
      <c r="I1209" t="s">
        <v>8316</v>
      </c>
      <c r="J1209" s="22">
        <v>1985</v>
      </c>
      <c r="K1209">
        <v>1</v>
      </c>
      <c r="L1209">
        <v>10</v>
      </c>
      <c r="M1209" s="21">
        <f ca="1">LEFT(Music_Data[[#This Row],[Duration_minutes]],3)/60</f>
        <v>3.9666666666666668</v>
      </c>
      <c r="N1209" s="17">
        <v>1.1900000000000001E-2</v>
      </c>
      <c r="O1209" s="17" t="str">
        <f ca="1">PROPER(Music_Data[[#This Row],[Playlist_subgenre2]])</f>
        <v>Throwback</v>
      </c>
    </row>
    <row r="1210" spans="1:15">
      <c r="A1210" s="17">
        <v>0.42599999999999999</v>
      </c>
      <c r="B1210" s="21">
        <v>848</v>
      </c>
      <c r="C1210" s="16">
        <v>0.67400000000000004</v>
      </c>
      <c r="D1210" s="16" t="str">
        <f ca="1">PROPER(Music_Data[[#This Row],[Playlist_genre2]])</f>
        <v>Pop</v>
      </c>
      <c r="E1210" s="17">
        <v>0.33700000000000002</v>
      </c>
      <c r="F1210" t="s">
        <v>7554</v>
      </c>
      <c r="G1210">
        <v>76</v>
      </c>
      <c r="H1210" t="s">
        <v>7053</v>
      </c>
      <c r="I1210" t="s">
        <v>7560</v>
      </c>
      <c r="J1210" s="22">
        <v>41544</v>
      </c>
      <c r="K1210">
        <v>1</v>
      </c>
      <c r="L1210">
        <v>7</v>
      </c>
      <c r="M1210" s="21">
        <f ca="1">LEFT(Music_Data[[#This Row],[Duration_minutes]],3)/60</f>
        <v>3.1666666666666665</v>
      </c>
      <c r="N1210" s="17">
        <v>0.12</v>
      </c>
      <c r="O1210" s="17" t="str">
        <f ca="1">PROPER(Music_Data[[#This Row],[Playlist_subgenre2]])</f>
        <v>Soft</v>
      </c>
    </row>
    <row r="1211" spans="1:15">
      <c r="A1211" s="17">
        <v>0.92200000000000004</v>
      </c>
      <c r="B1211" s="21">
        <v>146</v>
      </c>
      <c r="C1211" s="16">
        <v>0.64100000000000001</v>
      </c>
      <c r="D1211" s="16" t="str">
        <f ca="1">PROPER(Music_Data[[#This Row],[Playlist_genre2]])</f>
        <v>Pop</v>
      </c>
      <c r="E1211" s="17">
        <v>0.84699999999999998</v>
      </c>
      <c r="F1211" t="s">
        <v>8284</v>
      </c>
      <c r="G1211">
        <v>76</v>
      </c>
      <c r="H1211" t="s">
        <v>7830</v>
      </c>
      <c r="I1211" t="s">
        <v>8291</v>
      </c>
      <c r="J1211" s="22">
        <v>41191</v>
      </c>
      <c r="K1211">
        <v>1</v>
      </c>
      <c r="L1211">
        <v>2</v>
      </c>
      <c r="M1211" s="21">
        <f ca="1">LEFT(Music_Data[[#This Row],[Duration_minutes]],3)/60</f>
        <v>4.3</v>
      </c>
      <c r="N1211" s="17">
        <v>2.9100000000000001E-2</v>
      </c>
      <c r="O1211" s="17" t="str">
        <f ca="1">PROPER(Music_Data[[#This Row],[Playlist_subgenre2]])</f>
        <v>Throwback</v>
      </c>
    </row>
    <row r="1212" spans="1:15">
      <c r="A1212" s="17">
        <v>0.80900000000000005</v>
      </c>
      <c r="B1212" s="21">
        <v>980</v>
      </c>
      <c r="C1212" s="16">
        <v>0.72299999999999998</v>
      </c>
      <c r="D1212" s="16" t="str">
        <f ca="1">PROPER(Music_Data[[#This Row],[Playlist_genre2]])</f>
        <v>Pop</v>
      </c>
      <c r="E1212" s="17">
        <v>0.27400000000000002</v>
      </c>
      <c r="F1212" t="s">
        <v>13182</v>
      </c>
      <c r="G1212">
        <v>76</v>
      </c>
      <c r="H1212" t="s">
        <v>7830</v>
      </c>
      <c r="I1212" t="s">
        <v>8386</v>
      </c>
      <c r="J1212" s="22">
        <v>42335</v>
      </c>
      <c r="K1212">
        <v>0</v>
      </c>
      <c r="L1212">
        <v>7</v>
      </c>
      <c r="M1212" s="21">
        <f ca="1">LEFT(Music_Data[[#This Row],[Duration_minutes]],3)/60</f>
        <v>2.9333333333333331</v>
      </c>
      <c r="N1212" s="17">
        <v>3.46E-3</v>
      </c>
      <c r="O1212" s="17" t="str">
        <f ca="1">PROPER(Music_Data[[#This Row],[Playlist_subgenre2]])</f>
        <v>Throwback</v>
      </c>
    </row>
    <row r="1213" spans="1:15">
      <c r="A1213" s="17">
        <v>0.79400000000000004</v>
      </c>
      <c r="B1213" s="21">
        <v>114</v>
      </c>
      <c r="C1213" s="16">
        <v>0.60099999999999998</v>
      </c>
      <c r="D1213" s="16" t="str">
        <f ca="1">PROPER(Music_Data[[#This Row],[Playlist_genre2]])</f>
        <v>Pop</v>
      </c>
      <c r="E1213" s="17">
        <v>0.24399999999999999</v>
      </c>
      <c r="F1213" t="s">
        <v>7535</v>
      </c>
      <c r="G1213">
        <v>76</v>
      </c>
      <c r="H1213" t="s">
        <v>7053</v>
      </c>
      <c r="I1213" t="s">
        <v>7542</v>
      </c>
      <c r="J1213" s="22">
        <v>43637</v>
      </c>
      <c r="K1213">
        <v>0</v>
      </c>
      <c r="L1213">
        <v>7</v>
      </c>
      <c r="M1213" s="21">
        <f ca="1">LEFT(Music_Data[[#This Row],[Duration_minutes]],3)/60</f>
        <v>3.6166666666666667</v>
      </c>
      <c r="N1213" s="17">
        <v>9.8700000000000003E-3</v>
      </c>
      <c r="O1213" s="17" t="str">
        <f ca="1">PROPER(Music_Data[[#This Row],[Playlist_subgenre2]])</f>
        <v>Soft</v>
      </c>
    </row>
    <row r="1214" spans="1:15">
      <c r="A1214" s="17">
        <v>0.67300000000000004</v>
      </c>
      <c r="B1214" s="21">
        <v>203</v>
      </c>
      <c r="C1214" s="16">
        <v>0.49199999999999999</v>
      </c>
      <c r="D1214" s="16" t="str">
        <f ca="1">PROPER(Music_Data[[#This Row],[Playlist_genre2]])</f>
        <v>Pop</v>
      </c>
      <c r="E1214" s="17">
        <v>0.48799999999999999</v>
      </c>
      <c r="F1214" t="s">
        <v>266</v>
      </c>
      <c r="G1214">
        <v>76</v>
      </c>
      <c r="H1214" t="s">
        <v>7053</v>
      </c>
      <c r="I1214" t="s">
        <v>7551</v>
      </c>
      <c r="J1214" s="22">
        <v>44957</v>
      </c>
      <c r="K1214">
        <v>1</v>
      </c>
      <c r="L1214">
        <v>6</v>
      </c>
      <c r="M1214" s="21">
        <f ca="1">LEFT(Music_Data[[#This Row],[Duration_minutes]],3)/60</f>
        <v>2.7166666666666668</v>
      </c>
      <c r="N1214" s="17">
        <v>0.41299999999999998</v>
      </c>
      <c r="O1214" s="17" t="str">
        <f ca="1">PROPER(Music_Data[[#This Row],[Playlist_subgenre2]])</f>
        <v>Soft</v>
      </c>
    </row>
    <row r="1215" spans="1:15">
      <c r="A1215" s="17">
        <v>0.71599999999999997</v>
      </c>
      <c r="B1215" s="21">
        <v>125</v>
      </c>
      <c r="C1215" s="16">
        <v>0.747</v>
      </c>
      <c r="D1215" s="16" t="str">
        <f ca="1">PROPER(Music_Data[[#This Row],[Playlist_genre2]])</f>
        <v>Pop</v>
      </c>
      <c r="E1215" s="17">
        <v>0.751</v>
      </c>
      <c r="F1215" t="s">
        <v>8293</v>
      </c>
      <c r="G1215">
        <v>76</v>
      </c>
      <c r="H1215" t="s">
        <v>7830</v>
      </c>
      <c r="I1215" t="s">
        <v>8299</v>
      </c>
      <c r="J1215" s="22">
        <v>40909</v>
      </c>
      <c r="K1215">
        <v>0</v>
      </c>
      <c r="L1215">
        <v>11</v>
      </c>
      <c r="M1215" s="21">
        <f ca="1">LEFT(Music_Data[[#This Row],[Duration_minutes]],3)/60</f>
        <v>3.5</v>
      </c>
      <c r="N1215" s="17">
        <v>0.13500000000000001</v>
      </c>
      <c r="O1215" s="17" t="str">
        <f ca="1">PROPER(Music_Data[[#This Row],[Playlist_subgenre2]])</f>
        <v>Throwback</v>
      </c>
    </row>
    <row r="1216" spans="1:15">
      <c r="A1216" s="17">
        <v>0.34200000000000003</v>
      </c>
      <c r="B1216" s="21">
        <v>102</v>
      </c>
      <c r="C1216" s="16">
        <v>0.51600000000000001</v>
      </c>
      <c r="D1216" s="16" t="str">
        <f ca="1">PROPER(Music_Data[[#This Row],[Playlist_genre2]])</f>
        <v>Pop</v>
      </c>
      <c r="E1216" s="17">
        <v>9.9299999999999999E-2</v>
      </c>
      <c r="F1216" t="s">
        <v>7527</v>
      </c>
      <c r="G1216">
        <v>76</v>
      </c>
      <c r="H1216" t="s">
        <v>7053</v>
      </c>
      <c r="I1216" t="s">
        <v>7533</v>
      </c>
      <c r="J1216" s="22">
        <v>43840</v>
      </c>
      <c r="K1216">
        <v>1</v>
      </c>
      <c r="L1216">
        <v>4</v>
      </c>
      <c r="M1216" s="21">
        <f ca="1">LEFT(Music_Data[[#This Row],[Duration_minutes]],3)/60</f>
        <v>3.4333333333333331</v>
      </c>
      <c r="N1216" s="17">
        <v>0.55000000000000004</v>
      </c>
      <c r="O1216" s="17" t="str">
        <f ca="1">PROPER(Music_Data[[#This Row],[Playlist_subgenre2]])</f>
        <v>Soft</v>
      </c>
    </row>
    <row r="1217" spans="1:15">
      <c r="A1217" s="17">
        <v>0.73799999999999999</v>
      </c>
      <c r="B1217" s="21">
        <v>117</v>
      </c>
      <c r="C1217" s="16">
        <v>0.73099999999999998</v>
      </c>
      <c r="D1217" s="16" t="str">
        <f ca="1">PROPER(Music_Data[[#This Row],[Playlist_genre2]])</f>
        <v>Pop</v>
      </c>
      <c r="E1217" s="17">
        <v>0.95799999999999996</v>
      </c>
      <c r="F1217" t="s">
        <v>8335</v>
      </c>
      <c r="G1217">
        <v>76</v>
      </c>
      <c r="H1217" t="s">
        <v>7830</v>
      </c>
      <c r="I1217" t="s">
        <v>8341</v>
      </c>
      <c r="J1217" s="22">
        <v>1981</v>
      </c>
      <c r="K1217">
        <v>0</v>
      </c>
      <c r="L1217">
        <v>9</v>
      </c>
      <c r="M1217" s="21">
        <f ca="1">LEFT(Music_Data[[#This Row],[Duration_minutes]],3)/60</f>
        <v>3.9333333333333331</v>
      </c>
      <c r="N1217" s="17">
        <v>0.184</v>
      </c>
      <c r="O1217" s="17" t="str">
        <f ca="1">PROPER(Music_Data[[#This Row],[Playlist_subgenre2]])</f>
        <v>Throwback</v>
      </c>
    </row>
    <row r="1218" spans="1:15">
      <c r="A1218" s="17">
        <v>0.85099999999999998</v>
      </c>
      <c r="B1218" s="21">
        <v>126</v>
      </c>
      <c r="C1218" s="16">
        <v>0.72199999999999998</v>
      </c>
      <c r="D1218" s="16" t="str">
        <f ca="1">PROPER(Music_Data[[#This Row],[Playlist_genre2]])</f>
        <v>Pop</v>
      </c>
      <c r="E1218" s="17">
        <v>0.45200000000000001</v>
      </c>
      <c r="F1218" t="s">
        <v>8371</v>
      </c>
      <c r="G1218">
        <v>76</v>
      </c>
      <c r="H1218" t="s">
        <v>7830</v>
      </c>
      <c r="I1218" t="s">
        <v>8377</v>
      </c>
      <c r="J1218" s="22">
        <v>40544</v>
      </c>
      <c r="K1218">
        <v>0</v>
      </c>
      <c r="L1218">
        <v>7</v>
      </c>
      <c r="M1218" s="21">
        <f ca="1">LEFT(Music_Data[[#This Row],[Duration_minutes]],3)/60</f>
        <v>3.2833333333333332</v>
      </c>
      <c r="N1218" s="17">
        <v>3.1899999999999998E-2</v>
      </c>
      <c r="O1218" s="17" t="str">
        <f ca="1">PROPER(Music_Data[[#This Row],[Playlist_subgenre2]])</f>
        <v>Throwback</v>
      </c>
    </row>
    <row r="1219" spans="1:15">
      <c r="A1219" s="17">
        <v>0.65700000000000003</v>
      </c>
      <c r="B1219" s="21">
        <v>107</v>
      </c>
      <c r="C1219" s="16">
        <v>0.753</v>
      </c>
      <c r="D1219" s="16" t="str">
        <f ca="1">PROPER(Music_Data[[#This Row],[Playlist_genre2]])</f>
        <v>Pop</v>
      </c>
      <c r="E1219" s="17">
        <v>0.437</v>
      </c>
      <c r="F1219" t="s">
        <v>7519</v>
      </c>
      <c r="G1219">
        <v>76</v>
      </c>
      <c r="H1219" t="s">
        <v>7053</v>
      </c>
      <c r="I1219" t="s">
        <v>7522</v>
      </c>
      <c r="J1219" s="22">
        <v>43123</v>
      </c>
      <c r="K1219">
        <v>1</v>
      </c>
      <c r="L1219">
        <v>7</v>
      </c>
      <c r="M1219" s="21">
        <f ca="1">LEFT(Music_Data[[#This Row],[Duration_minutes]],3)/60</f>
        <v>3.0666666666666669</v>
      </c>
      <c r="N1219" s="17">
        <v>0.17100000000000001</v>
      </c>
      <c r="O1219" s="17" t="str">
        <f ca="1">PROPER(Music_Data[[#This Row],[Playlist_subgenre2]])</f>
        <v>Soft</v>
      </c>
    </row>
    <row r="1220" spans="1:15">
      <c r="A1220" s="17">
        <v>0.70199999999999996</v>
      </c>
      <c r="B1220" s="21">
        <v>129</v>
      </c>
      <c r="C1220" s="16">
        <v>0.68600000000000005</v>
      </c>
      <c r="D1220" s="16" t="str">
        <f ca="1">PROPER(Music_Data[[#This Row],[Playlist_genre2]])</f>
        <v>Pop</v>
      </c>
      <c r="E1220" s="17">
        <v>0.28999999999999998</v>
      </c>
      <c r="F1220" t="s">
        <v>8416</v>
      </c>
      <c r="G1220">
        <v>75</v>
      </c>
      <c r="H1220" t="s">
        <v>7830</v>
      </c>
      <c r="I1220" t="s">
        <v>8423</v>
      </c>
      <c r="J1220" s="22">
        <v>41873</v>
      </c>
      <c r="K1220">
        <v>0</v>
      </c>
      <c r="L1220">
        <v>7</v>
      </c>
      <c r="M1220" s="21">
        <f ca="1">LEFT(Music_Data[[#This Row],[Duration_minutes]],3)/60</f>
        <v>3.5666666666666669</v>
      </c>
      <c r="N1220" s="17">
        <v>6.3699999999999998E-3</v>
      </c>
      <c r="O1220" s="17" t="str">
        <f ca="1">PROPER(Music_Data[[#This Row],[Playlist_subgenre2]])</f>
        <v>Throwback</v>
      </c>
    </row>
    <row r="1221" spans="1:15">
      <c r="A1221" s="17">
        <v>0.64800000000000002</v>
      </c>
      <c r="B1221" s="21">
        <v>125</v>
      </c>
      <c r="C1221" s="16">
        <v>0.86899999999999999</v>
      </c>
      <c r="D1221" s="16" t="str">
        <f ca="1">PROPER(Music_Data[[#This Row],[Playlist_genre2]])</f>
        <v>Pop</v>
      </c>
      <c r="E1221" s="17">
        <v>0.9</v>
      </c>
      <c r="F1221" t="s">
        <v>8467</v>
      </c>
      <c r="G1221">
        <v>75</v>
      </c>
      <c r="H1221" t="s">
        <v>7830</v>
      </c>
      <c r="I1221" t="s">
        <v>8473</v>
      </c>
      <c r="J1221" s="22">
        <v>29904</v>
      </c>
      <c r="K1221">
        <v>0</v>
      </c>
      <c r="L1221">
        <v>11</v>
      </c>
      <c r="M1221" s="21">
        <f ca="1">LEFT(Music_Data[[#This Row],[Duration_minutes]],3)/60</f>
        <v>5.65</v>
      </c>
      <c r="N1221" s="17">
        <v>0.121</v>
      </c>
      <c r="O1221" s="17" t="str">
        <f ca="1">PROPER(Music_Data[[#This Row],[Playlist_subgenre2]])</f>
        <v>Throwback</v>
      </c>
    </row>
    <row r="1222" spans="1:15">
      <c r="A1222" s="17">
        <v>0.86099999999999999</v>
      </c>
      <c r="B1222" s="21">
        <v>128</v>
      </c>
      <c r="C1222" s="16">
        <v>0.70399999999999996</v>
      </c>
      <c r="D1222" s="16" t="str">
        <f ca="1">PROPER(Music_Data[[#This Row],[Playlist_genre2]])</f>
        <v>Pop</v>
      </c>
      <c r="E1222" s="17">
        <v>0.63600000000000001</v>
      </c>
      <c r="F1222" t="s">
        <v>8428</v>
      </c>
      <c r="G1222">
        <v>75</v>
      </c>
      <c r="H1222" t="s">
        <v>7830</v>
      </c>
      <c r="I1222" t="s">
        <v>8434</v>
      </c>
      <c r="J1222" s="22">
        <v>35751</v>
      </c>
      <c r="K1222">
        <v>0</v>
      </c>
      <c r="L1222">
        <v>2</v>
      </c>
      <c r="M1222" s="21">
        <f ca="1">LEFT(Music_Data[[#This Row],[Duration_minutes]],3)/60</f>
        <v>3.55</v>
      </c>
      <c r="N1222" s="17">
        <v>0.58699999999999997</v>
      </c>
      <c r="O1222" s="17" t="str">
        <f ca="1">PROPER(Music_Data[[#This Row],[Playlist_subgenre2]])</f>
        <v>Throwback</v>
      </c>
    </row>
    <row r="1223" spans="1:15">
      <c r="A1223" s="17">
        <v>0.65500000000000003</v>
      </c>
      <c r="B1223" s="21">
        <v>122</v>
      </c>
      <c r="C1223" s="16">
        <v>0.57199999999999995</v>
      </c>
      <c r="D1223" s="16" t="str">
        <f ca="1">PROPER(Music_Data[[#This Row],[Playlist_genre2]])</f>
        <v>Pop</v>
      </c>
      <c r="E1223" s="17">
        <v>0.39200000000000002</v>
      </c>
      <c r="F1223" t="s">
        <v>8438</v>
      </c>
      <c r="G1223">
        <v>75</v>
      </c>
      <c r="H1223" t="s">
        <v>7830</v>
      </c>
      <c r="I1223" t="s">
        <v>8444</v>
      </c>
      <c r="J1223" s="22">
        <v>30622</v>
      </c>
      <c r="K1223">
        <v>0</v>
      </c>
      <c r="L1223">
        <v>7</v>
      </c>
      <c r="M1223" s="21">
        <f ca="1">LEFT(Music_Data[[#This Row],[Duration_minutes]],3)/60</f>
        <v>3.95</v>
      </c>
      <c r="N1223" s="17">
        <v>5.79E-3</v>
      </c>
      <c r="O1223" s="17" t="str">
        <f ca="1">PROPER(Music_Data[[#This Row],[Playlist_subgenre2]])</f>
        <v>Throwback</v>
      </c>
    </row>
    <row r="1224" spans="1:15">
      <c r="A1224" s="17">
        <v>0.751</v>
      </c>
      <c r="B1224" s="21">
        <v>910</v>
      </c>
      <c r="C1224" s="16">
        <v>0.70599999999999996</v>
      </c>
      <c r="D1224" s="16" t="str">
        <f ca="1">PROPER(Music_Data[[#This Row],[Playlist_genre2]])</f>
        <v>Pop</v>
      </c>
      <c r="E1224" s="17">
        <v>0.19500000000000001</v>
      </c>
      <c r="F1224" t="s">
        <v>8409</v>
      </c>
      <c r="G1224">
        <v>75</v>
      </c>
      <c r="H1224" t="s">
        <v>7830</v>
      </c>
      <c r="I1224" t="s">
        <v>8412</v>
      </c>
      <c r="J1224" s="22">
        <v>40043</v>
      </c>
      <c r="K1224">
        <v>1</v>
      </c>
      <c r="L1224">
        <v>9</v>
      </c>
      <c r="M1224" s="21">
        <f ca="1">LEFT(Music_Data[[#This Row],[Duration_minutes]],3)/60</f>
        <v>3.0333333333333332</v>
      </c>
      <c r="N1224" s="17">
        <v>0.17299999999999999</v>
      </c>
      <c r="O1224" s="17" t="str">
        <f ca="1">PROPER(Music_Data[[#This Row],[Playlist_subgenre2]])</f>
        <v>Throwback</v>
      </c>
    </row>
    <row r="1225" spans="1:15">
      <c r="A1225" s="17">
        <v>0.65600000000000003</v>
      </c>
      <c r="B1225" s="21">
        <v>104</v>
      </c>
      <c r="C1225" s="16">
        <v>0.63800000000000001</v>
      </c>
      <c r="D1225" s="16" t="str">
        <f ca="1">PROPER(Music_Data[[#This Row],[Playlist_genre2]])</f>
        <v>Pop</v>
      </c>
      <c r="E1225" s="17">
        <v>0.22500000000000001</v>
      </c>
      <c r="F1225" t="s">
        <v>7562</v>
      </c>
      <c r="G1225">
        <v>75</v>
      </c>
      <c r="H1225" t="s">
        <v>7053</v>
      </c>
      <c r="I1225" t="s">
        <v>7568</v>
      </c>
      <c r="J1225" s="22">
        <v>2007</v>
      </c>
      <c r="K1225">
        <v>1</v>
      </c>
      <c r="L1225">
        <v>5</v>
      </c>
      <c r="M1225" s="21">
        <f ca="1">LEFT(Music_Data[[#This Row],[Duration_minutes]],3)/60</f>
        <v>4.3666666666666663</v>
      </c>
      <c r="N1225" s="17">
        <v>0.188</v>
      </c>
      <c r="O1225" s="17" t="str">
        <f ca="1">PROPER(Music_Data[[#This Row],[Playlist_subgenre2]])</f>
        <v>Soft</v>
      </c>
    </row>
    <row r="1226" spans="1:15">
      <c r="A1226" s="17">
        <v>0.80700000000000005</v>
      </c>
      <c r="B1226" s="21">
        <v>174</v>
      </c>
      <c r="C1226" s="16">
        <v>0.622</v>
      </c>
      <c r="D1226" s="16" t="str">
        <f ca="1">PROPER(Music_Data[[#This Row],[Playlist_genre2]])</f>
        <v>Pop</v>
      </c>
      <c r="E1226" s="17">
        <v>0.89200000000000002</v>
      </c>
      <c r="F1226" t="s">
        <v>8459</v>
      </c>
      <c r="G1226">
        <v>75</v>
      </c>
      <c r="H1226" t="s">
        <v>7830</v>
      </c>
      <c r="I1226" t="s">
        <v>8465</v>
      </c>
      <c r="J1226" s="22">
        <v>36360</v>
      </c>
      <c r="K1226">
        <v>0</v>
      </c>
      <c r="L1226">
        <v>5</v>
      </c>
      <c r="M1226" s="21">
        <f ca="1">LEFT(Music_Data[[#This Row],[Duration_minutes]],3)/60</f>
        <v>3.6666666666666665</v>
      </c>
      <c r="N1226" s="17">
        <v>0.10299999999999999</v>
      </c>
      <c r="O1226" s="17" t="str">
        <f ca="1">PROPER(Music_Data[[#This Row],[Playlist_subgenre2]])</f>
        <v>Throwback</v>
      </c>
    </row>
    <row r="1227" spans="1:15">
      <c r="A1227" s="17">
        <v>0.7</v>
      </c>
      <c r="B1227" s="21">
        <v>101</v>
      </c>
      <c r="C1227" s="16">
        <v>0.85</v>
      </c>
      <c r="D1227" s="16" t="str">
        <f ca="1">PROPER(Music_Data[[#This Row],[Playlist_genre2]])</f>
        <v>Pop</v>
      </c>
      <c r="E1227" s="17">
        <v>0.72399999999999998</v>
      </c>
      <c r="F1227" t="s">
        <v>8449</v>
      </c>
      <c r="G1227">
        <v>75</v>
      </c>
      <c r="H1227" t="s">
        <v>7830</v>
      </c>
      <c r="I1227" t="s">
        <v>8455</v>
      </c>
      <c r="J1227" s="22">
        <v>36704</v>
      </c>
      <c r="K1227">
        <v>1</v>
      </c>
      <c r="L1227">
        <v>7</v>
      </c>
      <c r="M1227" s="21">
        <f ca="1">LEFT(Music_Data[[#This Row],[Duration_minutes]],3)/60</f>
        <v>4.8499999999999996</v>
      </c>
      <c r="N1227" s="17">
        <v>6.0699999999999997E-2</v>
      </c>
      <c r="O1227" s="17" t="str">
        <f ca="1">PROPER(Music_Data[[#This Row],[Playlist_subgenre2]])</f>
        <v>Throwback</v>
      </c>
    </row>
    <row r="1228" spans="1:15">
      <c r="A1228" s="17">
        <v>0.872</v>
      </c>
      <c r="B1228" s="21">
        <v>126</v>
      </c>
      <c r="C1228" s="16">
        <v>0.56000000000000005</v>
      </c>
      <c r="D1228" s="16" t="str">
        <f ca="1">PROPER(Music_Data[[#This Row],[Playlist_genre2]])</f>
        <v>Pop</v>
      </c>
      <c r="E1228" s="17">
        <v>0.68200000000000005</v>
      </c>
      <c r="F1228" t="s">
        <v>8399</v>
      </c>
      <c r="G1228">
        <v>75</v>
      </c>
      <c r="H1228" t="s">
        <v>7830</v>
      </c>
      <c r="I1228" t="s">
        <v>8405</v>
      </c>
      <c r="J1228" s="22">
        <v>41138</v>
      </c>
      <c r="K1228">
        <v>1</v>
      </c>
      <c r="L1228">
        <v>3</v>
      </c>
      <c r="M1228" s="21">
        <f ca="1">LEFT(Music_Data[[#This Row],[Duration_minutes]],3)/60</f>
        <v>3.4166666666666665</v>
      </c>
      <c r="N1228" s="17">
        <v>2.3900000000000001E-2</v>
      </c>
      <c r="O1228" s="17" t="str">
        <f ca="1">PROPER(Music_Data[[#This Row],[Playlist_subgenre2]])</f>
        <v>Throwback</v>
      </c>
    </row>
    <row r="1229" spans="1:15">
      <c r="A1229" s="17">
        <v>0.76600000000000001</v>
      </c>
      <c r="B1229" s="21">
        <v>127</v>
      </c>
      <c r="C1229" s="16">
        <v>0.73499999999999999</v>
      </c>
      <c r="D1229" s="16" t="str">
        <f ca="1">PROPER(Music_Data[[#This Row],[Playlist_genre2]])</f>
        <v>Pop</v>
      </c>
      <c r="E1229" s="17">
        <v>0.6</v>
      </c>
      <c r="F1229" t="s">
        <v>4463</v>
      </c>
      <c r="G1229">
        <v>75</v>
      </c>
      <c r="H1229" t="s">
        <v>7830</v>
      </c>
      <c r="I1229" t="s">
        <v>4469</v>
      </c>
      <c r="J1229" s="22">
        <v>40866</v>
      </c>
      <c r="K1229">
        <v>1</v>
      </c>
      <c r="L1229">
        <v>1</v>
      </c>
      <c r="M1229" s="21">
        <f ca="1">LEFT(Music_Data[[#This Row],[Duration_minutes]],3)/60</f>
        <v>3.5833333333333335</v>
      </c>
      <c r="N1229" s="17">
        <v>2.5000000000000001E-2</v>
      </c>
      <c r="O1229" s="17" t="str">
        <f ca="1">PROPER(Music_Data[[#This Row],[Playlist_subgenre2]])</f>
        <v>Throwback</v>
      </c>
    </row>
    <row r="1230" spans="1:15">
      <c r="A1230" s="17">
        <v>0.54</v>
      </c>
      <c r="B1230" s="21">
        <v>116</v>
      </c>
      <c r="C1230" s="16">
        <v>0.75900000000000001</v>
      </c>
      <c r="D1230" s="16" t="str">
        <f ca="1">PROPER(Music_Data[[#This Row],[Playlist_genre2]])</f>
        <v>Pop</v>
      </c>
      <c r="E1230" s="17">
        <v>0.75</v>
      </c>
      <c r="F1230" t="s">
        <v>7587</v>
      </c>
      <c r="G1230">
        <v>75</v>
      </c>
      <c r="H1230" t="s">
        <v>7053</v>
      </c>
      <c r="I1230" t="s">
        <v>7590</v>
      </c>
      <c r="J1230" s="22">
        <v>43637</v>
      </c>
      <c r="K1230">
        <v>0</v>
      </c>
      <c r="L1230">
        <v>9</v>
      </c>
      <c r="M1230" s="21">
        <f ca="1">LEFT(Music_Data[[#This Row],[Duration_minutes]],3)/60</f>
        <v>3.1666666666666665</v>
      </c>
      <c r="N1230" s="17">
        <v>3.6999999999999998E-2</v>
      </c>
      <c r="O1230" s="17" t="str">
        <f ca="1">PROPER(Music_Data[[#This Row],[Playlist_subgenre2]])</f>
        <v>Soft</v>
      </c>
    </row>
    <row r="1231" spans="1:15">
      <c r="A1231" s="17">
        <v>0.59299999999999997</v>
      </c>
      <c r="B1231" s="21">
        <v>119</v>
      </c>
      <c r="C1231" s="16">
        <v>0.79</v>
      </c>
      <c r="D1231" s="16" t="str">
        <f ca="1">PROPER(Music_Data[[#This Row],[Playlist_genre2]])</f>
        <v>Pop</v>
      </c>
      <c r="E1231" s="17">
        <v>0.72</v>
      </c>
      <c r="F1231" t="s">
        <v>4453</v>
      </c>
      <c r="G1231">
        <v>75</v>
      </c>
      <c r="H1231" t="s">
        <v>7830</v>
      </c>
      <c r="I1231" t="s">
        <v>4459</v>
      </c>
      <c r="J1231" s="22">
        <v>40179</v>
      </c>
      <c r="K1231">
        <v>0</v>
      </c>
      <c r="L1231">
        <v>1</v>
      </c>
      <c r="M1231" s="21">
        <f ca="1">LEFT(Music_Data[[#This Row],[Duration_minutes]],3)/60</f>
        <v>3.4333333333333331</v>
      </c>
      <c r="N1231" s="17">
        <v>9.8299999999999998E-2</v>
      </c>
      <c r="O1231" s="17" t="str">
        <f ca="1">PROPER(Music_Data[[#This Row],[Playlist_subgenre2]])</f>
        <v>Throwback</v>
      </c>
    </row>
    <row r="1232" spans="1:15">
      <c r="A1232" s="17">
        <v>0.79200000000000004</v>
      </c>
      <c r="B1232" s="21">
        <v>119</v>
      </c>
      <c r="C1232" s="16">
        <v>0.627</v>
      </c>
      <c r="D1232" s="16" t="str">
        <f ca="1">PROPER(Music_Data[[#This Row],[Playlist_genre2]])</f>
        <v>Pop</v>
      </c>
      <c r="E1232" s="17">
        <v>0.41499999999999998</v>
      </c>
      <c r="F1232" t="s">
        <v>4924</v>
      </c>
      <c r="G1232">
        <v>75</v>
      </c>
      <c r="H1232" t="s">
        <v>7053</v>
      </c>
      <c r="I1232" t="s">
        <v>7584</v>
      </c>
      <c r="J1232" s="22">
        <v>44295</v>
      </c>
      <c r="K1232">
        <v>1</v>
      </c>
      <c r="L1232">
        <v>2</v>
      </c>
      <c r="M1232" s="21">
        <f ca="1">LEFT(Music_Data[[#This Row],[Duration_minutes]],3)/60</f>
        <v>3.9166666666666665</v>
      </c>
      <c r="N1232" s="17">
        <v>0.13</v>
      </c>
      <c r="O1232" s="17" t="str">
        <f ca="1">PROPER(Music_Data[[#This Row],[Playlist_subgenre2]])</f>
        <v>Soft</v>
      </c>
    </row>
    <row r="1233" spans="1:15">
      <c r="A1233" s="17">
        <v>0.83499999999999996</v>
      </c>
      <c r="B1233" s="21">
        <v>129</v>
      </c>
      <c r="C1233" s="16">
        <v>0.57199999999999995</v>
      </c>
      <c r="D1233" s="16" t="str">
        <f ca="1">PROPER(Music_Data[[#This Row],[Playlist_genre2]])</f>
        <v>Pop</v>
      </c>
      <c r="E1233" s="17">
        <v>0.79500000000000004</v>
      </c>
      <c r="F1233" t="s">
        <v>1240</v>
      </c>
      <c r="G1233">
        <v>75</v>
      </c>
      <c r="H1233" t="s">
        <v>7830</v>
      </c>
      <c r="I1233" t="s">
        <v>6065</v>
      </c>
      <c r="J1233" s="22">
        <v>30685</v>
      </c>
      <c r="K1233">
        <v>1</v>
      </c>
      <c r="L1233">
        <v>0</v>
      </c>
      <c r="M1233" s="21">
        <f ca="1">LEFT(Music_Data[[#This Row],[Duration_minutes]],3)/60</f>
        <v>4.0166666666666666</v>
      </c>
      <c r="N1233" s="17">
        <v>0.17100000000000001</v>
      </c>
      <c r="O1233" s="17" t="str">
        <f ca="1">PROPER(Music_Data[[#This Row],[Playlist_subgenre2]])</f>
        <v>Throwback</v>
      </c>
    </row>
    <row r="1234" spans="1:15">
      <c r="A1234" s="17">
        <v>0.82499999999999996</v>
      </c>
      <c r="B1234" s="21">
        <v>949</v>
      </c>
      <c r="C1234" s="16">
        <v>0.56000000000000005</v>
      </c>
      <c r="D1234" s="16" t="str">
        <f ca="1">PROPER(Music_Data[[#This Row],[Playlist_genre2]])</f>
        <v>Pop</v>
      </c>
      <c r="E1234" s="17">
        <v>0.26800000000000002</v>
      </c>
      <c r="F1234" t="s">
        <v>7570</v>
      </c>
      <c r="G1234">
        <v>75</v>
      </c>
      <c r="H1234" t="s">
        <v>7053</v>
      </c>
      <c r="I1234" t="s">
        <v>7577</v>
      </c>
      <c r="J1234" s="22">
        <v>37376</v>
      </c>
      <c r="K1234">
        <v>1</v>
      </c>
      <c r="L1234">
        <v>11</v>
      </c>
      <c r="M1234" s="21">
        <f ca="1">LEFT(Music_Data[[#This Row],[Duration_minutes]],3)/60</f>
        <v>3.95</v>
      </c>
      <c r="N1234" s="17">
        <v>0.32300000000000001</v>
      </c>
      <c r="O1234" s="17" t="str">
        <f ca="1">PROPER(Music_Data[[#This Row],[Playlist_subgenre2]])</f>
        <v>Soft</v>
      </c>
    </row>
    <row r="1235" spans="1:15">
      <c r="A1235" s="17">
        <v>0.92800000000000005</v>
      </c>
      <c r="B1235" s="21">
        <v>172</v>
      </c>
      <c r="C1235" s="16">
        <v>0.61399999999999999</v>
      </c>
      <c r="D1235" s="16" t="str">
        <f ca="1">PROPER(Music_Data[[#This Row],[Playlist_genre2]])</f>
        <v>Pop</v>
      </c>
      <c r="E1235" s="17">
        <v>0.879</v>
      </c>
      <c r="F1235" t="s">
        <v>8519</v>
      </c>
      <c r="G1235">
        <v>74</v>
      </c>
      <c r="H1235" t="s">
        <v>7830</v>
      </c>
      <c r="I1235" t="s">
        <v>8526</v>
      </c>
      <c r="J1235" s="22">
        <v>36606</v>
      </c>
      <c r="K1235">
        <v>0</v>
      </c>
      <c r="L1235">
        <v>8</v>
      </c>
      <c r="M1235" s="21">
        <f ca="1">LEFT(Music_Data[[#This Row],[Duration_minutes]],3)/60</f>
        <v>3.3333333333333335</v>
      </c>
      <c r="N1235" s="17">
        <v>4.0800000000000003E-2</v>
      </c>
      <c r="O1235" s="17" t="str">
        <f ca="1">PROPER(Music_Data[[#This Row],[Playlist_subgenre2]])</f>
        <v>Throwback</v>
      </c>
    </row>
    <row r="1236" spans="1:15">
      <c r="A1236" s="17">
        <v>0.67500000000000004</v>
      </c>
      <c r="B1236" s="21">
        <v>107</v>
      </c>
      <c r="C1236" s="16">
        <v>0.68400000000000005</v>
      </c>
      <c r="D1236" s="16" t="str">
        <f ca="1">PROPER(Music_Data[[#This Row],[Playlist_genre2]])</f>
        <v>Pop</v>
      </c>
      <c r="E1236" s="17">
        <v>0.92400000000000004</v>
      </c>
      <c r="F1236" t="s">
        <v>7925</v>
      </c>
      <c r="G1236">
        <v>74</v>
      </c>
      <c r="H1236" t="s">
        <v>7830</v>
      </c>
      <c r="I1236" t="s">
        <v>8539</v>
      </c>
      <c r="J1236" s="22">
        <v>1977</v>
      </c>
      <c r="K1236">
        <v>1</v>
      </c>
      <c r="L1236">
        <v>11</v>
      </c>
      <c r="M1236" s="21">
        <f ca="1">LEFT(Music_Data[[#This Row],[Duration_minutes]],3)/60</f>
        <v>4.05</v>
      </c>
      <c r="N1236" s="17">
        <v>0.16300000000000001</v>
      </c>
      <c r="O1236" s="17" t="str">
        <f ca="1">PROPER(Music_Data[[#This Row],[Playlist_subgenre2]])</f>
        <v>Throwback</v>
      </c>
    </row>
    <row r="1237" spans="1:15">
      <c r="A1237" s="17">
        <v>0.95399999999999996</v>
      </c>
      <c r="B1237" s="21">
        <v>128</v>
      </c>
      <c r="C1237" s="16">
        <v>0.627</v>
      </c>
      <c r="D1237" s="16" t="str">
        <f ca="1">PROPER(Music_Data[[#This Row],[Playlist_genre2]])</f>
        <v>Pop</v>
      </c>
      <c r="E1237" s="17">
        <v>0.312</v>
      </c>
      <c r="F1237" t="s">
        <v>8484</v>
      </c>
      <c r="G1237">
        <v>74</v>
      </c>
      <c r="H1237" t="s">
        <v>7830</v>
      </c>
      <c r="I1237" t="s">
        <v>8490</v>
      </c>
      <c r="J1237" s="22">
        <v>39132</v>
      </c>
      <c r="K1237">
        <v>1</v>
      </c>
      <c r="L1237">
        <v>2</v>
      </c>
      <c r="M1237" s="21">
        <f ca="1">LEFT(Music_Data[[#This Row],[Duration_minutes]],3)/60</f>
        <v>3.7166666666666668</v>
      </c>
      <c r="N1237" s="17">
        <v>1.5E-3</v>
      </c>
      <c r="O1237" s="17" t="str">
        <f ca="1">PROPER(Music_Data[[#This Row],[Playlist_subgenre2]])</f>
        <v>Throwback</v>
      </c>
    </row>
    <row r="1238" spans="1:15">
      <c r="A1238" s="17">
        <v>0.70599999999999996</v>
      </c>
      <c r="B1238" s="21">
        <v>925</v>
      </c>
      <c r="C1238" s="16">
        <v>0.48199999999999998</v>
      </c>
      <c r="D1238" s="16" t="str">
        <f ca="1">PROPER(Music_Data[[#This Row],[Playlist_genre2]])</f>
        <v>Pop</v>
      </c>
      <c r="E1238" s="17">
        <v>0.14399999999999999</v>
      </c>
      <c r="F1238" t="s">
        <v>3815</v>
      </c>
      <c r="G1238">
        <v>74</v>
      </c>
      <c r="H1238" t="s">
        <v>7053</v>
      </c>
      <c r="I1238" t="s">
        <v>7635</v>
      </c>
      <c r="J1238" s="22">
        <v>41231</v>
      </c>
      <c r="K1238">
        <v>1</v>
      </c>
      <c r="L1238">
        <v>9</v>
      </c>
      <c r="M1238" s="21">
        <f ca="1">LEFT(Music_Data[[#This Row],[Duration_minutes]],3)/60</f>
        <v>3.7333333333333334</v>
      </c>
      <c r="N1238" s="17">
        <v>0.13500000000000001</v>
      </c>
      <c r="O1238" s="17" t="str">
        <f ca="1">PROPER(Music_Data[[#This Row],[Playlist_subgenre2]])</f>
        <v>Soft</v>
      </c>
    </row>
    <row r="1239" spans="1:15">
      <c r="A1239" s="17">
        <v>0.495</v>
      </c>
      <c r="B1239" s="21">
        <v>103</v>
      </c>
      <c r="C1239" s="16">
        <v>0.69399999999999995</v>
      </c>
      <c r="D1239" s="16" t="str">
        <f ca="1">PROPER(Music_Data[[#This Row],[Playlist_genre2]])</f>
        <v>Pop</v>
      </c>
      <c r="E1239" s="17">
        <v>0.79900000000000004</v>
      </c>
      <c r="F1239" t="s">
        <v>7637</v>
      </c>
      <c r="G1239">
        <v>74</v>
      </c>
      <c r="H1239" t="s">
        <v>7053</v>
      </c>
      <c r="I1239" t="s">
        <v>7643</v>
      </c>
      <c r="J1239" s="22">
        <v>2006</v>
      </c>
      <c r="K1239">
        <v>1</v>
      </c>
      <c r="L1239">
        <v>9</v>
      </c>
      <c r="M1239" s="21">
        <f ca="1">LEFT(Music_Data[[#This Row],[Duration_minutes]],3)/60</f>
        <v>4.2833333333333332</v>
      </c>
      <c r="N1239" s="17">
        <v>1.37E-2</v>
      </c>
      <c r="O1239" s="17" t="str">
        <f ca="1">PROPER(Music_Data[[#This Row],[Playlist_subgenre2]])</f>
        <v>Soft</v>
      </c>
    </row>
    <row r="1240" spans="1:15">
      <c r="A1240" s="17">
        <v>0.879</v>
      </c>
      <c r="B1240" s="21">
        <v>129</v>
      </c>
      <c r="C1240" s="16">
        <v>0.81200000000000006</v>
      </c>
      <c r="D1240" s="16" t="str">
        <f ca="1">PROPER(Music_Data[[#This Row],[Playlist_genre2]])</f>
        <v>Pop</v>
      </c>
      <c r="E1240" s="17">
        <v>0.96199999999999997</v>
      </c>
      <c r="F1240" t="s">
        <v>8541</v>
      </c>
      <c r="G1240">
        <v>74</v>
      </c>
      <c r="H1240" t="s">
        <v>7830</v>
      </c>
      <c r="I1240" t="s">
        <v>8548</v>
      </c>
      <c r="J1240" s="22">
        <v>35431</v>
      </c>
      <c r="K1240">
        <v>0</v>
      </c>
      <c r="L1240">
        <v>1</v>
      </c>
      <c r="M1240" s="21">
        <f ca="1">LEFT(Music_Data[[#This Row],[Duration_minutes]],3)/60</f>
        <v>3.2833333333333332</v>
      </c>
      <c r="N1240" s="17">
        <v>1.7000000000000001E-2</v>
      </c>
      <c r="O1240" s="17" t="str">
        <f ca="1">PROPER(Music_Data[[#This Row],[Playlist_subgenre2]])</f>
        <v>Throwback</v>
      </c>
    </row>
    <row r="1241" spans="1:15">
      <c r="A1241" s="17">
        <v>0.85299999999999998</v>
      </c>
      <c r="B1241" s="21">
        <v>108</v>
      </c>
      <c r="C1241" s="16">
        <v>0.73099999999999998</v>
      </c>
      <c r="D1241" s="16" t="str">
        <f ca="1">PROPER(Music_Data[[#This Row],[Playlist_genre2]])</f>
        <v>Pop</v>
      </c>
      <c r="E1241" s="17">
        <v>0.60499999999999998</v>
      </c>
      <c r="F1241" t="s">
        <v>8494</v>
      </c>
      <c r="G1241">
        <v>74</v>
      </c>
      <c r="H1241" t="s">
        <v>7830</v>
      </c>
      <c r="I1241" t="s">
        <v>8500</v>
      </c>
      <c r="J1241" s="22">
        <v>35654</v>
      </c>
      <c r="K1241">
        <v>0</v>
      </c>
      <c r="L1241">
        <v>10</v>
      </c>
      <c r="M1241" s="21">
        <f ca="1">LEFT(Music_Data[[#This Row],[Duration_minutes]],3)/60</f>
        <v>3.75</v>
      </c>
      <c r="N1241" s="17">
        <v>3.5200000000000002E-2</v>
      </c>
      <c r="O1241" s="17" t="str">
        <f ca="1">PROPER(Music_Data[[#This Row],[Playlist_subgenre2]])</f>
        <v>Throwback</v>
      </c>
    </row>
    <row r="1242" spans="1:15">
      <c r="A1242" s="17">
        <v>0.90300000000000002</v>
      </c>
      <c r="B1242" s="21">
        <v>749</v>
      </c>
      <c r="C1242" s="16">
        <v>0.52</v>
      </c>
      <c r="D1242" s="16" t="str">
        <f ca="1">PROPER(Music_Data[[#This Row],[Playlist_genre2]])</f>
        <v>Pop</v>
      </c>
      <c r="E1242" s="17">
        <v>0.65200000000000002</v>
      </c>
      <c r="F1242" t="s">
        <v>7654</v>
      </c>
      <c r="G1242">
        <v>74</v>
      </c>
      <c r="H1242" t="s">
        <v>7053</v>
      </c>
      <c r="I1242" t="s">
        <v>7660</v>
      </c>
      <c r="J1242" s="22">
        <v>43742</v>
      </c>
      <c r="K1242">
        <v>1</v>
      </c>
      <c r="L1242">
        <v>2</v>
      </c>
      <c r="M1242" s="21">
        <f ca="1">LEFT(Music_Data[[#This Row],[Duration_minutes]],3)/60</f>
        <v>3.65</v>
      </c>
      <c r="N1242" s="17">
        <v>5.1700000000000001E-3</v>
      </c>
      <c r="O1242" s="17" t="str">
        <f ca="1">PROPER(Music_Data[[#This Row],[Playlist_subgenre2]])</f>
        <v>Soft</v>
      </c>
    </row>
    <row r="1243" spans="1:15">
      <c r="A1243" s="17">
        <v>0.53500000000000003</v>
      </c>
      <c r="B1243" s="21">
        <v>103</v>
      </c>
      <c r="C1243" s="16">
        <v>0.70699999999999996</v>
      </c>
      <c r="D1243" s="16" t="str">
        <f ca="1">PROPER(Music_Data[[#This Row],[Playlist_genre2]])</f>
        <v>Pop</v>
      </c>
      <c r="E1243" s="17">
        <v>0.64100000000000001</v>
      </c>
      <c r="F1243" t="s">
        <v>8570</v>
      </c>
      <c r="G1243">
        <v>74</v>
      </c>
      <c r="H1243" t="s">
        <v>7830</v>
      </c>
      <c r="I1243" t="s">
        <v>8576</v>
      </c>
      <c r="J1243" s="22">
        <v>28472</v>
      </c>
      <c r="K1243">
        <v>0</v>
      </c>
      <c r="L1243">
        <v>10</v>
      </c>
      <c r="M1243" s="21">
        <f ca="1">LEFT(Music_Data[[#This Row],[Duration_minutes]],3)/60</f>
        <v>15.466666666666667</v>
      </c>
      <c r="N1243" s="17">
        <v>0.113</v>
      </c>
      <c r="O1243" s="17" t="str">
        <f ca="1">PROPER(Music_Data[[#This Row],[Playlist_subgenre2]])</f>
        <v>Throwback</v>
      </c>
    </row>
    <row r="1244" spans="1:15">
      <c r="A1244" s="17">
        <v>0.69699999999999995</v>
      </c>
      <c r="B1244" s="21">
        <v>122</v>
      </c>
      <c r="C1244" s="16">
        <v>0.61299999999999999</v>
      </c>
      <c r="D1244" s="16" t="str">
        <f ca="1">PROPER(Music_Data[[#This Row],[Playlist_genre2]])</f>
        <v>Pop</v>
      </c>
      <c r="E1244" s="17">
        <v>0.47599999999999998</v>
      </c>
      <c r="F1244" t="s">
        <v>4513</v>
      </c>
      <c r="G1244">
        <v>74</v>
      </c>
      <c r="H1244" t="s">
        <v>7830</v>
      </c>
      <c r="I1244" t="s">
        <v>4519</v>
      </c>
      <c r="J1244" s="22">
        <v>36962</v>
      </c>
      <c r="K1244">
        <v>1</v>
      </c>
      <c r="L1244">
        <v>2</v>
      </c>
      <c r="M1244" s="21">
        <f ca="1">LEFT(Music_Data[[#This Row],[Duration_minutes]],3)/60</f>
        <v>5.333333333333333</v>
      </c>
      <c r="N1244" s="17">
        <v>1.9400000000000001E-2</v>
      </c>
      <c r="O1244" s="17" t="str">
        <f ca="1">PROPER(Music_Data[[#This Row],[Playlist_subgenre2]])</f>
        <v>Throwback</v>
      </c>
    </row>
    <row r="1245" spans="1:15">
      <c r="A1245" s="17">
        <v>0.58599999999999997</v>
      </c>
      <c r="B1245" s="21">
        <v>126</v>
      </c>
      <c r="C1245" s="16">
        <v>0.55300000000000005</v>
      </c>
      <c r="D1245" s="16" t="str">
        <f ca="1">PROPER(Music_Data[[#This Row],[Playlist_genre2]])</f>
        <v>Pop</v>
      </c>
      <c r="E1245" s="17">
        <v>0.443</v>
      </c>
      <c r="F1245" t="s">
        <v>7647</v>
      </c>
      <c r="G1245">
        <v>74</v>
      </c>
      <c r="H1245" t="s">
        <v>7053</v>
      </c>
      <c r="I1245" t="s">
        <v>7650</v>
      </c>
      <c r="J1245" s="22">
        <v>43280</v>
      </c>
      <c r="K1245">
        <v>1</v>
      </c>
      <c r="L1245">
        <v>11</v>
      </c>
      <c r="M1245" s="21">
        <f ca="1">LEFT(Music_Data[[#This Row],[Duration_minutes]],3)/60</f>
        <v>3.2666666666666666</v>
      </c>
      <c r="N1245" s="17">
        <v>0.69699999999999995</v>
      </c>
      <c r="O1245" s="17" t="str">
        <f ca="1">PROPER(Music_Data[[#This Row],[Playlist_subgenre2]])</f>
        <v>Soft</v>
      </c>
    </row>
    <row r="1246" spans="1:15">
      <c r="A1246" s="17">
        <v>0.77200000000000002</v>
      </c>
      <c r="B1246" s="21">
        <v>128</v>
      </c>
      <c r="C1246" s="16">
        <v>0.76600000000000001</v>
      </c>
      <c r="D1246" s="16" t="str">
        <f ca="1">PROPER(Music_Data[[#This Row],[Playlist_genre2]])</f>
        <v>Pop</v>
      </c>
      <c r="E1246" s="17">
        <v>0.91900000000000004</v>
      </c>
      <c r="F1246" t="s">
        <v>8561</v>
      </c>
      <c r="G1246">
        <v>74</v>
      </c>
      <c r="H1246" t="s">
        <v>7830</v>
      </c>
      <c r="I1246" t="s">
        <v>8567</v>
      </c>
      <c r="J1246" s="22">
        <v>29892</v>
      </c>
      <c r="K1246">
        <v>1</v>
      </c>
      <c r="L1246">
        <v>0</v>
      </c>
      <c r="M1246" s="21">
        <f ca="1">LEFT(Music_Data[[#This Row],[Duration_minutes]],3)/60</f>
        <v>3.6666666666666665</v>
      </c>
      <c r="N1246" s="17">
        <v>0.40300000000000002</v>
      </c>
      <c r="O1246" s="17" t="str">
        <f ca="1">PROPER(Music_Data[[#This Row],[Playlist_subgenre2]])</f>
        <v>Throwback</v>
      </c>
    </row>
    <row r="1247" spans="1:15">
      <c r="A1247" s="17">
        <v>0.84299999999999997</v>
      </c>
      <c r="B1247" s="21">
        <v>117</v>
      </c>
      <c r="C1247" s="16">
        <v>0.52900000000000003</v>
      </c>
      <c r="D1247" s="16" t="str">
        <f ca="1">PROPER(Music_Data[[#This Row],[Playlist_genre2]])</f>
        <v>Pop</v>
      </c>
      <c r="E1247" s="17">
        <v>0.188</v>
      </c>
      <c r="F1247" t="s">
        <v>6067</v>
      </c>
      <c r="G1247">
        <v>74</v>
      </c>
      <c r="H1247" t="s">
        <v>7830</v>
      </c>
      <c r="I1247" t="s">
        <v>6073</v>
      </c>
      <c r="J1247" s="22">
        <v>1986</v>
      </c>
      <c r="K1247">
        <v>0</v>
      </c>
      <c r="L1247">
        <v>6</v>
      </c>
      <c r="M1247" s="21">
        <f ca="1">LEFT(Music_Data[[#This Row],[Duration_minutes]],3)/60</f>
        <v>5.166666666666667</v>
      </c>
      <c r="N1247" s="17">
        <v>6.2799999999999995E-2</v>
      </c>
      <c r="O1247" s="17" t="str">
        <f ca="1">PROPER(Music_Data[[#This Row],[Playlist_subgenre2]])</f>
        <v>Throwback</v>
      </c>
    </row>
    <row r="1248" spans="1:15">
      <c r="A1248" s="17">
        <v>0.495</v>
      </c>
      <c r="B1248" s="21">
        <v>129</v>
      </c>
      <c r="C1248" s="16">
        <v>0.86399999999999999</v>
      </c>
      <c r="D1248" s="16" t="str">
        <f ca="1">PROPER(Music_Data[[#This Row],[Playlist_genre2]])</f>
        <v>Pop</v>
      </c>
      <c r="E1248" s="17">
        <v>0.72</v>
      </c>
      <c r="F1248" t="s">
        <v>7622</v>
      </c>
      <c r="G1248">
        <v>74</v>
      </c>
      <c r="H1248" t="s">
        <v>7053</v>
      </c>
      <c r="I1248" t="s">
        <v>7628</v>
      </c>
      <c r="J1248" s="22">
        <v>40544</v>
      </c>
      <c r="K1248">
        <v>1</v>
      </c>
      <c r="L1248">
        <v>0</v>
      </c>
      <c r="M1248" s="21">
        <f ca="1">LEFT(Music_Data[[#This Row],[Duration_minutes]],3)/60</f>
        <v>4.0666666666666664</v>
      </c>
      <c r="N1248" s="17">
        <v>0.59099999999999997</v>
      </c>
      <c r="O1248" s="17" t="str">
        <f ca="1">PROPER(Music_Data[[#This Row],[Playlist_subgenre2]])</f>
        <v>Soft</v>
      </c>
    </row>
    <row r="1249" spans="1:15">
      <c r="A1249" s="17">
        <v>0.44400000000000001</v>
      </c>
      <c r="B1249" s="21">
        <v>150</v>
      </c>
      <c r="C1249" s="16">
        <v>0.70299999999999996</v>
      </c>
      <c r="D1249" s="16" t="str">
        <f ca="1">PROPER(Music_Data[[#This Row],[Playlist_genre2]])</f>
        <v>Pop</v>
      </c>
      <c r="E1249" s="17">
        <v>0.71199999999999997</v>
      </c>
      <c r="F1249" t="s">
        <v>7606</v>
      </c>
      <c r="G1249">
        <v>74</v>
      </c>
      <c r="H1249" t="s">
        <v>7053</v>
      </c>
      <c r="I1249" t="s">
        <v>7612</v>
      </c>
      <c r="J1249" s="22">
        <v>39580</v>
      </c>
      <c r="K1249">
        <v>1</v>
      </c>
      <c r="L1249">
        <v>11</v>
      </c>
      <c r="M1249" s="21">
        <f ca="1">LEFT(Music_Data[[#This Row],[Duration_minutes]],3)/60</f>
        <v>4.0333333333333332</v>
      </c>
      <c r="N1249" s="17">
        <v>0.55900000000000005</v>
      </c>
      <c r="O1249" s="17" t="str">
        <f ca="1">PROPER(Music_Data[[#This Row],[Playlist_subgenre2]])</f>
        <v>Soft</v>
      </c>
    </row>
    <row r="1250" spans="1:15">
      <c r="A1250" s="17">
        <v>0.68300000000000005</v>
      </c>
      <c r="B1250" s="21">
        <v>159</v>
      </c>
      <c r="C1250" s="16">
        <v>0.51500000000000001</v>
      </c>
      <c r="D1250" s="16" t="str">
        <f ca="1">PROPER(Music_Data[[#This Row],[Playlist_genre2]])</f>
        <v>Pop</v>
      </c>
      <c r="E1250" s="17">
        <v>0.57199999999999995</v>
      </c>
      <c r="F1250" t="s">
        <v>7594</v>
      </c>
      <c r="G1250">
        <v>74</v>
      </c>
      <c r="H1250" t="s">
        <v>7053</v>
      </c>
      <c r="I1250" t="s">
        <v>7601</v>
      </c>
      <c r="J1250" s="22">
        <v>40980</v>
      </c>
      <c r="K1250">
        <v>1</v>
      </c>
      <c r="L1250">
        <v>5</v>
      </c>
      <c r="M1250" s="21">
        <f ca="1">LEFT(Music_Data[[#This Row],[Duration_minutes]],3)/60</f>
        <v>3.6666666666666665</v>
      </c>
      <c r="N1250" s="17">
        <v>7.4899999999999994E-2</v>
      </c>
      <c r="O1250" s="17" t="str">
        <f ca="1">PROPER(Music_Data[[#This Row],[Playlist_subgenre2]])</f>
        <v>Soft</v>
      </c>
    </row>
    <row r="1251" spans="1:15">
      <c r="A1251" s="17">
        <v>0.84199999999999997</v>
      </c>
      <c r="B1251" s="21">
        <v>132</v>
      </c>
      <c r="C1251" s="16">
        <v>0.70599999999999996</v>
      </c>
      <c r="D1251" s="16" t="str">
        <f ca="1">PROPER(Music_Data[[#This Row],[Playlist_genre2]])</f>
        <v>Pop</v>
      </c>
      <c r="E1251" s="17">
        <v>0.86099999999999999</v>
      </c>
      <c r="F1251" t="s">
        <v>7594</v>
      </c>
      <c r="G1251">
        <v>74</v>
      </c>
      <c r="H1251" t="s">
        <v>7830</v>
      </c>
      <c r="I1251" t="s">
        <v>8516</v>
      </c>
      <c r="J1251" s="22">
        <v>39616</v>
      </c>
      <c r="K1251">
        <v>1</v>
      </c>
      <c r="L1251">
        <v>7</v>
      </c>
      <c r="M1251" s="21">
        <f ca="1">LEFT(Music_Data[[#This Row],[Duration_minutes]],3)/60</f>
        <v>3.6666666666666665</v>
      </c>
      <c r="N1251" s="17">
        <v>7.7299999999999995E-5</v>
      </c>
      <c r="O1251" s="17" t="str">
        <f ca="1">PROPER(Music_Data[[#This Row],[Playlist_subgenre2]])</f>
        <v>Throwback</v>
      </c>
    </row>
    <row r="1252" spans="1:15">
      <c r="A1252" s="17">
        <v>0.84199999999999997</v>
      </c>
      <c r="B1252" s="21">
        <v>111</v>
      </c>
      <c r="C1252" s="16">
        <v>0.625</v>
      </c>
      <c r="D1252" s="16" t="str">
        <f ca="1">PROPER(Music_Data[[#This Row],[Playlist_genre2]])</f>
        <v>Pop</v>
      </c>
      <c r="E1252" s="17">
        <v>0.26</v>
      </c>
      <c r="F1252" t="s">
        <v>8502</v>
      </c>
      <c r="G1252">
        <v>74</v>
      </c>
      <c r="H1252" t="s">
        <v>7830</v>
      </c>
      <c r="I1252" t="s">
        <v>8508</v>
      </c>
      <c r="J1252" s="22">
        <v>40074</v>
      </c>
      <c r="K1252">
        <v>1</v>
      </c>
      <c r="L1252">
        <v>5</v>
      </c>
      <c r="M1252" s="21">
        <f ca="1">LEFT(Music_Data[[#This Row],[Duration_minutes]],3)/60</f>
        <v>5.7</v>
      </c>
      <c r="N1252" s="17">
        <v>0.26400000000000001</v>
      </c>
      <c r="O1252" s="17" t="str">
        <f ca="1">PROPER(Music_Data[[#This Row],[Playlist_subgenre2]])</f>
        <v>Throwback</v>
      </c>
    </row>
    <row r="1253" spans="1:15">
      <c r="A1253" s="17">
        <v>0.74099999999999999</v>
      </c>
      <c r="B1253" s="21">
        <v>107</v>
      </c>
      <c r="C1253" s="16">
        <v>0.95599999999999996</v>
      </c>
      <c r="D1253" s="16" t="str">
        <f ca="1">PROPER(Music_Data[[#This Row],[Playlist_genre2]])</f>
        <v>Pop</v>
      </c>
      <c r="E1253" s="17">
        <v>0.91100000000000003</v>
      </c>
      <c r="F1253" t="s">
        <v>8528</v>
      </c>
      <c r="G1253">
        <v>74</v>
      </c>
      <c r="H1253" t="s">
        <v>7830</v>
      </c>
      <c r="I1253" t="s">
        <v>8533</v>
      </c>
      <c r="J1253" s="22">
        <v>37432</v>
      </c>
      <c r="K1253">
        <v>0</v>
      </c>
      <c r="L1253">
        <v>11</v>
      </c>
      <c r="M1253" s="21">
        <f ca="1">LEFT(Music_Data[[#This Row],[Duration_minutes]],3)/60</f>
        <v>3.8</v>
      </c>
      <c r="N1253" s="17">
        <v>0.20399999999999999</v>
      </c>
      <c r="O1253" s="17" t="str">
        <f ca="1">PROPER(Music_Data[[#This Row],[Playlist_subgenre2]])</f>
        <v>Throwback</v>
      </c>
    </row>
    <row r="1254" spans="1:15">
      <c r="A1254" s="17">
        <v>0.83199999999999996</v>
      </c>
      <c r="B1254" s="21">
        <v>107</v>
      </c>
      <c r="C1254" s="16">
        <v>0.79400000000000004</v>
      </c>
      <c r="D1254" s="16" t="str">
        <f ca="1">PROPER(Music_Data[[#This Row],[Playlist_genre2]])</f>
        <v>Pop</v>
      </c>
      <c r="E1254" s="17">
        <v>0.871</v>
      </c>
      <c r="F1254" t="s">
        <v>3175</v>
      </c>
      <c r="G1254">
        <v>74</v>
      </c>
      <c r="H1254" t="s">
        <v>7830</v>
      </c>
      <c r="I1254" t="s">
        <v>8481</v>
      </c>
      <c r="J1254" s="22">
        <v>37208</v>
      </c>
      <c r="K1254">
        <v>0</v>
      </c>
      <c r="L1254">
        <v>1</v>
      </c>
      <c r="M1254" s="21">
        <f ca="1">LEFT(Music_Data[[#This Row],[Duration_minutes]],3)/60</f>
        <v>3.2666666666666666</v>
      </c>
      <c r="N1254" s="17">
        <v>0.23699999999999999</v>
      </c>
      <c r="O1254" s="17" t="str">
        <f ca="1">PROPER(Music_Data[[#This Row],[Playlist_subgenre2]])</f>
        <v>Throwback</v>
      </c>
    </row>
    <row r="1255" spans="1:15">
      <c r="A1255" s="17">
        <v>0.71899999999999997</v>
      </c>
      <c r="B1255" s="21">
        <v>112</v>
      </c>
      <c r="C1255" s="16">
        <v>0.55800000000000005</v>
      </c>
      <c r="D1255" s="16" t="str">
        <f ca="1">PROPER(Music_Data[[#This Row],[Playlist_genre2]])</f>
        <v>Pop</v>
      </c>
      <c r="E1255" s="17">
        <v>0.371</v>
      </c>
      <c r="F1255" t="s">
        <v>7614</v>
      </c>
      <c r="G1255">
        <v>74</v>
      </c>
      <c r="H1255" t="s">
        <v>7053</v>
      </c>
      <c r="I1255" t="s">
        <v>7620</v>
      </c>
      <c r="J1255" s="22">
        <v>2001</v>
      </c>
      <c r="K1255">
        <v>1</v>
      </c>
      <c r="L1255">
        <v>2</v>
      </c>
      <c r="M1255" s="21">
        <f ca="1">LEFT(Music_Data[[#This Row],[Duration_minutes]],3)/60</f>
        <v>3.4666666666666668</v>
      </c>
      <c r="N1255" s="17">
        <v>3.6700000000000003E-2</v>
      </c>
      <c r="O1255" s="17" t="str">
        <f ca="1">PROPER(Music_Data[[#This Row],[Playlist_subgenre2]])</f>
        <v>Soft</v>
      </c>
    </row>
    <row r="1256" spans="1:15">
      <c r="A1256" s="17">
        <v>0.71099999999999997</v>
      </c>
      <c r="B1256" s="21">
        <v>110</v>
      </c>
      <c r="C1256" s="16">
        <v>0.97499999999999998</v>
      </c>
      <c r="D1256" s="16" t="str">
        <f ca="1">PROPER(Music_Data[[#This Row],[Playlist_genre2]])</f>
        <v>Pop</v>
      </c>
      <c r="E1256" s="17">
        <v>0.81499999999999995</v>
      </c>
      <c r="F1256" t="s">
        <v>8553</v>
      </c>
      <c r="G1256">
        <v>74</v>
      </c>
      <c r="H1256" t="s">
        <v>7830</v>
      </c>
      <c r="I1256" t="s">
        <v>8558</v>
      </c>
      <c r="J1256" s="22">
        <v>39174</v>
      </c>
      <c r="K1256">
        <v>1</v>
      </c>
      <c r="L1256">
        <v>8</v>
      </c>
      <c r="M1256" s="21">
        <f ca="1">LEFT(Music_Data[[#This Row],[Duration_minutes]],3)/60</f>
        <v>3.9</v>
      </c>
      <c r="N1256" s="17">
        <v>0.16800000000000001</v>
      </c>
      <c r="O1256" s="17" t="str">
        <f ca="1">PROPER(Music_Data[[#This Row],[Playlist_subgenre2]])</f>
        <v>Throwback</v>
      </c>
    </row>
    <row r="1257" spans="1:15">
      <c r="A1257" s="17">
        <v>0.58499999999999996</v>
      </c>
      <c r="B1257" s="21">
        <v>102</v>
      </c>
      <c r="C1257" s="16">
        <v>0.75</v>
      </c>
      <c r="D1257" s="16" t="str">
        <f ca="1">PROPER(Music_Data[[#This Row],[Playlist_genre2]])</f>
        <v>Pop</v>
      </c>
      <c r="E1257" s="17">
        <v>0.58399999999999996</v>
      </c>
      <c r="F1257" t="s">
        <v>8871</v>
      </c>
      <c r="G1257">
        <v>73</v>
      </c>
      <c r="H1257" t="s">
        <v>8847</v>
      </c>
      <c r="I1257" t="s">
        <v>8909</v>
      </c>
      <c r="J1257" s="22">
        <v>43217</v>
      </c>
      <c r="K1257">
        <v>0</v>
      </c>
      <c r="L1257">
        <v>9</v>
      </c>
      <c r="M1257" s="21">
        <f ca="1">LEFT(Music_Data[[#This Row],[Duration_minutes]],3)/60</f>
        <v>2.65</v>
      </c>
      <c r="N1257" s="17">
        <v>4.9000000000000002E-2</v>
      </c>
      <c r="O1257" s="17" t="str">
        <f ca="1">PROPER(Music_Data[[#This Row],[Playlist_subgenre2]])</f>
        <v>Bedroom</v>
      </c>
    </row>
    <row r="1258" spans="1:15">
      <c r="A1258" s="17">
        <v>0.33100000000000002</v>
      </c>
      <c r="B1258" s="21">
        <v>720</v>
      </c>
      <c r="C1258" s="16">
        <v>0.45900000000000002</v>
      </c>
      <c r="D1258" s="16" t="str">
        <f ca="1">PROPER(Music_Data[[#This Row],[Playlist_genre2]])</f>
        <v>Pop</v>
      </c>
      <c r="E1258" s="17">
        <v>0.27100000000000002</v>
      </c>
      <c r="F1258" t="s">
        <v>7664</v>
      </c>
      <c r="G1258">
        <v>73</v>
      </c>
      <c r="H1258" t="s">
        <v>7053</v>
      </c>
      <c r="I1258" t="s">
        <v>7667</v>
      </c>
      <c r="J1258" s="22">
        <v>43531</v>
      </c>
      <c r="K1258">
        <v>0</v>
      </c>
      <c r="L1258">
        <v>9</v>
      </c>
      <c r="M1258" s="21">
        <f ca="1">LEFT(Music_Data[[#This Row],[Duration_minutes]],3)/60</f>
        <v>3.05</v>
      </c>
      <c r="N1258" s="17">
        <v>0.81699999999999995</v>
      </c>
      <c r="O1258" s="17" t="str">
        <f ca="1">PROPER(Music_Data[[#This Row],[Playlist_subgenre2]])</f>
        <v>Soft</v>
      </c>
    </row>
    <row r="1259" spans="1:15">
      <c r="A1259" s="17">
        <v>0.83699999999999997</v>
      </c>
      <c r="B1259" s="21">
        <v>126</v>
      </c>
      <c r="C1259" s="16">
        <v>0.59699999999999998</v>
      </c>
      <c r="D1259" s="16" t="str">
        <f ca="1">PROPER(Music_Data[[#This Row],[Playlist_genre2]])</f>
        <v>Pop</v>
      </c>
      <c r="E1259" s="17">
        <v>0.44700000000000001</v>
      </c>
      <c r="F1259" t="s">
        <v>8641</v>
      </c>
      <c r="G1259">
        <v>73</v>
      </c>
      <c r="H1259" t="s">
        <v>7830</v>
      </c>
      <c r="I1259" t="s">
        <v>8647</v>
      </c>
      <c r="J1259" s="22">
        <v>38240</v>
      </c>
      <c r="K1259">
        <v>1</v>
      </c>
      <c r="L1259">
        <v>10</v>
      </c>
      <c r="M1259" s="21">
        <f ca="1">LEFT(Music_Data[[#This Row],[Duration_minutes]],3)/60</f>
        <v>2.85</v>
      </c>
      <c r="N1259" s="17">
        <v>4.2700000000000004E-3</v>
      </c>
      <c r="O1259" s="17" t="str">
        <f ca="1">PROPER(Music_Data[[#This Row],[Playlist_subgenre2]])</f>
        <v>Throwback</v>
      </c>
    </row>
    <row r="1260" spans="1:15">
      <c r="A1260" s="17">
        <v>0.495</v>
      </c>
      <c r="B1260" s="21">
        <v>104</v>
      </c>
      <c r="C1260" s="16">
        <v>0.73699999999999999</v>
      </c>
      <c r="D1260" s="16" t="str">
        <f ca="1">PROPER(Music_Data[[#This Row],[Playlist_genre2]])</f>
        <v>Pop</v>
      </c>
      <c r="E1260" s="17">
        <v>0.96699999999999997</v>
      </c>
      <c r="F1260" t="s">
        <v>8595</v>
      </c>
      <c r="G1260">
        <v>73</v>
      </c>
      <c r="H1260" t="s">
        <v>7830</v>
      </c>
      <c r="I1260" t="s">
        <v>8601</v>
      </c>
      <c r="J1260" s="22">
        <v>1975</v>
      </c>
      <c r="K1260">
        <v>1</v>
      </c>
      <c r="L1260">
        <v>1</v>
      </c>
      <c r="M1260" s="21">
        <f ca="1">LEFT(Music_Data[[#This Row],[Duration_minutes]],3)/60</f>
        <v>3.2833333333333332</v>
      </c>
      <c r="N1260" s="17">
        <v>5.8799999999999998E-2</v>
      </c>
      <c r="O1260" s="17" t="str">
        <f ca="1">PROPER(Music_Data[[#This Row],[Playlist_subgenre2]])</f>
        <v>Throwback</v>
      </c>
    </row>
    <row r="1261" spans="1:15">
      <c r="A1261" s="17">
        <v>0.38200000000000001</v>
      </c>
      <c r="B1261" s="21">
        <v>155</v>
      </c>
      <c r="C1261" s="16">
        <v>0.54100000000000004</v>
      </c>
      <c r="D1261" s="16" t="str">
        <f ca="1">PROPER(Music_Data[[#This Row],[Playlist_genre2]])</f>
        <v>Pop</v>
      </c>
      <c r="E1261" s="17">
        <v>0.34300000000000003</v>
      </c>
      <c r="F1261" t="s">
        <v>8922</v>
      </c>
      <c r="G1261">
        <v>73</v>
      </c>
      <c r="H1261" t="s">
        <v>8847</v>
      </c>
      <c r="I1261" t="s">
        <v>8925</v>
      </c>
      <c r="J1261" s="22">
        <v>43161</v>
      </c>
      <c r="K1261">
        <v>1</v>
      </c>
      <c r="L1261">
        <v>7</v>
      </c>
      <c r="M1261" s="21">
        <f ca="1">LEFT(Music_Data[[#This Row],[Duration_minutes]],3)/60</f>
        <v>3.4</v>
      </c>
      <c r="N1261" s="17">
        <v>2.1499999999999998E-2</v>
      </c>
      <c r="O1261" s="17" t="str">
        <f ca="1">PROPER(Music_Data[[#This Row],[Playlist_subgenre2]])</f>
        <v>Bedroom</v>
      </c>
    </row>
    <row r="1262" spans="1:15">
      <c r="A1262" s="17">
        <v>0.86199999999999999</v>
      </c>
      <c r="B1262" s="21">
        <v>128</v>
      </c>
      <c r="C1262" s="16">
        <v>0.498</v>
      </c>
      <c r="D1262" s="16" t="str">
        <f ca="1">PROPER(Music_Data[[#This Row],[Playlist_genre2]])</f>
        <v>Pop</v>
      </c>
      <c r="E1262" s="17">
        <v>0.46899999999999997</v>
      </c>
      <c r="F1262" t="s">
        <v>4576</v>
      </c>
      <c r="G1262">
        <v>73</v>
      </c>
      <c r="H1262" t="s">
        <v>7830</v>
      </c>
      <c r="I1262" t="s">
        <v>4583</v>
      </c>
      <c r="J1262" s="22">
        <v>39575</v>
      </c>
      <c r="K1262">
        <v>0</v>
      </c>
      <c r="L1262">
        <v>7</v>
      </c>
      <c r="M1262" s="21">
        <f ca="1">LEFT(Music_Data[[#This Row],[Duration_minutes]],3)/60</f>
        <v>3.2</v>
      </c>
      <c r="N1262" s="17">
        <v>3.1300000000000002E-4</v>
      </c>
      <c r="O1262" s="17" t="str">
        <f ca="1">PROPER(Music_Data[[#This Row],[Playlist_subgenre2]])</f>
        <v>Throwback</v>
      </c>
    </row>
    <row r="1263" spans="1:15">
      <c r="A1263" s="17">
        <v>0.79800000000000004</v>
      </c>
      <c r="B1263" s="21">
        <v>120</v>
      </c>
      <c r="C1263" s="16">
        <v>0.71899999999999997</v>
      </c>
      <c r="D1263" s="16" t="str">
        <f ca="1">PROPER(Music_Data[[#This Row],[Playlist_genre2]])</f>
        <v>Pop</v>
      </c>
      <c r="E1263" s="17">
        <v>0.59099999999999997</v>
      </c>
      <c r="F1263" t="s">
        <v>7594</v>
      </c>
      <c r="G1263">
        <v>73</v>
      </c>
      <c r="H1263" t="s">
        <v>7053</v>
      </c>
      <c r="I1263" t="s">
        <v>7682</v>
      </c>
      <c r="J1263" s="22">
        <v>40179</v>
      </c>
      <c r="K1263">
        <v>1</v>
      </c>
      <c r="L1263">
        <v>10</v>
      </c>
      <c r="M1263" s="21">
        <f ca="1">LEFT(Music_Data[[#This Row],[Duration_minutes]],3)/60</f>
        <v>3.7833333333333332</v>
      </c>
      <c r="N1263" s="17">
        <v>1.6199999999999999E-2</v>
      </c>
      <c r="O1263" s="17" t="str">
        <f ca="1">PROPER(Music_Data[[#This Row],[Playlist_subgenre2]])</f>
        <v>Soft</v>
      </c>
    </row>
    <row r="1264" spans="1:15">
      <c r="A1264" s="17">
        <v>0.69899999999999995</v>
      </c>
      <c r="B1264" s="21">
        <v>122</v>
      </c>
      <c r="C1264" s="16">
        <v>0.81100000000000005</v>
      </c>
      <c r="D1264" s="16" t="str">
        <f ca="1">PROPER(Music_Data[[#This Row],[Playlist_genre2]])</f>
        <v>Pop</v>
      </c>
      <c r="E1264" s="17">
        <v>0.73299999999999998</v>
      </c>
      <c r="F1264" t="s">
        <v>8604</v>
      </c>
      <c r="G1264">
        <v>73</v>
      </c>
      <c r="H1264" t="s">
        <v>7830</v>
      </c>
      <c r="I1264" t="s">
        <v>8610</v>
      </c>
      <c r="J1264" s="22">
        <v>42104</v>
      </c>
      <c r="K1264">
        <v>1</v>
      </c>
      <c r="L1264">
        <v>7</v>
      </c>
      <c r="M1264" s="21">
        <f ca="1">LEFT(Music_Data[[#This Row],[Duration_minutes]],3)/60</f>
        <v>3.5666666666666669</v>
      </c>
      <c r="N1264" s="17">
        <v>7.2599999999999998E-2</v>
      </c>
      <c r="O1264" s="17" t="str">
        <f ca="1">PROPER(Music_Data[[#This Row],[Playlist_subgenre2]])</f>
        <v>Throwback</v>
      </c>
    </row>
    <row r="1265" spans="1:15">
      <c r="A1265" s="17">
        <v>0.93100000000000005</v>
      </c>
      <c r="B1265" s="21">
        <v>113</v>
      </c>
      <c r="C1265" s="16">
        <v>0.753</v>
      </c>
      <c r="D1265" s="16" t="str">
        <f ca="1">PROPER(Music_Data[[#This Row],[Playlist_genre2]])</f>
        <v>Pop</v>
      </c>
      <c r="E1265" s="17">
        <v>0.76700000000000002</v>
      </c>
      <c r="F1265" t="s">
        <v>8633</v>
      </c>
      <c r="G1265">
        <v>73</v>
      </c>
      <c r="H1265" t="s">
        <v>7830</v>
      </c>
      <c r="I1265" t="s">
        <v>8638</v>
      </c>
      <c r="J1265" s="22">
        <v>40074</v>
      </c>
      <c r="K1265">
        <v>1</v>
      </c>
      <c r="L1265">
        <v>2</v>
      </c>
      <c r="M1265" s="21">
        <f ca="1">LEFT(Music_Data[[#This Row],[Duration_minutes]],3)/60</f>
        <v>3.15</v>
      </c>
      <c r="N1265" s="17">
        <v>9.9399999999999992E-3</v>
      </c>
      <c r="O1265" s="17" t="str">
        <f ca="1">PROPER(Music_Data[[#This Row],[Playlist_subgenre2]])</f>
        <v>Throwback</v>
      </c>
    </row>
    <row r="1266" spans="1:15">
      <c r="A1266" s="17">
        <v>0.83299999999999996</v>
      </c>
      <c r="B1266" s="21">
        <v>954</v>
      </c>
      <c r="C1266" s="16">
        <v>0.71499999999999997</v>
      </c>
      <c r="D1266" s="16" t="str">
        <f ca="1">PROPER(Music_Data[[#This Row],[Playlist_genre2]])</f>
        <v>Pop</v>
      </c>
      <c r="E1266" s="17">
        <v>0.61199999999999999</v>
      </c>
      <c r="F1266" t="s">
        <v>8578</v>
      </c>
      <c r="G1266">
        <v>73</v>
      </c>
      <c r="H1266" t="s">
        <v>7830</v>
      </c>
      <c r="I1266" t="s">
        <v>8581</v>
      </c>
      <c r="J1266" s="22">
        <v>35177</v>
      </c>
      <c r="K1266">
        <v>1</v>
      </c>
      <c r="L1266">
        <v>2</v>
      </c>
      <c r="M1266" s="21">
        <f ca="1">LEFT(Music_Data[[#This Row],[Duration_minutes]],3)/60</f>
        <v>3.55</v>
      </c>
      <c r="N1266" s="17">
        <v>6.3099999999999996E-3</v>
      </c>
      <c r="O1266" s="17" t="str">
        <f ca="1">PROPER(Music_Data[[#This Row],[Playlist_subgenre2]])</f>
        <v>Throwback</v>
      </c>
    </row>
    <row r="1267" spans="1:15">
      <c r="A1267" s="17">
        <v>0.82099999999999995</v>
      </c>
      <c r="B1267" s="21">
        <v>118</v>
      </c>
      <c r="C1267" s="16">
        <v>0.878</v>
      </c>
      <c r="D1267" s="16" t="str">
        <f ca="1">PROPER(Music_Data[[#This Row],[Playlist_genre2]])</f>
        <v>Pop</v>
      </c>
      <c r="E1267" s="17">
        <v>0.94699999999999995</v>
      </c>
      <c r="F1267" t="s">
        <v>8256</v>
      </c>
      <c r="G1267">
        <v>73</v>
      </c>
      <c r="H1267" t="s">
        <v>7830</v>
      </c>
      <c r="I1267" t="s">
        <v>8592</v>
      </c>
      <c r="J1267" s="22">
        <v>29077</v>
      </c>
      <c r="K1267">
        <v>1</v>
      </c>
      <c r="L1267">
        <v>11</v>
      </c>
      <c r="M1267" s="21">
        <f ca="1">LEFT(Music_Data[[#This Row],[Duration_minutes]],3)/60</f>
        <v>6.083333333333333</v>
      </c>
      <c r="N1267" s="17">
        <v>0.126</v>
      </c>
      <c r="O1267" s="17" t="str">
        <f ca="1">PROPER(Music_Data[[#This Row],[Playlist_subgenre2]])</f>
        <v>Throwback</v>
      </c>
    </row>
    <row r="1268" spans="1:15">
      <c r="A1268" s="17">
        <v>0.85699999999999998</v>
      </c>
      <c r="B1268" s="21">
        <v>119</v>
      </c>
      <c r="C1268" s="16">
        <v>0.56000000000000005</v>
      </c>
      <c r="D1268" s="16" t="str">
        <f ca="1">PROPER(Music_Data[[#This Row],[Playlist_genre2]])</f>
        <v>Pop</v>
      </c>
      <c r="E1268" s="17">
        <v>0.432</v>
      </c>
      <c r="F1268" t="s">
        <v>4587</v>
      </c>
      <c r="G1268">
        <v>73</v>
      </c>
      <c r="H1268" t="s">
        <v>7830</v>
      </c>
      <c r="I1268" t="s">
        <v>4593</v>
      </c>
      <c r="J1268" s="22">
        <v>42195</v>
      </c>
      <c r="K1268">
        <v>0</v>
      </c>
      <c r="L1268">
        <v>4</v>
      </c>
      <c r="M1268" s="21">
        <f ca="1">LEFT(Music_Data[[#This Row],[Duration_minutes]],3)/60</f>
        <v>3.5833333333333335</v>
      </c>
      <c r="N1268" s="17">
        <v>5.9400000000000001E-2</v>
      </c>
      <c r="O1268" s="17" t="str">
        <f ca="1">PROPER(Music_Data[[#This Row],[Playlist_subgenre2]])</f>
        <v>Throwback</v>
      </c>
    </row>
    <row r="1269" spans="1:15">
      <c r="A1269" s="17">
        <v>0.27100000000000002</v>
      </c>
      <c r="B1269" s="21">
        <v>111</v>
      </c>
      <c r="C1269" s="16">
        <v>0.89800000000000002</v>
      </c>
      <c r="D1269" s="16" t="str">
        <f ca="1">PROPER(Music_Data[[#This Row],[Playlist_genre2]])</f>
        <v>Pop</v>
      </c>
      <c r="E1269" s="17">
        <v>0.74199999999999999</v>
      </c>
      <c r="F1269" t="s">
        <v>8670</v>
      </c>
      <c r="G1269">
        <v>73</v>
      </c>
      <c r="H1269" t="s">
        <v>7830</v>
      </c>
      <c r="I1269" t="s">
        <v>8023</v>
      </c>
      <c r="J1269" s="22">
        <v>31502</v>
      </c>
      <c r="K1269">
        <v>1</v>
      </c>
      <c r="L1269">
        <v>7</v>
      </c>
      <c r="M1269" s="21">
        <f ca="1">LEFT(Music_Data[[#This Row],[Duration_minutes]],3)/60</f>
        <v>3.7666666666666666</v>
      </c>
      <c r="N1269" s="17">
        <v>1.35E-2</v>
      </c>
      <c r="O1269" s="17" t="str">
        <f ca="1">PROPER(Music_Data[[#This Row],[Playlist_subgenre2]])</f>
        <v>Throwback</v>
      </c>
    </row>
    <row r="1270" spans="1:15">
      <c r="A1270" s="17">
        <v>0.71399999999999997</v>
      </c>
      <c r="B1270" s="21">
        <v>175</v>
      </c>
      <c r="C1270" s="16">
        <v>0.56399999999999995</v>
      </c>
      <c r="D1270" s="16" t="str">
        <f ca="1">PROPER(Music_Data[[#This Row],[Playlist_genre2]])</f>
        <v>Pop</v>
      </c>
      <c r="E1270" s="17">
        <v>0.33</v>
      </c>
      <c r="F1270" t="s">
        <v>7672</v>
      </c>
      <c r="G1270">
        <v>73</v>
      </c>
      <c r="H1270" t="s">
        <v>7053</v>
      </c>
      <c r="I1270" t="s">
        <v>7678</v>
      </c>
      <c r="J1270" s="22">
        <v>42370</v>
      </c>
      <c r="K1270">
        <v>1</v>
      </c>
      <c r="L1270">
        <v>7</v>
      </c>
      <c r="M1270" s="21">
        <f ca="1">LEFT(Music_Data[[#This Row],[Duration_minutes]],3)/60</f>
        <v>3.4</v>
      </c>
      <c r="N1270" s="17">
        <v>5.4899999999999997E-2</v>
      </c>
      <c r="O1270" s="17" t="str">
        <f ca="1">PROPER(Music_Data[[#This Row],[Playlist_subgenre2]])</f>
        <v>Soft</v>
      </c>
    </row>
    <row r="1271" spans="1:15">
      <c r="A1271" s="17">
        <v>0.95399999999999996</v>
      </c>
      <c r="B1271" s="21">
        <v>178</v>
      </c>
      <c r="C1271" s="16">
        <v>0.42499999999999999</v>
      </c>
      <c r="D1271" s="16" t="str">
        <f ca="1">PROPER(Music_Data[[#This Row],[Playlist_genre2]])</f>
        <v>Pop</v>
      </c>
      <c r="E1271" s="17">
        <v>0.93300000000000005</v>
      </c>
      <c r="F1271" t="s">
        <v>8616</v>
      </c>
      <c r="G1271">
        <v>73</v>
      </c>
      <c r="H1271" t="s">
        <v>7830</v>
      </c>
      <c r="I1271" t="s">
        <v>8621</v>
      </c>
      <c r="J1271" s="22">
        <v>1999</v>
      </c>
      <c r="K1271">
        <v>0</v>
      </c>
      <c r="L1271">
        <v>1</v>
      </c>
      <c r="M1271" s="21">
        <f ca="1">LEFT(Music_Data[[#This Row],[Duration_minutes]],3)/60</f>
        <v>4.05</v>
      </c>
      <c r="N1271" s="17">
        <v>4.1399999999999996E-3</v>
      </c>
      <c r="O1271" s="17" t="str">
        <f ca="1">PROPER(Music_Data[[#This Row],[Playlist_subgenre2]])</f>
        <v>Throwback</v>
      </c>
    </row>
    <row r="1272" spans="1:15">
      <c r="A1272" s="17">
        <v>0.59899999999999998</v>
      </c>
      <c r="B1272" s="21">
        <v>119</v>
      </c>
      <c r="C1272" s="16">
        <v>0.85299999999999998</v>
      </c>
      <c r="D1272" s="16" t="str">
        <f ca="1">PROPER(Music_Data[[#This Row],[Playlist_genre2]])</f>
        <v>Pop</v>
      </c>
      <c r="E1272" s="17">
        <v>0.84299999999999997</v>
      </c>
      <c r="F1272" t="s">
        <v>8624</v>
      </c>
      <c r="G1272">
        <v>73</v>
      </c>
      <c r="H1272" t="s">
        <v>7830</v>
      </c>
      <c r="I1272" t="s">
        <v>8630</v>
      </c>
      <c r="J1272" s="22">
        <v>41275</v>
      </c>
      <c r="K1272">
        <v>1</v>
      </c>
      <c r="L1272">
        <v>7</v>
      </c>
      <c r="M1272" s="21">
        <f ca="1">LEFT(Music_Data[[#This Row],[Duration_minutes]],3)/60</f>
        <v>4.3833333333333337</v>
      </c>
      <c r="N1272" s="17">
        <v>3.3400000000000001E-3</v>
      </c>
      <c r="O1272" s="17" t="str">
        <f ca="1">PROPER(Music_Data[[#This Row],[Playlist_subgenre2]])</f>
        <v>Throwback</v>
      </c>
    </row>
    <row r="1273" spans="1:15">
      <c r="A1273" s="17">
        <v>8.6699999999999999E-2</v>
      </c>
      <c r="B1273" s="21">
        <v>129</v>
      </c>
      <c r="C1273" s="16">
        <v>0.69599999999999995</v>
      </c>
      <c r="D1273" s="16" t="str">
        <f ca="1">PROPER(Music_Data[[#This Row],[Playlist_genre2]])</f>
        <v>Pop</v>
      </c>
      <c r="E1273" s="17">
        <v>0.34899999999999998</v>
      </c>
      <c r="F1273" t="s">
        <v>8898</v>
      </c>
      <c r="G1273">
        <v>73</v>
      </c>
      <c r="H1273" t="s">
        <v>8847</v>
      </c>
      <c r="I1273" t="s">
        <v>8904</v>
      </c>
      <c r="J1273" s="22">
        <v>44778</v>
      </c>
      <c r="K1273">
        <v>1</v>
      </c>
      <c r="L1273">
        <v>7</v>
      </c>
      <c r="M1273" s="21">
        <f ca="1">LEFT(Music_Data[[#This Row],[Duration_minutes]],3)/60</f>
        <v>16.45</v>
      </c>
      <c r="N1273" s="17">
        <v>0.98799999999999999</v>
      </c>
      <c r="O1273" s="17" t="str">
        <f ca="1">PROPER(Music_Data[[#This Row],[Playlist_subgenre2]])</f>
        <v>Bedroom</v>
      </c>
    </row>
    <row r="1274" spans="1:15">
      <c r="A1274" s="17">
        <v>0.71299999999999997</v>
      </c>
      <c r="B1274" s="21">
        <v>115</v>
      </c>
      <c r="C1274" s="16">
        <v>0.78400000000000003</v>
      </c>
      <c r="D1274" s="16" t="str">
        <f ca="1">PROPER(Music_Data[[#This Row],[Playlist_genre2]])</f>
        <v>Pop</v>
      </c>
      <c r="E1274" s="17">
        <v>0.97</v>
      </c>
      <c r="F1274" t="s">
        <v>8651</v>
      </c>
      <c r="G1274">
        <v>73</v>
      </c>
      <c r="H1274" t="s">
        <v>7830</v>
      </c>
      <c r="I1274" t="s">
        <v>8657</v>
      </c>
      <c r="J1274" s="22">
        <v>28286</v>
      </c>
      <c r="K1274">
        <v>1</v>
      </c>
      <c r="L1274">
        <v>0</v>
      </c>
      <c r="M1274" s="21">
        <f ca="1">LEFT(Music_Data[[#This Row],[Duration_minutes]],3)/60</f>
        <v>3.6666666666666665</v>
      </c>
      <c r="N1274" s="17">
        <v>0.44700000000000001</v>
      </c>
      <c r="O1274" s="17" t="str">
        <f ca="1">PROPER(Music_Data[[#This Row],[Playlist_subgenre2]])</f>
        <v>Throwback</v>
      </c>
    </row>
    <row r="1275" spans="1:15">
      <c r="A1275" s="17">
        <v>0.98499999999999999</v>
      </c>
      <c r="B1275" s="21">
        <v>127</v>
      </c>
      <c r="C1275" s="16">
        <v>0.80100000000000005</v>
      </c>
      <c r="D1275" s="16" t="str">
        <f ca="1">PROPER(Music_Data[[#This Row],[Playlist_genre2]])</f>
        <v>Pop</v>
      </c>
      <c r="E1275" s="17">
        <v>0.72</v>
      </c>
      <c r="F1275" t="s">
        <v>8662</v>
      </c>
      <c r="G1275">
        <v>72</v>
      </c>
      <c r="H1275" t="s">
        <v>7830</v>
      </c>
      <c r="I1275" t="s">
        <v>8668</v>
      </c>
      <c r="J1275" s="22">
        <v>41251</v>
      </c>
      <c r="K1275">
        <v>1</v>
      </c>
      <c r="L1275">
        <v>7</v>
      </c>
      <c r="M1275" s="21">
        <f ca="1">LEFT(Music_Data[[#This Row],[Duration_minutes]],3)/60</f>
        <v>2.7666666666666666</v>
      </c>
      <c r="N1275" s="17">
        <v>2.0500000000000001E-2</v>
      </c>
      <c r="O1275" s="17" t="str">
        <f ca="1">PROPER(Music_Data[[#This Row],[Playlist_subgenre2]])</f>
        <v>Throwback</v>
      </c>
    </row>
    <row r="1276" spans="1:15">
      <c r="A1276" s="17">
        <v>0.95199999999999996</v>
      </c>
      <c r="B1276" s="21">
        <v>122</v>
      </c>
      <c r="C1276" s="16">
        <v>0.39800000000000002</v>
      </c>
      <c r="D1276" s="16" t="str">
        <f ca="1">PROPER(Music_Data[[#This Row],[Playlist_genre2]])</f>
        <v>Pop</v>
      </c>
      <c r="E1276" s="17">
        <v>0.58399999999999996</v>
      </c>
      <c r="F1276" t="s">
        <v>986</v>
      </c>
      <c r="G1276">
        <v>72</v>
      </c>
      <c r="H1276" t="s">
        <v>7830</v>
      </c>
      <c r="I1276" t="s">
        <v>993</v>
      </c>
      <c r="J1276" s="22">
        <v>30837</v>
      </c>
      <c r="K1276">
        <v>1</v>
      </c>
      <c r="L1276">
        <v>4</v>
      </c>
      <c r="M1276" s="21">
        <f ca="1">LEFT(Music_Data[[#This Row],[Duration_minutes]],3)/60</f>
        <v>4.6333333333333337</v>
      </c>
      <c r="N1276" s="17">
        <v>3.7300000000000001E-4</v>
      </c>
      <c r="O1276" s="17" t="str">
        <f ca="1">PROPER(Music_Data[[#This Row],[Playlist_subgenre2]])</f>
        <v>Throwback</v>
      </c>
    </row>
    <row r="1277" spans="1:15">
      <c r="A1277" s="17">
        <v>0.876</v>
      </c>
      <c r="B1277" s="21">
        <v>129</v>
      </c>
      <c r="C1277" s="16">
        <v>0.66600000000000004</v>
      </c>
      <c r="D1277" s="16" t="str">
        <f ca="1">PROPER(Music_Data[[#This Row],[Playlist_genre2]])</f>
        <v>Pop</v>
      </c>
      <c r="E1277" s="17">
        <v>0.55200000000000005</v>
      </c>
      <c r="F1277" t="s">
        <v>8678</v>
      </c>
      <c r="G1277">
        <v>72</v>
      </c>
      <c r="H1277" t="s">
        <v>7830</v>
      </c>
      <c r="I1277" t="s">
        <v>8683</v>
      </c>
      <c r="J1277" s="22">
        <v>41250</v>
      </c>
      <c r="K1277">
        <v>1</v>
      </c>
      <c r="L1277">
        <v>3</v>
      </c>
      <c r="M1277" s="21">
        <f ca="1">LEFT(Music_Data[[#This Row],[Duration_minutes]],3)/60</f>
        <v>3.2333333333333334</v>
      </c>
      <c r="N1277" s="17">
        <v>5.5E-2</v>
      </c>
      <c r="O1277" s="17" t="str">
        <f ca="1">PROPER(Music_Data[[#This Row],[Playlist_subgenre2]])</f>
        <v>Throwback</v>
      </c>
    </row>
    <row r="1278" spans="1:15">
      <c r="A1278" s="17">
        <v>0.44500000000000001</v>
      </c>
      <c r="B1278" s="21">
        <v>508</v>
      </c>
      <c r="C1278" s="16">
        <v>0.28599999999999998</v>
      </c>
      <c r="D1278" s="16" t="str">
        <f ca="1">PROPER(Music_Data[[#This Row],[Playlist_genre2]])</f>
        <v>Pop</v>
      </c>
      <c r="E1278" s="17">
        <v>0.27800000000000002</v>
      </c>
      <c r="F1278" t="s">
        <v>7706</v>
      </c>
      <c r="G1278">
        <v>72</v>
      </c>
      <c r="H1278" t="s">
        <v>7053</v>
      </c>
      <c r="I1278" t="s">
        <v>7709</v>
      </c>
      <c r="J1278" s="22">
        <v>44104</v>
      </c>
      <c r="K1278">
        <v>1</v>
      </c>
      <c r="L1278">
        <v>6</v>
      </c>
      <c r="M1278" s="21">
        <f ca="1">LEFT(Music_Data[[#This Row],[Duration_minutes]],3)/60</f>
        <v>3.6166666666666667</v>
      </c>
      <c r="N1278" s="17">
        <v>0.35499999999999998</v>
      </c>
      <c r="O1278" s="17" t="str">
        <f ca="1">PROPER(Music_Data[[#This Row],[Playlist_subgenre2]])</f>
        <v>Soft</v>
      </c>
    </row>
    <row r="1279" spans="1:15">
      <c r="A1279" s="17">
        <v>0.71</v>
      </c>
      <c r="B1279" s="21">
        <v>899</v>
      </c>
      <c r="C1279" s="16">
        <v>0.5</v>
      </c>
      <c r="D1279" s="16" t="str">
        <f ca="1">PROPER(Music_Data[[#This Row],[Playlist_genre2]])</f>
        <v>Pop</v>
      </c>
      <c r="E1279" s="17">
        <v>0.41899999999999998</v>
      </c>
      <c r="F1279" t="s">
        <v>5380</v>
      </c>
      <c r="G1279">
        <v>72</v>
      </c>
      <c r="H1279" t="s">
        <v>7053</v>
      </c>
      <c r="I1279" t="s">
        <v>7703</v>
      </c>
      <c r="J1279" s="22">
        <v>41156</v>
      </c>
      <c r="K1279">
        <v>1</v>
      </c>
      <c r="L1279">
        <v>3</v>
      </c>
      <c r="M1279" s="21">
        <f ca="1">LEFT(Music_Data[[#This Row],[Duration_minutes]],3)/60</f>
        <v>2.9166666666666665</v>
      </c>
      <c r="N1279" s="17">
        <v>0.19</v>
      </c>
      <c r="O1279" s="17" t="str">
        <f ca="1">PROPER(Music_Data[[#This Row],[Playlist_subgenre2]])</f>
        <v>Soft</v>
      </c>
    </row>
    <row r="1280" spans="1:15">
      <c r="A1280" s="17">
        <v>0.47299999999999998</v>
      </c>
      <c r="B1280" s="21">
        <v>758</v>
      </c>
      <c r="C1280" s="16">
        <v>0.46400000000000002</v>
      </c>
      <c r="D1280" s="16" t="str">
        <f ca="1">PROPER(Music_Data[[#This Row],[Playlist_genre2]])</f>
        <v>Pop</v>
      </c>
      <c r="E1280" s="17">
        <v>0.60399999999999998</v>
      </c>
      <c r="F1280" t="s">
        <v>7733</v>
      </c>
      <c r="G1280">
        <v>72</v>
      </c>
      <c r="H1280" t="s">
        <v>7053</v>
      </c>
      <c r="I1280" t="s">
        <v>7736</v>
      </c>
      <c r="J1280" s="22">
        <v>43755</v>
      </c>
      <c r="K1280">
        <v>1</v>
      </c>
      <c r="L1280">
        <v>1</v>
      </c>
      <c r="M1280" s="21">
        <f ca="1">LEFT(Music_Data[[#This Row],[Duration_minutes]],3)/60</f>
        <v>3.4666666666666668</v>
      </c>
      <c r="N1280" s="17">
        <v>0.86599999999999999</v>
      </c>
      <c r="O1280" s="17" t="str">
        <f ca="1">PROPER(Music_Data[[#This Row],[Playlist_subgenre2]])</f>
        <v>Soft</v>
      </c>
    </row>
    <row r="1281" spans="1:15">
      <c r="A1281" s="17">
        <v>0.41499999999999998</v>
      </c>
      <c r="B1281" s="21">
        <v>114</v>
      </c>
      <c r="C1281" s="16">
        <v>0.72799999999999998</v>
      </c>
      <c r="D1281" s="16" t="str">
        <f ca="1">PROPER(Music_Data[[#This Row],[Playlist_genre2]])</f>
        <v>Pop</v>
      </c>
      <c r="E1281" s="17">
        <v>0.45500000000000002</v>
      </c>
      <c r="F1281" t="s">
        <v>7713</v>
      </c>
      <c r="G1281">
        <v>72</v>
      </c>
      <c r="H1281" t="s">
        <v>7053</v>
      </c>
      <c r="I1281" t="s">
        <v>7720</v>
      </c>
      <c r="J1281" s="22">
        <v>42944</v>
      </c>
      <c r="K1281">
        <v>1</v>
      </c>
      <c r="L1281">
        <v>8</v>
      </c>
      <c r="M1281" s="21">
        <f ca="1">LEFT(Music_Data[[#This Row],[Duration_minutes]],3)/60</f>
        <v>2.9333333333333331</v>
      </c>
      <c r="N1281" s="17">
        <v>0.40100000000000002</v>
      </c>
      <c r="O1281" s="17" t="str">
        <f ca="1">PROPER(Music_Data[[#This Row],[Playlist_subgenre2]])</f>
        <v>Soft</v>
      </c>
    </row>
    <row r="1282" spans="1:15">
      <c r="A1282" s="17">
        <v>0.76</v>
      </c>
      <c r="B1282" s="21">
        <v>129</v>
      </c>
      <c r="C1282" s="16">
        <v>0.70199999999999996</v>
      </c>
      <c r="D1282" s="16" t="str">
        <f ca="1">PROPER(Music_Data[[#This Row],[Playlist_genre2]])</f>
        <v>Pop</v>
      </c>
      <c r="E1282" s="17">
        <v>0.69599999999999995</v>
      </c>
      <c r="F1282" t="s">
        <v>7594</v>
      </c>
      <c r="G1282">
        <v>72</v>
      </c>
      <c r="H1282" t="s">
        <v>7830</v>
      </c>
      <c r="I1282" t="s">
        <v>8689</v>
      </c>
      <c r="J1282" s="22">
        <v>39616</v>
      </c>
      <c r="K1282">
        <v>1</v>
      </c>
      <c r="L1282">
        <v>5</v>
      </c>
      <c r="M1282" s="21">
        <f ca="1">LEFT(Music_Data[[#This Row],[Duration_minutes]],3)/60</f>
        <v>2.9833333333333334</v>
      </c>
      <c r="N1282" s="17">
        <v>2.2599999999999999E-3</v>
      </c>
      <c r="O1282" s="17" t="str">
        <f ca="1">PROPER(Music_Data[[#This Row],[Playlist_subgenre2]])</f>
        <v>Throwback</v>
      </c>
    </row>
    <row r="1283" spans="1:15">
      <c r="A1283" s="17">
        <v>0.81</v>
      </c>
      <c r="B1283" s="21">
        <v>126</v>
      </c>
      <c r="C1283" s="16">
        <v>0.57199999999999995</v>
      </c>
      <c r="D1283" s="16" t="str">
        <f ca="1">PROPER(Music_Data[[#This Row],[Playlist_genre2]])</f>
        <v>Pop</v>
      </c>
      <c r="E1283" s="17">
        <v>0.11</v>
      </c>
      <c r="F1283" t="s">
        <v>4648</v>
      </c>
      <c r="G1283">
        <v>72</v>
      </c>
      <c r="H1283" t="s">
        <v>7830</v>
      </c>
      <c r="I1283" t="s">
        <v>4655</v>
      </c>
      <c r="J1283" s="22">
        <v>41306</v>
      </c>
      <c r="K1283">
        <v>0</v>
      </c>
      <c r="L1283">
        <v>1</v>
      </c>
      <c r="M1283" s="21">
        <f ca="1">LEFT(Music_Data[[#This Row],[Duration_minutes]],3)/60</f>
        <v>3.5666666666666669</v>
      </c>
      <c r="N1283" s="17">
        <v>1.5699999999999999E-2</v>
      </c>
      <c r="O1283" s="17" t="str">
        <f ca="1">PROPER(Music_Data[[#This Row],[Playlist_subgenre2]])</f>
        <v>Throwback</v>
      </c>
    </row>
    <row r="1284" spans="1:15">
      <c r="A1284" s="17">
        <v>0.63200000000000001</v>
      </c>
      <c r="B1284" s="21">
        <v>147</v>
      </c>
      <c r="C1284" s="16">
        <v>0.49399999999999999</v>
      </c>
      <c r="D1284" s="16" t="str">
        <f ca="1">PROPER(Music_Data[[#This Row],[Playlist_genre2]])</f>
        <v>Pop</v>
      </c>
      <c r="E1284" s="17">
        <v>7.9699999999999993E-2</v>
      </c>
      <c r="F1284" t="s">
        <v>7725</v>
      </c>
      <c r="G1284">
        <v>72</v>
      </c>
      <c r="H1284" t="s">
        <v>7053</v>
      </c>
      <c r="I1284" t="s">
        <v>7731</v>
      </c>
      <c r="J1284" s="22">
        <v>43350</v>
      </c>
      <c r="K1284">
        <v>1</v>
      </c>
      <c r="L1284">
        <v>5</v>
      </c>
      <c r="M1284" s="21">
        <f ca="1">LEFT(Music_Data[[#This Row],[Duration_minutes]],3)/60</f>
        <v>4.5666666666666664</v>
      </c>
      <c r="N1284" s="17">
        <v>0.68200000000000005</v>
      </c>
      <c r="O1284" s="17" t="str">
        <f ca="1">PROPER(Music_Data[[#This Row],[Playlist_subgenre2]])</f>
        <v>Soft</v>
      </c>
    </row>
    <row r="1285" spans="1:15">
      <c r="A1285" s="17">
        <v>0.73599999999999999</v>
      </c>
      <c r="B1285" s="21">
        <v>130</v>
      </c>
      <c r="C1285" s="16">
        <v>0.75</v>
      </c>
      <c r="D1285" s="16" t="str">
        <f ca="1">PROPER(Music_Data[[#This Row],[Playlist_genre2]])</f>
        <v>Pop</v>
      </c>
      <c r="E1285" s="17">
        <v>0.35499999999999998</v>
      </c>
      <c r="F1285" t="s">
        <v>4704</v>
      </c>
      <c r="G1285">
        <v>72</v>
      </c>
      <c r="H1285" t="s">
        <v>7830</v>
      </c>
      <c r="I1285" t="s">
        <v>4710</v>
      </c>
      <c r="J1285" s="22">
        <v>40544</v>
      </c>
      <c r="K1285">
        <v>0</v>
      </c>
      <c r="L1285">
        <v>5</v>
      </c>
      <c r="M1285" s="21">
        <f ca="1">LEFT(Music_Data[[#This Row],[Duration_minutes]],3)/60</f>
        <v>4.3666666666666663</v>
      </c>
      <c r="N1285" s="17">
        <v>2.0199999999999999E-2</v>
      </c>
      <c r="O1285" s="17" t="str">
        <f ca="1">PROPER(Music_Data[[#This Row],[Playlist_subgenre2]])</f>
        <v>Throwback</v>
      </c>
    </row>
    <row r="1286" spans="1:15">
      <c r="A1286" s="17">
        <v>0.83799999999999997</v>
      </c>
      <c r="B1286" s="21">
        <v>100</v>
      </c>
      <c r="C1286" s="16">
        <v>0.83199999999999996</v>
      </c>
      <c r="D1286" s="16" t="str">
        <f ca="1">PROPER(Music_Data[[#This Row],[Playlist_genre2]])</f>
        <v>Pop</v>
      </c>
      <c r="E1286" s="17">
        <v>0.96499999999999997</v>
      </c>
      <c r="F1286" t="s">
        <v>8701</v>
      </c>
      <c r="G1286">
        <v>72</v>
      </c>
      <c r="H1286" t="s">
        <v>7830</v>
      </c>
      <c r="I1286" t="s">
        <v>8707</v>
      </c>
      <c r="J1286" s="22">
        <v>35202</v>
      </c>
      <c r="K1286">
        <v>0</v>
      </c>
      <c r="L1286">
        <v>1</v>
      </c>
      <c r="M1286" s="21">
        <f ca="1">LEFT(Music_Data[[#This Row],[Duration_minutes]],3)/60</f>
        <v>3.6333333333333333</v>
      </c>
      <c r="N1286" s="17">
        <v>7.9100000000000004E-2</v>
      </c>
      <c r="O1286" s="17" t="str">
        <f ca="1">PROPER(Music_Data[[#This Row],[Playlist_subgenre2]])</f>
        <v>Throwback</v>
      </c>
    </row>
    <row r="1287" spans="1:15">
      <c r="A1287" s="17">
        <v>0.86799999999999999</v>
      </c>
      <c r="B1287" s="21">
        <v>131</v>
      </c>
      <c r="C1287" s="16">
        <v>0.70399999999999996</v>
      </c>
      <c r="D1287" s="16" t="str">
        <f ca="1">PROPER(Music_Data[[#This Row],[Playlist_genre2]])</f>
        <v>Pop</v>
      </c>
      <c r="E1287" s="17">
        <v>0.80800000000000005</v>
      </c>
      <c r="F1287" t="s">
        <v>8710</v>
      </c>
      <c r="G1287">
        <v>72</v>
      </c>
      <c r="H1287" t="s">
        <v>7830</v>
      </c>
      <c r="I1287" t="s">
        <v>8716</v>
      </c>
      <c r="J1287" s="22">
        <v>1978</v>
      </c>
      <c r="K1287">
        <v>1</v>
      </c>
      <c r="L1287">
        <v>2</v>
      </c>
      <c r="M1287" s="21">
        <f ca="1">LEFT(Music_Data[[#This Row],[Duration_minutes]],3)/60</f>
        <v>3.1333333333333333</v>
      </c>
      <c r="N1287" s="17">
        <v>8.3400000000000002E-2</v>
      </c>
      <c r="O1287" s="17" t="str">
        <f ca="1">PROPER(Music_Data[[#This Row],[Playlist_subgenre2]])</f>
        <v>Throwback</v>
      </c>
    </row>
    <row r="1288" spans="1:15">
      <c r="A1288" s="17">
        <v>0.58799999999999997</v>
      </c>
      <c r="B1288" s="21">
        <v>113</v>
      </c>
      <c r="C1288" s="16">
        <v>0.49099999999999999</v>
      </c>
      <c r="D1288" s="16" t="str">
        <f ca="1">PROPER(Music_Data[[#This Row],[Playlist_genre2]])</f>
        <v>Pop</v>
      </c>
      <c r="E1288" s="17">
        <v>0.193</v>
      </c>
      <c r="F1288" t="s">
        <v>13203</v>
      </c>
      <c r="G1288">
        <v>72</v>
      </c>
      <c r="H1288" t="s">
        <v>7053</v>
      </c>
      <c r="I1288" t="s">
        <v>7694</v>
      </c>
      <c r="J1288" s="22">
        <v>43021</v>
      </c>
      <c r="K1288">
        <v>1</v>
      </c>
      <c r="L1288">
        <v>1</v>
      </c>
      <c r="M1288" s="21">
        <f ca="1">LEFT(Music_Data[[#This Row],[Duration_minutes]],3)/60</f>
        <v>4.4833333333333334</v>
      </c>
      <c r="N1288" s="17">
        <v>2.81E-2</v>
      </c>
      <c r="O1288" s="17" t="str">
        <f ca="1">PROPER(Music_Data[[#This Row],[Playlist_subgenre2]])</f>
        <v>Soft</v>
      </c>
    </row>
    <row r="1289" spans="1:15">
      <c r="A1289" s="17">
        <v>0.93700000000000006</v>
      </c>
      <c r="B1289" s="21">
        <v>132</v>
      </c>
      <c r="C1289" s="16">
        <v>0.72699999999999998</v>
      </c>
      <c r="D1289" s="16" t="str">
        <f ca="1">PROPER(Music_Data[[#This Row],[Playlist_genre2]])</f>
        <v>Pop</v>
      </c>
      <c r="E1289" s="17">
        <v>0.749</v>
      </c>
      <c r="F1289" t="s">
        <v>8729</v>
      </c>
      <c r="G1289">
        <v>72</v>
      </c>
      <c r="H1289" t="s">
        <v>7830</v>
      </c>
      <c r="I1289" t="s">
        <v>8732</v>
      </c>
      <c r="J1289" s="22">
        <v>40909</v>
      </c>
      <c r="K1289">
        <v>0</v>
      </c>
      <c r="L1289">
        <v>11</v>
      </c>
      <c r="M1289" s="21">
        <f ca="1">LEFT(Music_Data[[#This Row],[Duration_minutes]],3)/60</f>
        <v>3.65</v>
      </c>
      <c r="N1289" s="17">
        <v>4.1700000000000001E-3</v>
      </c>
      <c r="O1289" s="17" t="str">
        <f ca="1">PROPER(Music_Data[[#This Row],[Playlist_subgenre2]])</f>
        <v>Throwback</v>
      </c>
    </row>
    <row r="1290" spans="1:15">
      <c r="A1290" s="17">
        <v>0.66200000000000003</v>
      </c>
      <c r="B1290" s="21">
        <v>124</v>
      </c>
      <c r="C1290" s="16">
        <v>0.72899999999999998</v>
      </c>
      <c r="D1290" s="16" t="str">
        <f ca="1">PROPER(Music_Data[[#This Row],[Playlist_genre2]])</f>
        <v>Pop</v>
      </c>
      <c r="E1290" s="17">
        <v>0.35899999999999999</v>
      </c>
      <c r="F1290" t="s">
        <v>8719</v>
      </c>
      <c r="G1290">
        <v>72</v>
      </c>
      <c r="H1290" t="s">
        <v>7830</v>
      </c>
      <c r="I1290" t="s">
        <v>8725</v>
      </c>
      <c r="J1290" s="22">
        <v>35996</v>
      </c>
      <c r="K1290">
        <v>0</v>
      </c>
      <c r="L1290">
        <v>5</v>
      </c>
      <c r="M1290" s="21">
        <f ca="1">LEFT(Music_Data[[#This Row],[Duration_minutes]],3)/60</f>
        <v>4.333333333333333</v>
      </c>
      <c r="N1290" s="17">
        <v>1.2800000000000001E-3</v>
      </c>
      <c r="O1290" s="17" t="str">
        <f ca="1">PROPER(Music_Data[[#This Row],[Playlist_subgenre2]])</f>
        <v>Throwback</v>
      </c>
    </row>
    <row r="1291" spans="1:15">
      <c r="A1291" s="17">
        <v>0.78100000000000003</v>
      </c>
      <c r="B1291" s="21">
        <v>119</v>
      </c>
      <c r="C1291" s="16">
        <v>0.751</v>
      </c>
      <c r="D1291" s="16" t="str">
        <f ca="1">PROPER(Music_Data[[#This Row],[Playlist_genre2]])</f>
        <v>Pop</v>
      </c>
      <c r="E1291" s="17">
        <v>0.81399999999999995</v>
      </c>
      <c r="F1291" t="s">
        <v>4659</v>
      </c>
      <c r="G1291">
        <v>72</v>
      </c>
      <c r="H1291" t="s">
        <v>7830</v>
      </c>
      <c r="I1291" t="s">
        <v>4666</v>
      </c>
      <c r="J1291" s="22">
        <v>40179</v>
      </c>
      <c r="K1291">
        <v>1</v>
      </c>
      <c r="L1291">
        <v>4</v>
      </c>
      <c r="M1291" s="21">
        <f ca="1">LEFT(Music_Data[[#This Row],[Duration_minutes]],3)/60</f>
        <v>3.3666666666666667</v>
      </c>
      <c r="N1291" s="17">
        <v>3.8999999999999998E-3</v>
      </c>
      <c r="O1291" s="17" t="str">
        <f ca="1">PROPER(Music_Data[[#This Row],[Playlist_subgenre2]])</f>
        <v>Throwback</v>
      </c>
    </row>
    <row r="1292" spans="1:15">
      <c r="A1292" s="17">
        <v>0.59799999999999998</v>
      </c>
      <c r="B1292" s="21">
        <v>107</v>
      </c>
      <c r="C1292" s="16">
        <v>0.73299999999999998</v>
      </c>
      <c r="D1292" s="16" t="str">
        <f ca="1">PROPER(Music_Data[[#This Row],[Playlist_genre2]])</f>
        <v>Pop</v>
      </c>
      <c r="E1292" s="17">
        <v>0.93500000000000005</v>
      </c>
      <c r="F1292" t="s">
        <v>6402</v>
      </c>
      <c r="G1292">
        <v>72</v>
      </c>
      <c r="H1292" t="s">
        <v>6368</v>
      </c>
      <c r="I1292" t="s">
        <v>6408</v>
      </c>
      <c r="J1292" s="22">
        <v>45114</v>
      </c>
      <c r="K1292">
        <v>1</v>
      </c>
      <c r="L1292">
        <v>2</v>
      </c>
      <c r="M1292" s="21">
        <f ca="1">LEFT(Music_Data[[#This Row],[Duration_minutes]],3)/60</f>
        <v>4.416666666666667</v>
      </c>
      <c r="N1292" s="17">
        <v>0.21199999999999999</v>
      </c>
      <c r="O1292" s="17" t="str">
        <f ca="1">PROPER(Music_Data[[#This Row],[Playlist_subgenre2]])</f>
        <v>Global</v>
      </c>
    </row>
    <row r="1293" spans="1:15">
      <c r="A1293" s="17">
        <v>0.53400000000000003</v>
      </c>
      <c r="B1293" s="21">
        <v>108</v>
      </c>
      <c r="C1293" s="16">
        <v>0.877</v>
      </c>
      <c r="D1293" s="16" t="str">
        <f ca="1">PROPER(Music_Data[[#This Row],[Playlist_genre2]])</f>
        <v>Pop</v>
      </c>
      <c r="E1293" s="17">
        <v>0.89</v>
      </c>
      <c r="F1293" t="s">
        <v>8692</v>
      </c>
      <c r="G1293">
        <v>72</v>
      </c>
      <c r="H1293" t="s">
        <v>7830</v>
      </c>
      <c r="I1293" t="s">
        <v>8698</v>
      </c>
      <c r="J1293" s="22">
        <v>35706</v>
      </c>
      <c r="K1293">
        <v>1</v>
      </c>
      <c r="L1293">
        <v>1</v>
      </c>
      <c r="M1293" s="21">
        <f ca="1">LEFT(Music_Data[[#This Row],[Duration_minutes]],3)/60</f>
        <v>3.2833333333333332</v>
      </c>
      <c r="N1293" s="17">
        <v>3.39E-2</v>
      </c>
      <c r="O1293" s="17" t="str">
        <f ca="1">PROPER(Music_Data[[#This Row],[Playlist_subgenre2]])</f>
        <v>Throwback</v>
      </c>
    </row>
    <row r="1294" spans="1:15">
      <c r="A1294" s="17">
        <v>0.78600000000000003</v>
      </c>
      <c r="B1294" s="21">
        <v>969</v>
      </c>
      <c r="C1294" s="16">
        <v>0.80800000000000005</v>
      </c>
      <c r="D1294" s="16" t="str">
        <f ca="1">PROPER(Music_Data[[#This Row],[Playlist_genre2]])</f>
        <v>Pop</v>
      </c>
      <c r="E1294" s="17">
        <v>0.89900000000000002</v>
      </c>
      <c r="F1294" t="s">
        <v>8239</v>
      </c>
      <c r="G1294">
        <v>71</v>
      </c>
      <c r="H1294" t="s">
        <v>7830</v>
      </c>
      <c r="I1294" t="s">
        <v>8242</v>
      </c>
      <c r="J1294" s="22">
        <v>34327</v>
      </c>
      <c r="K1294">
        <v>0</v>
      </c>
      <c r="L1294">
        <v>4</v>
      </c>
      <c r="M1294" s="21">
        <f ca="1">LEFT(Music_Data[[#This Row],[Duration_minutes]],3)/60</f>
        <v>3.1833333333333331</v>
      </c>
      <c r="N1294" s="17">
        <v>9.2800000000000001E-3</v>
      </c>
      <c r="O1294" s="17" t="str">
        <f ca="1">PROPER(Music_Data[[#This Row],[Playlist_subgenre2]])</f>
        <v>Throwback</v>
      </c>
    </row>
    <row r="1295" spans="1:15">
      <c r="A1295" s="17">
        <v>0.54900000000000004</v>
      </c>
      <c r="B1295" s="21">
        <v>900</v>
      </c>
      <c r="C1295" s="16">
        <v>0.64400000000000002</v>
      </c>
      <c r="D1295" s="16" t="str">
        <f ca="1">PROPER(Music_Data[[#This Row],[Playlist_genre2]])</f>
        <v>Pop</v>
      </c>
      <c r="E1295" s="17">
        <v>0.16700000000000001</v>
      </c>
      <c r="F1295" t="s">
        <v>3815</v>
      </c>
      <c r="G1295">
        <v>71</v>
      </c>
      <c r="H1295" t="s">
        <v>7053</v>
      </c>
      <c r="I1295" t="s">
        <v>3971</v>
      </c>
      <c r="J1295" s="22">
        <v>39395</v>
      </c>
      <c r="K1295">
        <v>0</v>
      </c>
      <c r="L1295">
        <v>1</v>
      </c>
      <c r="M1295" s="21">
        <f ca="1">LEFT(Music_Data[[#This Row],[Duration_minutes]],3)/60</f>
        <v>4.2166666666666668</v>
      </c>
      <c r="N1295" s="17">
        <v>2.0899999999999998E-2</v>
      </c>
      <c r="O1295" s="17" t="str">
        <f ca="1">PROPER(Music_Data[[#This Row],[Playlist_subgenre2]])</f>
        <v>Soft</v>
      </c>
    </row>
    <row r="1296" spans="1:15">
      <c r="A1296" s="17">
        <v>0.72</v>
      </c>
      <c r="B1296" s="21">
        <v>799</v>
      </c>
      <c r="C1296" s="16">
        <v>0.50800000000000001</v>
      </c>
      <c r="D1296" s="16" t="str">
        <f ca="1">PROPER(Music_Data[[#This Row],[Playlist_genre2]])</f>
        <v>Pop</v>
      </c>
      <c r="E1296" s="17">
        <v>0.47199999999999998</v>
      </c>
      <c r="F1296" t="s">
        <v>13209</v>
      </c>
      <c r="G1296">
        <v>71</v>
      </c>
      <c r="H1296" t="s">
        <v>7053</v>
      </c>
      <c r="I1296" t="s">
        <v>7746</v>
      </c>
      <c r="J1296" s="22">
        <v>39769</v>
      </c>
      <c r="K1296">
        <v>0</v>
      </c>
      <c r="L1296">
        <v>11</v>
      </c>
      <c r="M1296" s="21">
        <f ca="1">LEFT(Music_Data[[#This Row],[Duration_minutes]],3)/60</f>
        <v>4.3499999999999996</v>
      </c>
      <c r="N1296" s="17">
        <v>0.27200000000000002</v>
      </c>
      <c r="O1296" s="17" t="str">
        <f ca="1">PROPER(Music_Data[[#This Row],[Playlist_subgenre2]])</f>
        <v>Soft</v>
      </c>
    </row>
    <row r="1297" spans="1:15">
      <c r="A1297" s="17">
        <v>0.90700000000000003</v>
      </c>
      <c r="B1297" s="21">
        <v>140</v>
      </c>
      <c r="C1297" s="16">
        <v>0.51800000000000002</v>
      </c>
      <c r="D1297" s="16" t="str">
        <f ca="1">PROPER(Music_Data[[#This Row],[Playlist_genre2]])</f>
        <v>Pop</v>
      </c>
      <c r="E1297" s="17">
        <v>0.96099999999999997</v>
      </c>
      <c r="F1297" t="s">
        <v>8772</v>
      </c>
      <c r="G1297">
        <v>71</v>
      </c>
      <c r="H1297" t="s">
        <v>7830</v>
      </c>
      <c r="I1297" t="s">
        <v>8778</v>
      </c>
      <c r="J1297" s="22">
        <v>27764</v>
      </c>
      <c r="K1297">
        <v>1</v>
      </c>
      <c r="L1297">
        <v>5</v>
      </c>
      <c r="M1297" s="21">
        <f ca="1">LEFT(Music_Data[[#This Row],[Duration_minutes]],3)/60</f>
        <v>2.9833333333333334</v>
      </c>
      <c r="N1297" s="17">
        <v>2.2100000000000002E-3</v>
      </c>
      <c r="O1297" s="17" t="str">
        <f ca="1">PROPER(Music_Data[[#This Row],[Playlist_subgenre2]])</f>
        <v>Throwback</v>
      </c>
    </row>
    <row r="1298" spans="1:15">
      <c r="A1298" s="17">
        <v>0.35099999999999998</v>
      </c>
      <c r="B1298" s="21">
        <v>870</v>
      </c>
      <c r="C1298" s="16">
        <v>0.66500000000000004</v>
      </c>
      <c r="D1298" s="16" t="str">
        <f ca="1">PROPER(Music_Data[[#This Row],[Playlist_genre2]])</f>
        <v>Pop</v>
      </c>
      <c r="E1298" s="17">
        <v>0.45100000000000001</v>
      </c>
      <c r="F1298" t="s">
        <v>3678</v>
      </c>
      <c r="G1298">
        <v>71</v>
      </c>
      <c r="H1298" t="s">
        <v>8847</v>
      </c>
      <c r="I1298" t="s">
        <v>3684</v>
      </c>
      <c r="J1298" s="22">
        <v>43630</v>
      </c>
      <c r="K1298">
        <v>1</v>
      </c>
      <c r="L1298">
        <v>2</v>
      </c>
      <c r="M1298" s="21">
        <f ca="1">LEFT(Music_Data[[#This Row],[Duration_minutes]],3)/60</f>
        <v>2.1</v>
      </c>
      <c r="N1298" s="17">
        <v>0.51600000000000001</v>
      </c>
      <c r="O1298" s="17" t="str">
        <f ca="1">PROPER(Music_Data[[#This Row],[Playlist_subgenre2]])</f>
        <v>Bedroom</v>
      </c>
    </row>
    <row r="1299" spans="1:15">
      <c r="A1299" s="17">
        <v>0.28599999999999998</v>
      </c>
      <c r="B1299" s="21">
        <v>711</v>
      </c>
      <c r="C1299" s="16">
        <v>0.58699999999999997</v>
      </c>
      <c r="D1299" s="16" t="str">
        <f ca="1">PROPER(Music_Data[[#This Row],[Playlist_genre2]])</f>
        <v>Pop</v>
      </c>
      <c r="E1299" s="17">
        <v>0.30199999999999999</v>
      </c>
      <c r="F1299" t="s">
        <v>8914</v>
      </c>
      <c r="G1299">
        <v>71</v>
      </c>
      <c r="H1299" t="s">
        <v>8847</v>
      </c>
      <c r="I1299" t="s">
        <v>8920</v>
      </c>
      <c r="J1299" s="22">
        <v>44372</v>
      </c>
      <c r="K1299">
        <v>1</v>
      </c>
      <c r="L1299">
        <v>9</v>
      </c>
      <c r="M1299" s="21">
        <f ca="1">LEFT(Music_Data[[#This Row],[Duration_minutes]],3)/60</f>
        <v>3.7333333333333334</v>
      </c>
      <c r="N1299" s="17">
        <v>0.185</v>
      </c>
      <c r="O1299" s="17" t="str">
        <f ca="1">PROPER(Music_Data[[#This Row],[Playlist_subgenre2]])</f>
        <v>Bedroom</v>
      </c>
    </row>
    <row r="1300" spans="1:15">
      <c r="A1300" s="17">
        <v>0.63800000000000001</v>
      </c>
      <c r="B1300" s="21">
        <v>184</v>
      </c>
      <c r="C1300" s="16">
        <v>0.378</v>
      </c>
      <c r="D1300" s="16" t="str">
        <f ca="1">PROPER(Music_Data[[#This Row],[Playlist_genre2]])</f>
        <v>Pop</v>
      </c>
      <c r="E1300" s="17">
        <v>0.73499999999999999</v>
      </c>
      <c r="F1300" t="s">
        <v>13181</v>
      </c>
      <c r="G1300">
        <v>71</v>
      </c>
      <c r="H1300" t="s">
        <v>7053</v>
      </c>
      <c r="I1300" t="s">
        <v>7756</v>
      </c>
      <c r="J1300" s="22">
        <v>40960</v>
      </c>
      <c r="K1300">
        <v>1</v>
      </c>
      <c r="L1300">
        <v>10</v>
      </c>
      <c r="M1300" s="21">
        <f ca="1">LEFT(Music_Data[[#This Row],[Duration_minutes]],3)/60</f>
        <v>4.166666666666667</v>
      </c>
      <c r="N1300" s="17">
        <v>0.02</v>
      </c>
      <c r="O1300" s="17" t="str">
        <f ca="1">PROPER(Music_Data[[#This Row],[Playlist_subgenre2]])</f>
        <v>Soft</v>
      </c>
    </row>
    <row r="1301" spans="1:15">
      <c r="A1301" s="17">
        <v>0.41599999999999998</v>
      </c>
      <c r="B1301" s="21">
        <v>949</v>
      </c>
      <c r="C1301" s="16">
        <v>0.49199999999999999</v>
      </c>
      <c r="D1301" s="16" t="str">
        <f ca="1">PROPER(Music_Data[[#This Row],[Playlist_genre2]])</f>
        <v>Pop</v>
      </c>
      <c r="E1301" s="17">
        <v>0.29699999999999999</v>
      </c>
      <c r="F1301" t="s">
        <v>148</v>
      </c>
      <c r="G1301">
        <v>71</v>
      </c>
      <c r="H1301" t="s">
        <v>39</v>
      </c>
      <c r="I1301" t="s">
        <v>152</v>
      </c>
      <c r="J1301" s="22">
        <v>45499</v>
      </c>
      <c r="K1301">
        <v>1</v>
      </c>
      <c r="L1301">
        <v>11</v>
      </c>
      <c r="M1301" s="21">
        <f ca="1">LEFT(Music_Data[[#This Row],[Duration_minutes]],3)/60</f>
        <v>3.5166666666666666</v>
      </c>
      <c r="N1301" s="17">
        <v>0.68600000000000005</v>
      </c>
      <c r="O1301" s="17" t="str">
        <f ca="1">PROPER(Music_Data[[#This Row],[Playlist_subgenre2]])</f>
        <v>Mainstream</v>
      </c>
    </row>
    <row r="1302" spans="1:15">
      <c r="A1302" s="17">
        <v>0.71099999999999997</v>
      </c>
      <c r="B1302" s="21">
        <v>146</v>
      </c>
      <c r="C1302" s="16">
        <v>0.48699999999999999</v>
      </c>
      <c r="D1302" s="16" t="str">
        <f ca="1">PROPER(Music_Data[[#This Row],[Playlist_genre2]])</f>
        <v>Pop</v>
      </c>
      <c r="E1302" s="17">
        <v>0.317</v>
      </c>
      <c r="F1302" t="s">
        <v>610</v>
      </c>
      <c r="G1302">
        <v>71</v>
      </c>
      <c r="H1302" t="s">
        <v>6368</v>
      </c>
      <c r="I1302" t="s">
        <v>617</v>
      </c>
      <c r="J1302" s="22">
        <v>45615</v>
      </c>
      <c r="K1302">
        <v>1</v>
      </c>
      <c r="L1302">
        <v>8</v>
      </c>
      <c r="M1302" s="21">
        <f ca="1">LEFT(Music_Data[[#This Row],[Duration_minutes]],3)/60</f>
        <v>2.5166666666666666</v>
      </c>
      <c r="N1302" s="17">
        <v>1.75E-4</v>
      </c>
      <c r="O1302" s="17" t="str">
        <f ca="1">PROPER(Music_Data[[#This Row],[Playlist_subgenre2]])</f>
        <v>Global</v>
      </c>
    </row>
    <row r="1303" spans="1:15">
      <c r="A1303" s="17">
        <v>0.82799999999999996</v>
      </c>
      <c r="B1303" s="21">
        <v>123</v>
      </c>
      <c r="C1303" s="16">
        <v>0.58699999999999997</v>
      </c>
      <c r="D1303" s="16" t="str">
        <f ca="1">PROPER(Music_Data[[#This Row],[Playlist_genre2]])</f>
        <v>Pop</v>
      </c>
      <c r="E1303" s="17">
        <v>0.49299999999999999</v>
      </c>
      <c r="F1303" t="s">
        <v>242</v>
      </c>
      <c r="G1303">
        <v>71</v>
      </c>
      <c r="H1303" t="s">
        <v>7830</v>
      </c>
      <c r="I1303" t="s">
        <v>8794</v>
      </c>
      <c r="J1303" s="22">
        <v>40686</v>
      </c>
      <c r="K1303">
        <v>1</v>
      </c>
      <c r="L1303">
        <v>11</v>
      </c>
      <c r="M1303" s="21">
        <f ca="1">LEFT(Music_Data[[#This Row],[Duration_minutes]],3)/60</f>
        <v>4.333333333333333</v>
      </c>
      <c r="N1303" s="17">
        <v>3.2699999999999999E-3</v>
      </c>
      <c r="O1303" s="17" t="str">
        <f ca="1">PROPER(Music_Data[[#This Row],[Playlist_subgenre2]])</f>
        <v>Throwback</v>
      </c>
    </row>
    <row r="1304" spans="1:15">
      <c r="A1304" s="17">
        <v>0.51700000000000002</v>
      </c>
      <c r="B1304" s="21">
        <v>133</v>
      </c>
      <c r="C1304" s="16">
        <v>0.86699999999999999</v>
      </c>
      <c r="D1304" s="16" t="str">
        <f ca="1">PROPER(Music_Data[[#This Row],[Playlist_genre2]])</f>
        <v>Pop</v>
      </c>
      <c r="E1304" s="17">
        <v>0.86199999999999999</v>
      </c>
      <c r="F1304" t="s">
        <v>8763</v>
      </c>
      <c r="G1304">
        <v>71</v>
      </c>
      <c r="H1304" t="s">
        <v>7830</v>
      </c>
      <c r="I1304" t="s">
        <v>8769</v>
      </c>
      <c r="J1304" s="22">
        <v>32924</v>
      </c>
      <c r="K1304">
        <v>0</v>
      </c>
      <c r="L1304">
        <v>11</v>
      </c>
      <c r="M1304" s="21">
        <f ca="1">LEFT(Music_Data[[#This Row],[Duration_minutes]],3)/60</f>
        <v>4.2833333333333332</v>
      </c>
      <c r="N1304" s="17">
        <v>4.4900000000000001E-3</v>
      </c>
      <c r="O1304" s="17" t="str">
        <f ca="1">PROPER(Music_Data[[#This Row],[Playlist_subgenre2]])</f>
        <v>Throwback</v>
      </c>
    </row>
    <row r="1305" spans="1:15">
      <c r="A1305" s="17">
        <v>0.70599999999999996</v>
      </c>
      <c r="B1305" s="21">
        <v>122</v>
      </c>
      <c r="C1305" s="16">
        <v>0.66300000000000003</v>
      </c>
      <c r="D1305" s="16" t="str">
        <f ca="1">PROPER(Music_Data[[#This Row],[Playlist_genre2]])</f>
        <v>Pop</v>
      </c>
      <c r="E1305" s="17">
        <v>0.47399999999999998</v>
      </c>
      <c r="F1305" t="s">
        <v>5592</v>
      </c>
      <c r="G1305">
        <v>71</v>
      </c>
      <c r="H1305" t="s">
        <v>7053</v>
      </c>
      <c r="I1305" t="s">
        <v>7097</v>
      </c>
      <c r="J1305" s="22">
        <v>41640</v>
      </c>
      <c r="K1305">
        <v>0</v>
      </c>
      <c r="L1305">
        <v>1</v>
      </c>
      <c r="M1305" s="21">
        <f ca="1">LEFT(Music_Data[[#This Row],[Duration_minutes]],3)/60</f>
        <v>4.2833333333333332</v>
      </c>
      <c r="N1305" s="17">
        <v>6.54E-2</v>
      </c>
      <c r="O1305" s="17" t="str">
        <f ca="1">PROPER(Music_Data[[#This Row],[Playlist_subgenre2]])</f>
        <v>Soft</v>
      </c>
    </row>
    <row r="1306" spans="1:15">
      <c r="A1306" s="17">
        <v>0.85899999999999999</v>
      </c>
      <c r="B1306" s="21">
        <v>124</v>
      </c>
      <c r="C1306" s="16">
        <v>0.73299999999999998</v>
      </c>
      <c r="D1306" s="16" t="str">
        <f ca="1">PROPER(Music_Data[[#This Row],[Playlist_genre2]])</f>
        <v>Pop</v>
      </c>
      <c r="E1306" s="17">
        <v>0.52</v>
      </c>
      <c r="F1306" t="s">
        <v>8738</v>
      </c>
      <c r="G1306">
        <v>71</v>
      </c>
      <c r="H1306" t="s">
        <v>7830</v>
      </c>
      <c r="I1306" t="s">
        <v>8741</v>
      </c>
      <c r="J1306" s="22">
        <v>43560</v>
      </c>
      <c r="K1306">
        <v>0</v>
      </c>
      <c r="L1306">
        <v>9</v>
      </c>
      <c r="M1306" s="21">
        <f ca="1">LEFT(Music_Data[[#This Row],[Duration_minutes]],3)/60</f>
        <v>2.4500000000000002</v>
      </c>
      <c r="N1306" s="17">
        <v>0.47899999999999998</v>
      </c>
      <c r="O1306" s="17" t="str">
        <f ca="1">PROPER(Music_Data[[#This Row],[Playlist_subgenre2]])</f>
        <v>Throwback</v>
      </c>
    </row>
    <row r="1307" spans="1:15">
      <c r="A1307" s="17">
        <v>0.93600000000000005</v>
      </c>
      <c r="B1307" s="21">
        <v>131</v>
      </c>
      <c r="C1307" s="16">
        <v>0.72899999999999998</v>
      </c>
      <c r="D1307" s="16" t="str">
        <f ca="1">PROPER(Music_Data[[#This Row],[Playlist_genre2]])</f>
        <v>Pop</v>
      </c>
      <c r="E1307" s="17">
        <v>0.59799999999999998</v>
      </c>
      <c r="F1307" t="s">
        <v>8780</v>
      </c>
      <c r="G1307">
        <v>71</v>
      </c>
      <c r="H1307" t="s">
        <v>7830</v>
      </c>
      <c r="I1307" t="s">
        <v>8786</v>
      </c>
      <c r="J1307" s="22">
        <v>34558</v>
      </c>
      <c r="K1307">
        <v>1</v>
      </c>
      <c r="L1307">
        <v>9</v>
      </c>
      <c r="M1307" s="21">
        <f ca="1">LEFT(Music_Data[[#This Row],[Duration_minutes]],3)/60</f>
        <v>3.2333333333333334</v>
      </c>
      <c r="N1307" s="17">
        <v>1.29E-2</v>
      </c>
      <c r="O1307" s="17" t="str">
        <f ca="1">PROPER(Music_Data[[#This Row],[Playlist_subgenre2]])</f>
        <v>Throwback</v>
      </c>
    </row>
    <row r="1308" spans="1:15">
      <c r="A1308" s="17">
        <v>0.63</v>
      </c>
      <c r="B1308" s="21">
        <v>120</v>
      </c>
      <c r="C1308" s="16">
        <v>0.875</v>
      </c>
      <c r="D1308" s="16" t="str">
        <f ca="1">PROPER(Music_Data[[#This Row],[Playlist_genre2]])</f>
        <v>Pop</v>
      </c>
      <c r="E1308" s="17">
        <v>0.54800000000000004</v>
      </c>
      <c r="F1308" t="s">
        <v>8751</v>
      </c>
      <c r="G1308">
        <v>71</v>
      </c>
      <c r="H1308" t="s">
        <v>7830</v>
      </c>
      <c r="I1308" t="s">
        <v>8757</v>
      </c>
      <c r="J1308" s="22">
        <v>38353</v>
      </c>
      <c r="K1308">
        <v>1</v>
      </c>
      <c r="L1308">
        <v>1</v>
      </c>
      <c r="M1308" s="21">
        <f ca="1">LEFT(Music_Data[[#This Row],[Duration_minutes]],3)/60</f>
        <v>4.5333333333333332</v>
      </c>
      <c r="N1308" s="17">
        <v>5.4599999999999996E-3</v>
      </c>
      <c r="O1308" s="17" t="str">
        <f ca="1">PROPER(Music_Data[[#This Row],[Playlist_subgenre2]])</f>
        <v>Throwback</v>
      </c>
    </row>
    <row r="1309" spans="1:15">
      <c r="A1309" s="17">
        <v>0.748</v>
      </c>
      <c r="B1309" s="21">
        <v>125</v>
      </c>
      <c r="C1309" s="16">
        <v>0.503</v>
      </c>
      <c r="D1309" s="16" t="str">
        <f ca="1">PROPER(Music_Data[[#This Row],[Playlist_genre2]])</f>
        <v>Pop</v>
      </c>
      <c r="E1309" s="17">
        <v>0.35599999999999998</v>
      </c>
      <c r="F1309" t="s">
        <v>4771</v>
      </c>
      <c r="G1309">
        <v>70</v>
      </c>
      <c r="H1309" t="s">
        <v>7830</v>
      </c>
      <c r="I1309" t="s">
        <v>4778</v>
      </c>
      <c r="J1309" s="22">
        <v>42146</v>
      </c>
      <c r="K1309">
        <v>1</v>
      </c>
      <c r="L1309">
        <v>5</v>
      </c>
      <c r="M1309" s="21">
        <f ca="1">LEFT(Music_Data[[#This Row],[Duration_minutes]],3)/60</f>
        <v>3.5</v>
      </c>
      <c r="N1309" s="17">
        <v>3.0499999999999999E-2</v>
      </c>
      <c r="O1309" s="17" t="str">
        <f ca="1">PROPER(Music_Data[[#This Row],[Playlist_subgenre2]])</f>
        <v>Throwback</v>
      </c>
    </row>
    <row r="1310" spans="1:15">
      <c r="A1310" s="17">
        <v>0.72499999999999998</v>
      </c>
      <c r="B1310" s="21">
        <v>123</v>
      </c>
      <c r="C1310" s="16">
        <v>0.49</v>
      </c>
      <c r="D1310" s="16" t="str">
        <f ca="1">PROPER(Music_Data[[#This Row],[Playlist_genre2]])</f>
        <v>Pop</v>
      </c>
      <c r="E1310" s="17">
        <v>0.33500000000000002</v>
      </c>
      <c r="F1310" t="s">
        <v>7637</v>
      </c>
      <c r="G1310">
        <v>70</v>
      </c>
      <c r="H1310" t="s">
        <v>7053</v>
      </c>
      <c r="I1310" t="s">
        <v>7772</v>
      </c>
      <c r="J1310" s="22">
        <v>39017</v>
      </c>
      <c r="K1310">
        <v>1</v>
      </c>
      <c r="L1310">
        <v>10</v>
      </c>
      <c r="M1310" s="21">
        <f ca="1">LEFT(Music_Data[[#This Row],[Duration_minutes]],3)/60</f>
        <v>4</v>
      </c>
      <c r="N1310" s="17">
        <v>0.123</v>
      </c>
      <c r="O1310" s="17" t="str">
        <f ca="1">PROPER(Music_Data[[#This Row],[Playlist_subgenre2]])</f>
        <v>Soft</v>
      </c>
    </row>
    <row r="1311" spans="1:15">
      <c r="A1311" s="17">
        <v>0.316</v>
      </c>
      <c r="B1311" s="21">
        <v>118</v>
      </c>
      <c r="C1311" s="16">
        <v>0.39800000000000002</v>
      </c>
      <c r="D1311" s="16" t="str">
        <f ca="1">PROPER(Music_Data[[#This Row],[Playlist_genre2]])</f>
        <v>Pop</v>
      </c>
      <c r="E1311" s="17">
        <v>0.17399999999999999</v>
      </c>
      <c r="F1311" t="s">
        <v>7784</v>
      </c>
      <c r="G1311">
        <v>70</v>
      </c>
      <c r="H1311" t="s">
        <v>7053</v>
      </c>
      <c r="I1311" t="s">
        <v>7790</v>
      </c>
      <c r="J1311" s="22">
        <v>42244</v>
      </c>
      <c r="K1311">
        <v>1</v>
      </c>
      <c r="L1311">
        <v>1</v>
      </c>
      <c r="M1311" s="21">
        <f ca="1">LEFT(Music_Data[[#This Row],[Duration_minutes]],3)/60</f>
        <v>4.2166666666666668</v>
      </c>
      <c r="N1311" s="17">
        <v>0.80500000000000005</v>
      </c>
      <c r="O1311" s="17" t="str">
        <f ca="1">PROPER(Music_Data[[#This Row],[Playlist_subgenre2]])</f>
        <v>Soft</v>
      </c>
    </row>
    <row r="1312" spans="1:15">
      <c r="A1312" s="17">
        <v>0.57299999999999995</v>
      </c>
      <c r="B1312" s="21">
        <v>107</v>
      </c>
      <c r="C1312" s="16">
        <v>0.68400000000000005</v>
      </c>
      <c r="D1312" s="16" t="str">
        <f ca="1">PROPER(Music_Data[[#This Row],[Playlist_genre2]])</f>
        <v>Pop</v>
      </c>
      <c r="E1312" s="17">
        <v>0.71599999999999997</v>
      </c>
      <c r="F1312" t="s">
        <v>8804</v>
      </c>
      <c r="G1312">
        <v>70</v>
      </c>
      <c r="H1312" t="s">
        <v>7830</v>
      </c>
      <c r="I1312" t="s">
        <v>8811</v>
      </c>
      <c r="J1312" s="22">
        <v>31048</v>
      </c>
      <c r="K1312">
        <v>1</v>
      </c>
      <c r="L1312">
        <v>5</v>
      </c>
      <c r="M1312" s="21">
        <f ca="1">LEFT(Music_Data[[#This Row],[Duration_minutes]],3)/60</f>
        <v>6.3</v>
      </c>
      <c r="N1312" s="17">
        <v>0.318</v>
      </c>
      <c r="O1312" s="17" t="str">
        <f ca="1">PROPER(Music_Data[[#This Row],[Playlist_subgenre2]])</f>
        <v>Throwback</v>
      </c>
    </row>
    <row r="1313" spans="1:15">
      <c r="A1313" s="17">
        <v>0.76300000000000001</v>
      </c>
      <c r="B1313" s="21">
        <v>101</v>
      </c>
      <c r="C1313" s="16">
        <v>0.72</v>
      </c>
      <c r="D1313" s="16" t="str">
        <f ca="1">PROPER(Music_Data[[#This Row],[Playlist_genre2]])</f>
        <v>Pop</v>
      </c>
      <c r="E1313" s="17">
        <v>0.74199999999999999</v>
      </c>
      <c r="F1313" t="s">
        <v>8796</v>
      </c>
      <c r="G1313">
        <v>70</v>
      </c>
      <c r="H1313" t="s">
        <v>7830</v>
      </c>
      <c r="I1313" t="s">
        <v>8799</v>
      </c>
      <c r="J1313" s="22">
        <v>42664</v>
      </c>
      <c r="K1313">
        <v>0</v>
      </c>
      <c r="L1313">
        <v>9</v>
      </c>
      <c r="M1313" s="21">
        <f ca="1">LEFT(Music_Data[[#This Row],[Duration_minutes]],3)/60</f>
        <v>4.1833333333333336</v>
      </c>
      <c r="N1313" s="17">
        <v>0.40600000000000003</v>
      </c>
      <c r="O1313" s="17" t="str">
        <f ca="1">PROPER(Music_Data[[#This Row],[Playlist_subgenre2]])</f>
        <v>Throwback</v>
      </c>
    </row>
    <row r="1314" spans="1:15">
      <c r="A1314" s="17">
        <v>0.80500000000000005</v>
      </c>
      <c r="B1314" s="21">
        <v>127</v>
      </c>
      <c r="C1314" s="16">
        <v>0.69</v>
      </c>
      <c r="D1314" s="16" t="str">
        <f ca="1">PROPER(Music_Data[[#This Row],[Playlist_genre2]])</f>
        <v>Pop</v>
      </c>
      <c r="E1314" s="17">
        <v>0.79900000000000004</v>
      </c>
      <c r="F1314" t="s">
        <v>8814</v>
      </c>
      <c r="G1314">
        <v>70</v>
      </c>
      <c r="H1314" t="s">
        <v>7830</v>
      </c>
      <c r="I1314" t="s">
        <v>8817</v>
      </c>
      <c r="J1314" s="22">
        <v>1994</v>
      </c>
      <c r="K1314">
        <v>0</v>
      </c>
      <c r="L1314">
        <v>5</v>
      </c>
      <c r="M1314" s="21">
        <f ca="1">LEFT(Music_Data[[#This Row],[Duration_minutes]],3)/60</f>
        <v>4.4000000000000004</v>
      </c>
      <c r="N1314" s="17">
        <v>2.32E-4</v>
      </c>
      <c r="O1314" s="17" t="str">
        <f ca="1">PROPER(Music_Data[[#This Row],[Playlist_subgenre2]])</f>
        <v>Throwback</v>
      </c>
    </row>
    <row r="1315" spans="1:15">
      <c r="A1315" s="17">
        <v>0.63</v>
      </c>
      <c r="B1315" s="21">
        <v>899</v>
      </c>
      <c r="C1315" s="16">
        <v>0.65400000000000003</v>
      </c>
      <c r="D1315" s="16" t="str">
        <f ca="1">PROPER(Music_Data[[#This Row],[Playlist_genre2]])</f>
        <v>Pop</v>
      </c>
      <c r="E1315" s="17">
        <v>0.43</v>
      </c>
      <c r="F1315" t="s">
        <v>7777</v>
      </c>
      <c r="G1315">
        <v>70</v>
      </c>
      <c r="H1315" t="s">
        <v>7053</v>
      </c>
      <c r="I1315" t="s">
        <v>7780</v>
      </c>
      <c r="J1315" s="22">
        <v>43742</v>
      </c>
      <c r="K1315">
        <v>1</v>
      </c>
      <c r="L1315">
        <v>10</v>
      </c>
      <c r="M1315" s="21">
        <f ca="1">LEFT(Music_Data[[#This Row],[Duration_minutes]],3)/60</f>
        <v>2.7833333333333332</v>
      </c>
      <c r="N1315" s="17">
        <v>0.153</v>
      </c>
      <c r="O1315" s="17" t="str">
        <f ca="1">PROPER(Music_Data[[#This Row],[Playlist_subgenre2]])</f>
        <v>Soft</v>
      </c>
    </row>
    <row r="1316" spans="1:15">
      <c r="A1316" s="17">
        <v>0.69099999999999995</v>
      </c>
      <c r="B1316" s="21">
        <v>167</v>
      </c>
      <c r="C1316" s="16">
        <v>0.83599999999999997</v>
      </c>
      <c r="D1316" s="16" t="str">
        <f ca="1">PROPER(Music_Data[[#This Row],[Playlist_genre2]])</f>
        <v>Pop</v>
      </c>
      <c r="E1316" s="17">
        <v>0.70299999999999996</v>
      </c>
      <c r="F1316" t="s">
        <v>451</v>
      </c>
      <c r="G1316">
        <v>70</v>
      </c>
      <c r="H1316" t="s">
        <v>39</v>
      </c>
      <c r="I1316" t="s">
        <v>455</v>
      </c>
      <c r="J1316" s="22">
        <v>45575</v>
      </c>
      <c r="K1316">
        <v>1</v>
      </c>
      <c r="L1316">
        <v>1</v>
      </c>
      <c r="M1316" s="21">
        <f ca="1">LEFT(Music_Data[[#This Row],[Duration_minutes]],3)/60</f>
        <v>2.4833333333333334</v>
      </c>
      <c r="N1316" s="17">
        <v>5.8599999999999998E-3</v>
      </c>
      <c r="O1316" s="17" t="str">
        <f ca="1">PROPER(Music_Data[[#This Row],[Playlist_subgenre2]])</f>
        <v>Mainstream</v>
      </c>
    </row>
    <row r="1317" spans="1:15">
      <c r="A1317" s="17">
        <v>0.92200000000000004</v>
      </c>
      <c r="B1317" s="21">
        <v>130</v>
      </c>
      <c r="C1317" s="16">
        <v>0.66600000000000004</v>
      </c>
      <c r="D1317" s="16" t="str">
        <f ca="1">PROPER(Music_Data[[#This Row],[Playlist_genre2]])</f>
        <v>Pop</v>
      </c>
      <c r="E1317" s="17">
        <v>0.75800000000000001</v>
      </c>
      <c r="F1317" t="s">
        <v>7594</v>
      </c>
      <c r="G1317">
        <v>70</v>
      </c>
      <c r="H1317" t="s">
        <v>7053</v>
      </c>
      <c r="I1317" t="s">
        <v>7798</v>
      </c>
      <c r="J1317" s="22">
        <v>40909</v>
      </c>
      <c r="K1317">
        <v>1</v>
      </c>
      <c r="L1317">
        <v>5</v>
      </c>
      <c r="M1317" s="21">
        <f ca="1">LEFT(Music_Data[[#This Row],[Duration_minutes]],3)/60</f>
        <v>3.6</v>
      </c>
      <c r="N1317" s="17">
        <v>3.48E-4</v>
      </c>
      <c r="O1317" s="17" t="str">
        <f ca="1">PROPER(Music_Data[[#This Row],[Playlist_subgenre2]])</f>
        <v>Soft</v>
      </c>
    </row>
    <row r="1318" spans="1:15">
      <c r="A1318" s="17">
        <v>0.79200000000000004</v>
      </c>
      <c r="B1318" s="21">
        <v>116</v>
      </c>
      <c r="C1318" s="16">
        <v>0.97899999999999998</v>
      </c>
      <c r="D1318" s="16" t="str">
        <f ca="1">PROPER(Music_Data[[#This Row],[Playlist_genre2]])</f>
        <v>Pop</v>
      </c>
      <c r="E1318" s="17">
        <v>0.58299999999999996</v>
      </c>
      <c r="F1318" t="s">
        <v>8833</v>
      </c>
      <c r="G1318">
        <v>70</v>
      </c>
      <c r="H1318" t="s">
        <v>7830</v>
      </c>
      <c r="I1318" t="s">
        <v>8839</v>
      </c>
      <c r="J1318" s="22">
        <v>39756</v>
      </c>
      <c r="K1318">
        <v>1</v>
      </c>
      <c r="L1318">
        <v>2</v>
      </c>
      <c r="M1318" s="21">
        <f ca="1">LEFT(Music_Data[[#This Row],[Duration_minutes]],3)/60</f>
        <v>4.2333333333333334</v>
      </c>
      <c r="N1318" s="17">
        <v>2.5000000000000001E-3</v>
      </c>
      <c r="O1318" s="17" t="str">
        <f ca="1">PROPER(Music_Data[[#This Row],[Playlist_subgenre2]])</f>
        <v>Throwback</v>
      </c>
    </row>
    <row r="1319" spans="1:15">
      <c r="A1319" s="17">
        <v>0.73199999999999998</v>
      </c>
      <c r="B1319" s="21">
        <v>146</v>
      </c>
      <c r="C1319" s="16">
        <v>0.58299999999999996</v>
      </c>
      <c r="D1319" s="16" t="str">
        <f ca="1">PROPER(Music_Data[[#This Row],[Playlist_genre2]])</f>
        <v>Pop</v>
      </c>
      <c r="E1319" s="17">
        <v>0.27700000000000002</v>
      </c>
      <c r="F1319" t="s">
        <v>8822</v>
      </c>
      <c r="G1319">
        <v>70</v>
      </c>
      <c r="H1319" t="s">
        <v>7830</v>
      </c>
      <c r="I1319" t="s">
        <v>8828</v>
      </c>
      <c r="J1319" s="22">
        <v>42811</v>
      </c>
      <c r="K1319">
        <v>0</v>
      </c>
      <c r="L1319">
        <v>11</v>
      </c>
      <c r="M1319" s="21">
        <f ca="1">LEFT(Music_Data[[#This Row],[Duration_minutes]],3)/60</f>
        <v>3.55</v>
      </c>
      <c r="N1319" s="17">
        <v>3.15E-3</v>
      </c>
      <c r="O1319" s="17" t="str">
        <f ca="1">PROPER(Music_Data[[#This Row],[Playlist_subgenre2]])</f>
        <v>Throwback</v>
      </c>
    </row>
    <row r="1320" spans="1:15">
      <c r="A1320" s="17">
        <v>0.89</v>
      </c>
      <c r="B1320" s="21">
        <v>126</v>
      </c>
      <c r="C1320" s="16">
        <v>0.64500000000000002</v>
      </c>
      <c r="D1320" s="16" t="str">
        <f ca="1">PROPER(Music_Data[[#This Row],[Playlist_genre2]])</f>
        <v>Pop</v>
      </c>
      <c r="E1320" s="17">
        <v>0.42099999999999999</v>
      </c>
      <c r="F1320" t="s">
        <v>13135</v>
      </c>
      <c r="G1320">
        <v>69</v>
      </c>
      <c r="H1320" t="s">
        <v>13139</v>
      </c>
      <c r="I1320" t="s">
        <v>13138</v>
      </c>
      <c r="J1320" s="22">
        <v>45456</v>
      </c>
      <c r="K1320">
        <v>1</v>
      </c>
      <c r="L1320">
        <v>6</v>
      </c>
      <c r="M1320" s="21">
        <f ca="1">LEFT(Music_Data[[#This Row],[Duration_minutes]],3)/60</f>
        <v>3.4166666666666665</v>
      </c>
      <c r="N1320" s="17">
        <v>0.25900000000000001</v>
      </c>
      <c r="O1320" s="17" t="str">
        <f ca="1">PROPER(Music_Data[[#This Row],[Playlist_subgenre2]])</f>
        <v>Scandi</v>
      </c>
    </row>
    <row r="1321" spans="1:15">
      <c r="A1321" s="17">
        <v>0.34799999999999998</v>
      </c>
      <c r="B1321" s="21">
        <v>745</v>
      </c>
      <c r="C1321" s="16">
        <v>0.34899999999999998</v>
      </c>
      <c r="D1321" s="16" t="str">
        <f ca="1">PROPER(Music_Data[[#This Row],[Playlist_genre2]])</f>
        <v>Pop</v>
      </c>
      <c r="E1321" s="17">
        <v>8.8599999999999998E-2</v>
      </c>
      <c r="F1321" t="s">
        <v>7802</v>
      </c>
      <c r="G1321">
        <v>69</v>
      </c>
      <c r="H1321" t="s">
        <v>7053</v>
      </c>
      <c r="I1321" t="s">
        <v>7808</v>
      </c>
      <c r="J1321" s="22">
        <v>40673</v>
      </c>
      <c r="K1321">
        <v>1</v>
      </c>
      <c r="L1321">
        <v>3</v>
      </c>
      <c r="M1321" s="21">
        <f ca="1">LEFT(Music_Data[[#This Row],[Duration_minutes]],3)/60</f>
        <v>4.0999999999999996</v>
      </c>
      <c r="N1321" s="17">
        <v>0.72599999999999998</v>
      </c>
      <c r="O1321" s="17" t="str">
        <f ca="1">PROPER(Music_Data[[#This Row],[Playlist_subgenre2]])</f>
        <v>Soft</v>
      </c>
    </row>
    <row r="1322" spans="1:15">
      <c r="A1322" s="17">
        <v>0.78700000000000003</v>
      </c>
      <c r="B1322" s="21">
        <v>117</v>
      </c>
      <c r="C1322" s="16">
        <v>0.39900000000000002</v>
      </c>
      <c r="D1322" s="16" t="str">
        <f ca="1">PROPER(Music_Data[[#This Row],[Playlist_genre2]])</f>
        <v>Pop</v>
      </c>
      <c r="E1322" s="17">
        <v>0.57199999999999995</v>
      </c>
      <c r="F1322" t="s">
        <v>7100</v>
      </c>
      <c r="G1322">
        <v>69</v>
      </c>
      <c r="H1322" t="s">
        <v>7053</v>
      </c>
      <c r="I1322" t="s">
        <v>7816</v>
      </c>
      <c r="J1322" s="22">
        <v>42128</v>
      </c>
      <c r="K1322">
        <v>1</v>
      </c>
      <c r="L1322">
        <v>1</v>
      </c>
      <c r="M1322" s="21">
        <f ca="1">LEFT(Music_Data[[#This Row],[Duration_minutes]],3)/60</f>
        <v>3.6</v>
      </c>
      <c r="N1322" s="17">
        <v>1.9699999999999999E-2</v>
      </c>
      <c r="O1322" s="17" t="str">
        <f ca="1">PROPER(Music_Data[[#This Row],[Playlist_subgenre2]])</f>
        <v>Soft</v>
      </c>
    </row>
    <row r="1323" spans="1:15">
      <c r="A1323" s="17">
        <v>0.46500000000000002</v>
      </c>
      <c r="B1323" s="21">
        <v>113</v>
      </c>
      <c r="C1323" s="16">
        <v>0.6</v>
      </c>
      <c r="D1323" s="16" t="str">
        <f ca="1">PROPER(Music_Data[[#This Row],[Playlist_genre2]])</f>
        <v>Pop</v>
      </c>
      <c r="E1323" s="17">
        <v>6.8199999999999997E-2</v>
      </c>
      <c r="F1323" t="s">
        <v>7822</v>
      </c>
      <c r="G1323">
        <v>69</v>
      </c>
      <c r="H1323" t="s">
        <v>7053</v>
      </c>
      <c r="I1323" t="s">
        <v>7825</v>
      </c>
      <c r="J1323" s="22">
        <v>43903</v>
      </c>
      <c r="K1323">
        <v>1</v>
      </c>
      <c r="L1323">
        <v>4</v>
      </c>
      <c r="M1323" s="21">
        <f ca="1">LEFT(Music_Data[[#This Row],[Duration_minutes]],3)/60</f>
        <v>3.8333333333333335</v>
      </c>
      <c r="N1323" s="17">
        <v>0.64300000000000002</v>
      </c>
      <c r="O1323" s="17" t="str">
        <f ca="1">PROPER(Music_Data[[#This Row],[Playlist_subgenre2]])</f>
        <v>Soft</v>
      </c>
    </row>
    <row r="1324" spans="1:15">
      <c r="A1324" s="17">
        <v>0.70499999999999996</v>
      </c>
      <c r="B1324" s="21">
        <v>138</v>
      </c>
      <c r="C1324" s="16">
        <v>0.81799999999999995</v>
      </c>
      <c r="D1324" s="16" t="str">
        <f ca="1">PROPER(Music_Data[[#This Row],[Playlist_genre2]])</f>
        <v>Punk</v>
      </c>
      <c r="E1324" s="17">
        <v>0.77200000000000002</v>
      </c>
      <c r="F1324" t="s">
        <v>9542</v>
      </c>
      <c r="G1324">
        <v>84</v>
      </c>
      <c r="H1324" t="s">
        <v>9267</v>
      </c>
      <c r="I1324" t="s">
        <v>9548</v>
      </c>
      <c r="J1324" s="22">
        <v>38495</v>
      </c>
      <c r="K1324">
        <v>1</v>
      </c>
      <c r="L1324">
        <v>6</v>
      </c>
      <c r="M1324" s="21">
        <f ca="1">LEFT(Music_Data[[#This Row],[Duration_minutes]],3)/60</f>
        <v>3.7</v>
      </c>
      <c r="N1324" s="17">
        <v>8.3599999999999994E-3</v>
      </c>
      <c r="O1324" s="17" t="str">
        <f ca="1">PROPER(Music_Data[[#This Row],[Playlist_subgenre2]])</f>
        <v>Pop Punk</v>
      </c>
    </row>
    <row r="1325" spans="1:15">
      <c r="A1325" s="17">
        <v>0.94299999999999995</v>
      </c>
      <c r="B1325" s="21">
        <v>946</v>
      </c>
      <c r="C1325" s="16">
        <v>0.33100000000000002</v>
      </c>
      <c r="D1325" s="16" t="str">
        <f ca="1">PROPER(Music_Data[[#This Row],[Playlist_genre2]])</f>
        <v>Punk</v>
      </c>
      <c r="E1325" s="17">
        <v>0.29599999999999999</v>
      </c>
      <c r="F1325" t="s">
        <v>9324</v>
      </c>
      <c r="G1325">
        <v>83</v>
      </c>
      <c r="H1325" t="s">
        <v>9267</v>
      </c>
      <c r="I1325" t="s">
        <v>9411</v>
      </c>
      <c r="J1325" s="22">
        <v>37684</v>
      </c>
      <c r="K1325">
        <v>0</v>
      </c>
      <c r="L1325">
        <v>4</v>
      </c>
      <c r="M1325" s="21">
        <f ca="1">LEFT(Music_Data[[#This Row],[Duration_minutes]],3)/60</f>
        <v>3.9166666666666665</v>
      </c>
      <c r="N1325" s="17">
        <v>7.2100000000000003E-3</v>
      </c>
      <c r="O1325" s="17" t="str">
        <f ca="1">PROPER(Music_Data[[#This Row],[Playlist_subgenre2]])</f>
        <v>Pop Punk</v>
      </c>
    </row>
    <row r="1326" spans="1:15">
      <c r="A1326" s="17">
        <v>0.77600000000000002</v>
      </c>
      <c r="B1326" s="21">
        <v>779</v>
      </c>
      <c r="C1326" s="16">
        <v>0.58499999999999996</v>
      </c>
      <c r="D1326" s="16" t="str">
        <f ca="1">PROPER(Music_Data[[#This Row],[Playlist_genre2]])</f>
        <v>Punk</v>
      </c>
      <c r="E1326" s="17">
        <v>0.42699999999999999</v>
      </c>
      <c r="F1326" t="s">
        <v>7310</v>
      </c>
      <c r="G1326">
        <v>81</v>
      </c>
      <c r="H1326" t="s">
        <v>9267</v>
      </c>
      <c r="I1326" t="s">
        <v>7316</v>
      </c>
      <c r="J1326" s="22">
        <v>37411</v>
      </c>
      <c r="K1326">
        <v>1</v>
      </c>
      <c r="L1326">
        <v>5</v>
      </c>
      <c r="M1326" s="21">
        <f ca="1">LEFT(Music_Data[[#This Row],[Duration_minutes]],3)/60</f>
        <v>4.0666666666666664</v>
      </c>
      <c r="N1326" s="17">
        <v>5.7200000000000001E-2</v>
      </c>
      <c r="O1326" s="17" t="str">
        <f ca="1">PROPER(Music_Data[[#This Row],[Playlist_subgenre2]])</f>
        <v>Pop Punk</v>
      </c>
    </row>
    <row r="1327" spans="1:15">
      <c r="A1327" s="17">
        <v>0.89700000000000002</v>
      </c>
      <c r="B1327" s="21">
        <v>148</v>
      </c>
      <c r="C1327" s="16">
        <v>0.434</v>
      </c>
      <c r="D1327" s="16" t="str">
        <f ca="1">PROPER(Music_Data[[#This Row],[Playlist_genre2]])</f>
        <v>Punk</v>
      </c>
      <c r="E1327" s="17">
        <v>0.68500000000000005</v>
      </c>
      <c r="F1327" t="s">
        <v>9389</v>
      </c>
      <c r="G1327">
        <v>81</v>
      </c>
      <c r="H1327" t="s">
        <v>9267</v>
      </c>
      <c r="I1327" t="s">
        <v>9395</v>
      </c>
      <c r="J1327" s="22">
        <v>36312</v>
      </c>
      <c r="K1327">
        <v>1</v>
      </c>
      <c r="L1327">
        <v>0</v>
      </c>
      <c r="M1327" s="21">
        <f ca="1">LEFT(Music_Data[[#This Row],[Duration_minutes]],3)/60</f>
        <v>2.7833333333333332</v>
      </c>
      <c r="N1327" s="17">
        <v>1.03E-2</v>
      </c>
      <c r="O1327" s="17" t="str">
        <f ca="1">PROPER(Music_Data[[#This Row],[Playlist_subgenre2]])</f>
        <v>Pop Punk</v>
      </c>
    </row>
    <row r="1328" spans="1:15">
      <c r="A1328" s="17">
        <v>0.84899999999999998</v>
      </c>
      <c r="B1328" s="21">
        <v>162</v>
      </c>
      <c r="C1328" s="16">
        <v>0.64300000000000002</v>
      </c>
      <c r="D1328" s="16" t="str">
        <f ca="1">PROPER(Music_Data[[#This Row],[Playlist_genre2]])</f>
        <v>Punk</v>
      </c>
      <c r="E1328" s="17">
        <v>0.90300000000000002</v>
      </c>
      <c r="F1328" t="s">
        <v>9280</v>
      </c>
      <c r="G1328">
        <v>80</v>
      </c>
      <c r="H1328" t="s">
        <v>9267</v>
      </c>
      <c r="I1328" t="s">
        <v>7522</v>
      </c>
      <c r="J1328" s="22">
        <v>37089</v>
      </c>
      <c r="K1328">
        <v>1</v>
      </c>
      <c r="L1328">
        <v>2</v>
      </c>
      <c r="M1328" s="21">
        <f ca="1">LEFT(Music_Data[[#This Row],[Duration_minutes]],3)/60</f>
        <v>2.75</v>
      </c>
      <c r="N1328" s="17">
        <v>3.7100000000000001E-2</v>
      </c>
      <c r="O1328" s="17" t="str">
        <f ca="1">PROPER(Music_Data[[#This Row],[Playlist_subgenre2]])</f>
        <v>Pop Punk</v>
      </c>
    </row>
    <row r="1329" spans="1:15">
      <c r="A1329" s="17">
        <v>0.98799999999999999</v>
      </c>
      <c r="B1329" s="21">
        <v>186</v>
      </c>
      <c r="C1329" s="16">
        <v>0.38</v>
      </c>
      <c r="D1329" s="16" t="str">
        <f ca="1">PROPER(Music_Data[[#This Row],[Playlist_genre2]])</f>
        <v>Punk</v>
      </c>
      <c r="E1329" s="17">
        <v>0.76900000000000002</v>
      </c>
      <c r="F1329" t="s">
        <v>867</v>
      </c>
      <c r="G1329">
        <v>79</v>
      </c>
      <c r="H1329" t="s">
        <v>9267</v>
      </c>
      <c r="I1329" t="s">
        <v>9400</v>
      </c>
      <c r="J1329" s="22">
        <v>38251</v>
      </c>
      <c r="K1329">
        <v>1</v>
      </c>
      <c r="L1329">
        <v>1</v>
      </c>
      <c r="M1329" s="21">
        <f ca="1">LEFT(Music_Data[[#This Row],[Duration_minutes]],3)/60</f>
        <v>2.9333333333333331</v>
      </c>
      <c r="N1329" s="17">
        <v>2.6400000000000001E-5</v>
      </c>
      <c r="O1329" s="17" t="str">
        <f ca="1">PROPER(Music_Data[[#This Row],[Playlist_subgenre2]])</f>
        <v>Pop Punk</v>
      </c>
    </row>
    <row r="1330" spans="1:15">
      <c r="A1330" s="17">
        <v>0.85699999999999998</v>
      </c>
      <c r="B1330" s="21">
        <v>111</v>
      </c>
      <c r="C1330" s="16">
        <v>0.46300000000000002</v>
      </c>
      <c r="D1330" s="16" t="str">
        <f ca="1">PROPER(Music_Data[[#This Row],[Playlist_genre2]])</f>
        <v>Punk</v>
      </c>
      <c r="E1330" s="17">
        <v>0.85599999999999998</v>
      </c>
      <c r="F1330" t="s">
        <v>9038</v>
      </c>
      <c r="G1330">
        <v>79</v>
      </c>
      <c r="H1330" t="s">
        <v>9267</v>
      </c>
      <c r="I1330" t="s">
        <v>9525</v>
      </c>
      <c r="J1330" s="22">
        <v>39013</v>
      </c>
      <c r="K1330">
        <v>1</v>
      </c>
      <c r="L1330">
        <v>4</v>
      </c>
      <c r="M1330" s="21">
        <f ca="1">LEFT(Music_Data[[#This Row],[Duration_minutes]],3)/60</f>
        <v>2.6833333333333331</v>
      </c>
      <c r="N1330" s="17">
        <v>5.0599999999999999E-2</v>
      </c>
      <c r="O1330" s="17" t="str">
        <f ca="1">PROPER(Music_Data[[#This Row],[Playlist_subgenre2]])</f>
        <v>Pop Punk</v>
      </c>
    </row>
    <row r="1331" spans="1:15">
      <c r="A1331" s="17">
        <v>0.92300000000000004</v>
      </c>
      <c r="B1331" s="21">
        <v>136</v>
      </c>
      <c r="C1331" s="16">
        <v>0.60199999999999998</v>
      </c>
      <c r="D1331" s="16" t="str">
        <f ca="1">PROPER(Music_Data[[#This Row],[Playlist_genre2]])</f>
        <v>Punk</v>
      </c>
      <c r="E1331" s="17">
        <v>0.76500000000000001</v>
      </c>
      <c r="F1331" t="s">
        <v>8973</v>
      </c>
      <c r="G1331">
        <v>78</v>
      </c>
      <c r="H1331" t="s">
        <v>9267</v>
      </c>
      <c r="I1331" t="s">
        <v>9378</v>
      </c>
      <c r="J1331" s="22">
        <v>41369</v>
      </c>
      <c r="K1331">
        <v>1</v>
      </c>
      <c r="L1331">
        <v>5</v>
      </c>
      <c r="M1331" s="21">
        <f ca="1">LEFT(Music_Data[[#This Row],[Duration_minutes]],3)/60</f>
        <v>3.6</v>
      </c>
      <c r="N1331" s="17">
        <v>9.7999999999999997E-3</v>
      </c>
      <c r="O1331" s="17" t="str">
        <f ca="1">PROPER(Music_Data[[#This Row],[Playlist_subgenre2]])</f>
        <v>Pop Punk</v>
      </c>
    </row>
    <row r="1332" spans="1:15">
      <c r="A1332" s="17">
        <v>0.9</v>
      </c>
      <c r="B1332" s="21">
        <v>149</v>
      </c>
      <c r="C1332" s="16">
        <v>0.48699999999999999</v>
      </c>
      <c r="D1332" s="16" t="str">
        <f ca="1">PROPER(Music_Data[[#This Row],[Playlist_genre2]])</f>
        <v>Punk</v>
      </c>
      <c r="E1332" s="17">
        <v>0.48399999999999999</v>
      </c>
      <c r="F1332" t="s">
        <v>7310</v>
      </c>
      <c r="G1332">
        <v>77</v>
      </c>
      <c r="H1332" t="s">
        <v>9267</v>
      </c>
      <c r="I1332" t="s">
        <v>9337</v>
      </c>
      <c r="J1332" s="22">
        <v>37411</v>
      </c>
      <c r="K1332">
        <v>1</v>
      </c>
      <c r="L1332">
        <v>0</v>
      </c>
      <c r="M1332" s="21">
        <f ca="1">LEFT(Music_Data[[#This Row],[Duration_minutes]],3)/60</f>
        <v>3.4</v>
      </c>
      <c r="N1332" s="17">
        <v>6.7899999999999997E-5</v>
      </c>
      <c r="O1332" s="17" t="str">
        <f ca="1">PROPER(Music_Data[[#This Row],[Playlist_subgenre2]])</f>
        <v>Pop Punk</v>
      </c>
    </row>
    <row r="1333" spans="1:15">
      <c r="A1333" s="17">
        <v>0.95099999999999996</v>
      </c>
      <c r="B1333" s="21">
        <v>157</v>
      </c>
      <c r="C1333" s="16">
        <v>0.39100000000000001</v>
      </c>
      <c r="D1333" s="16" t="str">
        <f ca="1">PROPER(Music_Data[[#This Row],[Playlist_genre2]])</f>
        <v>Punk</v>
      </c>
      <c r="E1333" s="17">
        <v>0.46800000000000003</v>
      </c>
      <c r="F1333" t="s">
        <v>9389</v>
      </c>
      <c r="G1333">
        <v>77</v>
      </c>
      <c r="H1333" t="s">
        <v>9267</v>
      </c>
      <c r="I1333" t="s">
        <v>9539</v>
      </c>
      <c r="J1333" s="22">
        <v>36312</v>
      </c>
      <c r="K1333">
        <v>1</v>
      </c>
      <c r="L1333">
        <v>6</v>
      </c>
      <c r="M1333" s="21">
        <f ca="1">LEFT(Music_Data[[#This Row],[Duration_minutes]],3)/60</f>
        <v>2.4666666666666668</v>
      </c>
      <c r="N1333" s="17">
        <v>1.2E-2</v>
      </c>
      <c r="O1333" s="17" t="str">
        <f ca="1">PROPER(Music_Data[[#This Row],[Playlist_subgenre2]])</f>
        <v>Pop Punk</v>
      </c>
    </row>
    <row r="1334" spans="1:15">
      <c r="A1334" s="17">
        <v>0.89200000000000002</v>
      </c>
      <c r="B1334" s="21">
        <v>154</v>
      </c>
      <c r="C1334" s="16">
        <v>0.46</v>
      </c>
      <c r="D1334" s="16" t="str">
        <f ca="1">PROPER(Music_Data[[#This Row],[Playlist_genre2]])</f>
        <v>Punk</v>
      </c>
      <c r="E1334" s="17">
        <v>0.59</v>
      </c>
      <c r="F1334" t="s">
        <v>9512</v>
      </c>
      <c r="G1334">
        <v>77</v>
      </c>
      <c r="H1334" t="s">
        <v>9267</v>
      </c>
      <c r="I1334" t="s">
        <v>9518</v>
      </c>
      <c r="J1334" s="22">
        <v>39083</v>
      </c>
      <c r="K1334">
        <v>0</v>
      </c>
      <c r="L1334">
        <v>10</v>
      </c>
      <c r="M1334" s="21">
        <f ca="1">LEFT(Music_Data[[#This Row],[Duration_minutes]],3)/60</f>
        <v>3.3833333333333333</v>
      </c>
      <c r="N1334" s="17">
        <v>5.1000000000000004E-3</v>
      </c>
      <c r="O1334" s="17" t="str">
        <f ca="1">PROPER(Music_Data[[#This Row],[Playlist_subgenre2]])</f>
        <v>Pop Punk</v>
      </c>
    </row>
    <row r="1335" spans="1:15">
      <c r="A1335" s="17">
        <v>0.81399999999999995</v>
      </c>
      <c r="B1335" s="21">
        <v>104</v>
      </c>
      <c r="C1335" s="16">
        <v>0.54600000000000004</v>
      </c>
      <c r="D1335" s="16" t="str">
        <f ca="1">PROPER(Music_Data[[#This Row],[Playlist_genre2]])</f>
        <v>Punk</v>
      </c>
      <c r="E1335" s="17">
        <v>0.14599999999999999</v>
      </c>
      <c r="F1335" t="s">
        <v>867</v>
      </c>
      <c r="G1335">
        <v>77</v>
      </c>
      <c r="H1335" t="s">
        <v>9267</v>
      </c>
      <c r="I1335" t="s">
        <v>9403</v>
      </c>
      <c r="J1335" s="22">
        <v>38251</v>
      </c>
      <c r="K1335">
        <v>1</v>
      </c>
      <c r="L1335">
        <v>7</v>
      </c>
      <c r="M1335" s="21">
        <f ca="1">LEFT(Music_Data[[#This Row],[Duration_minutes]],3)/60</f>
        <v>4.75</v>
      </c>
      <c r="N1335" s="17">
        <v>2.3E-2</v>
      </c>
      <c r="O1335" s="17" t="str">
        <f ca="1">PROPER(Music_Data[[#This Row],[Playlist_subgenre2]])</f>
        <v>Pop Punk</v>
      </c>
    </row>
    <row r="1336" spans="1:15">
      <c r="A1336" s="17">
        <v>0.84199999999999997</v>
      </c>
      <c r="B1336" s="21">
        <v>162</v>
      </c>
      <c r="C1336" s="16">
        <v>0.49399999999999999</v>
      </c>
      <c r="D1336" s="16" t="str">
        <f ca="1">PROPER(Music_Data[[#This Row],[Playlist_genre2]])</f>
        <v>Punk</v>
      </c>
      <c r="E1336" s="17">
        <v>0.57399999999999995</v>
      </c>
      <c r="F1336" t="s">
        <v>9512</v>
      </c>
      <c r="G1336">
        <v>76</v>
      </c>
      <c r="H1336" t="s">
        <v>9267</v>
      </c>
      <c r="I1336" t="s">
        <v>9610</v>
      </c>
      <c r="J1336" s="22">
        <v>38475</v>
      </c>
      <c r="K1336">
        <v>1</v>
      </c>
      <c r="L1336">
        <v>7</v>
      </c>
      <c r="M1336" s="21">
        <f ca="1">LEFT(Music_Data[[#This Row],[Duration_minutes]],3)/60</f>
        <v>3.8166666666666669</v>
      </c>
      <c r="N1336" s="17">
        <v>5.79E-3</v>
      </c>
      <c r="O1336" s="17" t="str">
        <f ca="1">PROPER(Music_Data[[#This Row],[Playlist_subgenre2]])</f>
        <v>Pop Punk</v>
      </c>
    </row>
    <row r="1337" spans="1:15">
      <c r="A1337" s="17">
        <v>0.96</v>
      </c>
      <c r="B1337" s="21">
        <v>125</v>
      </c>
      <c r="C1337" s="16">
        <v>0.35599999999999998</v>
      </c>
      <c r="D1337" s="16" t="str">
        <f ca="1">PROPER(Music_Data[[#This Row],[Playlist_genre2]])</f>
        <v>Punk</v>
      </c>
      <c r="E1337" s="17">
        <v>8.5699999999999998E-2</v>
      </c>
      <c r="F1337" t="s">
        <v>9038</v>
      </c>
      <c r="G1337">
        <v>76</v>
      </c>
      <c r="H1337" t="s">
        <v>9267</v>
      </c>
      <c r="I1337" t="s">
        <v>9573</v>
      </c>
      <c r="J1337" s="22">
        <v>38146</v>
      </c>
      <c r="K1337">
        <v>1</v>
      </c>
      <c r="L1337">
        <v>4</v>
      </c>
      <c r="M1337" s="21">
        <f ca="1">LEFT(Music_Data[[#This Row],[Duration_minutes]],3)/60</f>
        <v>3.4</v>
      </c>
      <c r="N1337" s="17">
        <v>1.4200000000000001E-2</v>
      </c>
      <c r="O1337" s="17" t="str">
        <f ca="1">PROPER(Music_Data[[#This Row],[Playlist_subgenre2]])</f>
        <v>Pop Punk</v>
      </c>
    </row>
    <row r="1338" spans="1:15">
      <c r="A1338" s="17">
        <v>0.78100000000000003</v>
      </c>
      <c r="B1338" s="21">
        <v>110</v>
      </c>
      <c r="C1338" s="16">
        <v>0.65500000000000003</v>
      </c>
      <c r="D1338" s="16" t="str">
        <f ca="1">PROPER(Music_Data[[#This Row],[Playlist_genre2]])</f>
        <v>Punk</v>
      </c>
      <c r="E1338" s="17">
        <v>0.58399999999999996</v>
      </c>
      <c r="F1338" t="s">
        <v>9389</v>
      </c>
      <c r="G1338">
        <v>75</v>
      </c>
      <c r="H1338" t="s">
        <v>9267</v>
      </c>
      <c r="I1338" t="s">
        <v>9428</v>
      </c>
      <c r="J1338" s="22">
        <v>37622</v>
      </c>
      <c r="K1338">
        <v>1</v>
      </c>
      <c r="L1338">
        <v>11</v>
      </c>
      <c r="M1338" s="21">
        <f ca="1">LEFT(Music_Data[[#This Row],[Duration_minutes]],3)/60</f>
        <v>3.7833333333333332</v>
      </c>
      <c r="N1338" s="17">
        <v>1.0300000000000001E-3</v>
      </c>
      <c r="O1338" s="17" t="str">
        <f ca="1">PROPER(Music_Data[[#This Row],[Playlist_subgenre2]])</f>
        <v>Pop Punk</v>
      </c>
    </row>
    <row r="1339" spans="1:15">
      <c r="A1339" s="17">
        <v>0.96099999999999997</v>
      </c>
      <c r="B1339" s="21">
        <v>114</v>
      </c>
      <c r="C1339" s="16">
        <v>0.621</v>
      </c>
      <c r="D1339" s="16" t="str">
        <f ca="1">PROPER(Music_Data[[#This Row],[Playlist_genre2]])</f>
        <v>Punk</v>
      </c>
      <c r="E1339" s="17">
        <v>0.44900000000000001</v>
      </c>
      <c r="F1339" t="s">
        <v>9512</v>
      </c>
      <c r="G1339">
        <v>75</v>
      </c>
      <c r="H1339" t="s">
        <v>9267</v>
      </c>
      <c r="I1339" t="s">
        <v>9617</v>
      </c>
      <c r="J1339" s="22">
        <v>38475</v>
      </c>
      <c r="K1339">
        <v>0</v>
      </c>
      <c r="L1339">
        <v>11</v>
      </c>
      <c r="M1339" s="21">
        <f ca="1">LEFT(Music_Data[[#This Row],[Duration_minutes]],3)/60</f>
        <v>3</v>
      </c>
      <c r="N1339" s="17">
        <v>5.2300000000000003E-3</v>
      </c>
      <c r="O1339" s="17" t="str">
        <f ca="1">PROPER(Music_Data[[#This Row],[Playlist_subgenre2]])</f>
        <v>Pop Punk</v>
      </c>
    </row>
    <row r="1340" spans="1:15">
      <c r="A1340" s="17">
        <v>0.93899999999999995</v>
      </c>
      <c r="B1340" s="21">
        <v>177</v>
      </c>
      <c r="C1340" s="16">
        <v>0.49399999999999999</v>
      </c>
      <c r="D1340" s="16" t="str">
        <f ca="1">PROPER(Music_Data[[#This Row],[Playlist_genre2]])</f>
        <v>Punk</v>
      </c>
      <c r="E1340" s="17">
        <v>0.89300000000000002</v>
      </c>
      <c r="F1340" t="s">
        <v>9355</v>
      </c>
      <c r="G1340">
        <v>75</v>
      </c>
      <c r="H1340" t="s">
        <v>9267</v>
      </c>
      <c r="I1340" t="s">
        <v>9361</v>
      </c>
      <c r="J1340" s="22">
        <v>37533</v>
      </c>
      <c r="K1340">
        <v>1</v>
      </c>
      <c r="L1340">
        <v>1</v>
      </c>
      <c r="M1340" s="21">
        <f ca="1">LEFT(Music_Data[[#This Row],[Duration_minutes]],3)/60</f>
        <v>2.9166666666666665</v>
      </c>
      <c r="N1340" s="17">
        <v>6.6600000000000001E-3</v>
      </c>
      <c r="O1340" s="17" t="str">
        <f ca="1">PROPER(Music_Data[[#This Row],[Playlist_subgenre2]])</f>
        <v>Pop Punk</v>
      </c>
    </row>
    <row r="1341" spans="1:15">
      <c r="A1341" s="17">
        <v>0.96499999999999997</v>
      </c>
      <c r="B1341" s="21">
        <v>112</v>
      </c>
      <c r="C1341" s="16">
        <v>0.40300000000000002</v>
      </c>
      <c r="D1341" s="16" t="str">
        <f ca="1">PROPER(Music_Data[[#This Row],[Playlist_genre2]])</f>
        <v>Punk</v>
      </c>
      <c r="E1341" s="17">
        <v>0.43099999999999999</v>
      </c>
      <c r="F1341" t="s">
        <v>9639</v>
      </c>
      <c r="G1341">
        <v>75</v>
      </c>
      <c r="H1341" t="s">
        <v>9267</v>
      </c>
      <c r="I1341" t="s">
        <v>9645</v>
      </c>
      <c r="J1341" s="22">
        <v>41107</v>
      </c>
      <c r="K1341">
        <v>1</v>
      </c>
      <c r="L1341">
        <v>6</v>
      </c>
      <c r="M1341" s="21">
        <f ca="1">LEFT(Music_Data[[#This Row],[Duration_minutes]],3)/60</f>
        <v>3.9333333333333331</v>
      </c>
      <c r="N1341" s="17">
        <v>3.8099999999999998E-5</v>
      </c>
      <c r="O1341" s="17" t="str">
        <f ca="1">PROPER(Music_Data[[#This Row],[Playlist_subgenre2]])</f>
        <v>Pop Punk</v>
      </c>
    </row>
    <row r="1342" spans="1:15">
      <c r="A1342" s="17">
        <v>0.93200000000000005</v>
      </c>
      <c r="B1342" s="21">
        <v>929</v>
      </c>
      <c r="C1342" s="16">
        <v>0.54500000000000004</v>
      </c>
      <c r="D1342" s="16" t="str">
        <f ca="1">PROPER(Music_Data[[#This Row],[Playlist_genre2]])</f>
        <v>Punk</v>
      </c>
      <c r="E1342" s="17">
        <v>0.46400000000000002</v>
      </c>
      <c r="F1342" t="s">
        <v>9493</v>
      </c>
      <c r="G1342">
        <v>75</v>
      </c>
      <c r="H1342" t="s">
        <v>9267</v>
      </c>
      <c r="I1342" t="s">
        <v>9499</v>
      </c>
      <c r="J1342" s="22">
        <v>38718</v>
      </c>
      <c r="K1342">
        <v>0</v>
      </c>
      <c r="L1342">
        <v>7</v>
      </c>
      <c r="M1342" s="21">
        <f ca="1">LEFT(Music_Data[[#This Row],[Duration_minutes]],3)/60</f>
        <v>3.2</v>
      </c>
      <c r="N1342" s="17">
        <v>6.6500000000000001E-4</v>
      </c>
      <c r="O1342" s="17" t="str">
        <f ca="1">PROPER(Music_Data[[#This Row],[Playlist_subgenre2]])</f>
        <v>Pop Punk</v>
      </c>
    </row>
    <row r="1343" spans="1:15">
      <c r="A1343" s="17">
        <v>0.92800000000000005</v>
      </c>
      <c r="B1343" s="21">
        <v>955</v>
      </c>
      <c r="C1343" s="16">
        <v>0.57899999999999996</v>
      </c>
      <c r="D1343" s="16" t="str">
        <f ca="1">PROPER(Music_Data[[#This Row],[Playlist_genre2]])</f>
        <v>Punk</v>
      </c>
      <c r="E1343" s="17">
        <v>0.88200000000000001</v>
      </c>
      <c r="F1343" t="s">
        <v>9389</v>
      </c>
      <c r="G1343">
        <v>74</v>
      </c>
      <c r="H1343" t="s">
        <v>9267</v>
      </c>
      <c r="I1343" t="s">
        <v>9602</v>
      </c>
      <c r="J1343" s="22">
        <v>2001</v>
      </c>
      <c r="K1343">
        <v>1</v>
      </c>
      <c r="L1343">
        <v>0</v>
      </c>
      <c r="M1343" s="21">
        <f ca="1">LEFT(Music_Data[[#This Row],[Duration_minutes]],3)/60</f>
        <v>2.85</v>
      </c>
      <c r="N1343" s="17">
        <v>7.1500000000000003E-4</v>
      </c>
      <c r="O1343" s="17" t="str">
        <f ca="1">PROPER(Music_Data[[#This Row],[Playlist_subgenre2]])</f>
        <v>Pop Punk</v>
      </c>
    </row>
    <row r="1344" spans="1:15">
      <c r="A1344" s="17">
        <v>0.94599999999999995</v>
      </c>
      <c r="B1344" s="21">
        <v>103</v>
      </c>
      <c r="C1344" s="16">
        <v>0.49399999999999999</v>
      </c>
      <c r="D1344" s="16" t="str">
        <f ca="1">PROPER(Music_Data[[#This Row],[Playlist_genre2]])</f>
        <v>Punk</v>
      </c>
      <c r="E1344" s="17">
        <v>0.74099999999999999</v>
      </c>
      <c r="F1344" t="s">
        <v>9473</v>
      </c>
      <c r="G1344">
        <v>74</v>
      </c>
      <c r="H1344" t="s">
        <v>9267</v>
      </c>
      <c r="I1344" t="s">
        <v>9479</v>
      </c>
      <c r="J1344" s="22">
        <v>36213</v>
      </c>
      <c r="K1344">
        <v>1</v>
      </c>
      <c r="L1344">
        <v>4</v>
      </c>
      <c r="M1344" s="21">
        <f ca="1">LEFT(Music_Data[[#This Row],[Duration_minutes]],3)/60</f>
        <v>2.8166666666666669</v>
      </c>
      <c r="N1344" s="17">
        <v>1.2899999999999999E-3</v>
      </c>
      <c r="O1344" s="17" t="str">
        <f ca="1">PROPER(Music_Data[[#This Row],[Playlist_subgenre2]])</f>
        <v>Pop Punk</v>
      </c>
    </row>
    <row r="1345" spans="1:15">
      <c r="A1345" s="17">
        <v>0.94</v>
      </c>
      <c r="B1345" s="21">
        <v>179</v>
      </c>
      <c r="C1345" s="16">
        <v>0.21</v>
      </c>
      <c r="D1345" s="16" t="str">
        <f ca="1">PROPER(Music_Data[[#This Row],[Playlist_genre2]])</f>
        <v>Punk</v>
      </c>
      <c r="E1345" s="17">
        <v>0.255</v>
      </c>
      <c r="F1345" t="s">
        <v>9038</v>
      </c>
      <c r="G1345">
        <v>74</v>
      </c>
      <c r="H1345" t="s">
        <v>9267</v>
      </c>
      <c r="I1345" t="s">
        <v>9557</v>
      </c>
      <c r="J1345" s="22">
        <v>38146</v>
      </c>
      <c r="K1345">
        <v>1</v>
      </c>
      <c r="L1345">
        <v>9</v>
      </c>
      <c r="M1345" s="21">
        <f ca="1">LEFT(Music_Data[[#This Row],[Duration_minutes]],3)/60</f>
        <v>3.1</v>
      </c>
      <c r="N1345" s="17">
        <v>6.0200000000000002E-3</v>
      </c>
      <c r="O1345" s="17" t="str">
        <f ca="1">PROPER(Music_Data[[#This Row],[Playlist_subgenre2]])</f>
        <v>Pop Punk</v>
      </c>
    </row>
    <row r="1346" spans="1:15">
      <c r="A1346" s="17">
        <v>0.79600000000000004</v>
      </c>
      <c r="B1346" s="21">
        <v>169</v>
      </c>
      <c r="C1346" s="16">
        <v>0.28899999999999998</v>
      </c>
      <c r="D1346" s="16" t="str">
        <f ca="1">PROPER(Music_Data[[#This Row],[Playlist_genre2]])</f>
        <v>Punk</v>
      </c>
      <c r="E1346" s="17">
        <v>0.33</v>
      </c>
      <c r="F1346" t="s">
        <v>9038</v>
      </c>
      <c r="G1346">
        <v>74</v>
      </c>
      <c r="H1346" t="s">
        <v>9267</v>
      </c>
      <c r="I1346" t="s">
        <v>9045</v>
      </c>
      <c r="J1346" s="22">
        <v>39013</v>
      </c>
      <c r="K1346">
        <v>1</v>
      </c>
      <c r="L1346">
        <v>0</v>
      </c>
      <c r="M1346" s="21">
        <f ca="1">LEFT(Music_Data[[#This Row],[Duration_minutes]],3)/60</f>
        <v>3.9666666666666668</v>
      </c>
      <c r="N1346" s="17">
        <v>8.3700000000000007E-3</v>
      </c>
      <c r="O1346" s="17" t="str">
        <f ca="1">PROPER(Music_Data[[#This Row],[Playlist_subgenre2]])</f>
        <v>Pop Punk</v>
      </c>
    </row>
    <row r="1347" spans="1:15">
      <c r="A1347" s="17">
        <v>0.56299999999999994</v>
      </c>
      <c r="B1347" s="21">
        <v>137</v>
      </c>
      <c r="C1347" s="16">
        <v>0.45200000000000001</v>
      </c>
      <c r="D1347" s="16" t="str">
        <f ca="1">PROPER(Music_Data[[#This Row],[Playlist_genre2]])</f>
        <v>Punk</v>
      </c>
      <c r="E1347" s="17">
        <v>0.20899999999999999</v>
      </c>
      <c r="F1347" t="s">
        <v>8973</v>
      </c>
      <c r="G1347">
        <v>74</v>
      </c>
      <c r="H1347" t="s">
        <v>9267</v>
      </c>
      <c r="I1347" t="s">
        <v>9463</v>
      </c>
      <c r="J1347" s="22">
        <v>40084</v>
      </c>
      <c r="K1347">
        <v>1</v>
      </c>
      <c r="L1347">
        <v>4</v>
      </c>
      <c r="M1347" s="21">
        <f ca="1">LEFT(Music_Data[[#This Row],[Duration_minutes]],3)/60</f>
        <v>4.45</v>
      </c>
      <c r="N1347" s="17">
        <v>0.14399999999999999</v>
      </c>
      <c r="O1347" s="17" t="str">
        <f ca="1">PROPER(Music_Data[[#This Row],[Playlist_subgenre2]])</f>
        <v>Pop Punk</v>
      </c>
    </row>
    <row r="1348" spans="1:15">
      <c r="A1348" s="17">
        <v>0.40600000000000003</v>
      </c>
      <c r="B1348" s="21">
        <v>151</v>
      </c>
      <c r="C1348" s="16">
        <v>0.45700000000000002</v>
      </c>
      <c r="D1348" s="16" t="str">
        <f ca="1">PROPER(Music_Data[[#This Row],[Playlist_genre2]])</f>
        <v>Punk</v>
      </c>
      <c r="E1348" s="17">
        <v>0.20799999999999999</v>
      </c>
      <c r="F1348" t="s">
        <v>7310</v>
      </c>
      <c r="G1348">
        <v>73</v>
      </c>
      <c r="H1348" t="s">
        <v>9267</v>
      </c>
      <c r="I1348" t="s">
        <v>9344</v>
      </c>
      <c r="J1348" s="22">
        <v>37411</v>
      </c>
      <c r="K1348">
        <v>1</v>
      </c>
      <c r="L1348">
        <v>9</v>
      </c>
      <c r="M1348" s="21">
        <f ca="1">LEFT(Music_Data[[#This Row],[Duration_minutes]],3)/60</f>
        <v>3.7166666666666668</v>
      </c>
      <c r="N1348" s="17">
        <v>0.08</v>
      </c>
      <c r="O1348" s="17" t="str">
        <f ca="1">PROPER(Music_Data[[#This Row],[Playlist_subgenre2]])</f>
        <v>Pop Punk</v>
      </c>
    </row>
    <row r="1349" spans="1:15">
      <c r="A1349" s="17">
        <v>0.90600000000000003</v>
      </c>
      <c r="B1349" s="21">
        <v>172</v>
      </c>
      <c r="C1349" s="16">
        <v>0.51700000000000002</v>
      </c>
      <c r="D1349" s="16" t="str">
        <f ca="1">PROPER(Music_Data[[#This Row],[Playlist_genre2]])</f>
        <v>Punk</v>
      </c>
      <c r="E1349" s="17">
        <v>0.73099999999999998</v>
      </c>
      <c r="F1349" t="s">
        <v>8973</v>
      </c>
      <c r="G1349">
        <v>73</v>
      </c>
      <c r="H1349" t="s">
        <v>9267</v>
      </c>
      <c r="I1349" t="s">
        <v>9319</v>
      </c>
      <c r="J1349" s="22">
        <v>39244</v>
      </c>
      <c r="K1349">
        <v>1</v>
      </c>
      <c r="L1349">
        <v>1</v>
      </c>
      <c r="M1349" s="21">
        <f ca="1">LEFT(Music_Data[[#This Row],[Duration_minutes]],3)/60</f>
        <v>3.5166666666666666</v>
      </c>
      <c r="N1349" s="17">
        <v>2.7200000000000002E-3</v>
      </c>
      <c r="O1349" s="17" t="str">
        <f ca="1">PROPER(Music_Data[[#This Row],[Playlist_subgenre2]])</f>
        <v>Pop Punk</v>
      </c>
    </row>
    <row r="1350" spans="1:15">
      <c r="A1350" s="17">
        <v>0.81799999999999995</v>
      </c>
      <c r="B1350" s="21">
        <v>119</v>
      </c>
      <c r="C1350" s="16">
        <v>0.69499999999999995</v>
      </c>
      <c r="D1350" s="16" t="str">
        <f ca="1">PROPER(Music_Data[[#This Row],[Playlist_genre2]])</f>
        <v>Punk</v>
      </c>
      <c r="E1350" s="17">
        <v>0.91600000000000004</v>
      </c>
      <c r="F1350" t="s">
        <v>8973</v>
      </c>
      <c r="G1350">
        <v>73</v>
      </c>
      <c r="H1350" t="s">
        <v>9267</v>
      </c>
      <c r="I1350" t="s">
        <v>9565</v>
      </c>
      <c r="J1350" s="22">
        <v>42867</v>
      </c>
      <c r="K1350">
        <v>0</v>
      </c>
      <c r="L1350">
        <v>5</v>
      </c>
      <c r="M1350" s="21">
        <f ca="1">LEFT(Music_Data[[#This Row],[Duration_minutes]],3)/60</f>
        <v>3.0333333333333332</v>
      </c>
      <c r="N1350" s="17">
        <v>6.4700000000000001E-3</v>
      </c>
      <c r="O1350" s="17" t="str">
        <f ca="1">PROPER(Music_Data[[#This Row],[Playlist_subgenre2]])</f>
        <v>Pop Punk</v>
      </c>
    </row>
    <row r="1351" spans="1:15">
      <c r="A1351" s="17">
        <v>0.91400000000000003</v>
      </c>
      <c r="B1351" s="21">
        <v>196</v>
      </c>
      <c r="C1351" s="16">
        <v>0.40300000000000002</v>
      </c>
      <c r="D1351" s="16" t="str">
        <f ca="1">PROPER(Music_Data[[#This Row],[Playlist_genre2]])</f>
        <v>Punk</v>
      </c>
      <c r="E1351" s="17">
        <v>0.626</v>
      </c>
      <c r="F1351" t="s">
        <v>9526</v>
      </c>
      <c r="G1351">
        <v>73</v>
      </c>
      <c r="H1351" t="s">
        <v>9267</v>
      </c>
      <c r="I1351" t="s">
        <v>9532</v>
      </c>
      <c r="J1351" s="22">
        <v>36892</v>
      </c>
      <c r="K1351">
        <v>1</v>
      </c>
      <c r="L1351">
        <v>9</v>
      </c>
      <c r="M1351" s="21">
        <f ca="1">LEFT(Music_Data[[#This Row],[Duration_minutes]],3)/60</f>
        <v>2.9666666666666668</v>
      </c>
      <c r="N1351" s="17">
        <v>5.7899999999999998E-4</v>
      </c>
      <c r="O1351" s="17" t="str">
        <f ca="1">PROPER(Music_Data[[#This Row],[Playlist_subgenre2]])</f>
        <v>Pop Punk</v>
      </c>
    </row>
    <row r="1352" spans="1:15">
      <c r="A1352" s="17">
        <v>0.75</v>
      </c>
      <c r="B1352" s="21">
        <v>118</v>
      </c>
      <c r="C1352" s="16">
        <v>0.77400000000000002</v>
      </c>
      <c r="D1352" s="16" t="str">
        <f ca="1">PROPER(Music_Data[[#This Row],[Playlist_genre2]])</f>
        <v>Punk</v>
      </c>
      <c r="E1352" s="17">
        <v>0.92700000000000005</v>
      </c>
      <c r="F1352" t="s">
        <v>9304</v>
      </c>
      <c r="G1352">
        <v>72</v>
      </c>
      <c r="H1352" t="s">
        <v>9267</v>
      </c>
      <c r="I1352" t="s">
        <v>9310</v>
      </c>
      <c r="J1352" s="22">
        <v>37622</v>
      </c>
      <c r="K1352">
        <v>0</v>
      </c>
      <c r="L1352">
        <v>11</v>
      </c>
      <c r="M1352" s="21">
        <f ca="1">LEFT(Music_Data[[#This Row],[Duration_minutes]],3)/60</f>
        <v>3.2833333333333332</v>
      </c>
      <c r="N1352" s="17">
        <v>2.0699999999999998E-3</v>
      </c>
      <c r="O1352" s="17" t="str">
        <f ca="1">PROPER(Music_Data[[#This Row],[Playlist_subgenre2]])</f>
        <v>Pop Punk</v>
      </c>
    </row>
    <row r="1353" spans="1:15">
      <c r="A1353" s="17">
        <v>0.88300000000000001</v>
      </c>
      <c r="B1353" s="21">
        <v>122</v>
      </c>
      <c r="C1353" s="16">
        <v>0.46700000000000003</v>
      </c>
      <c r="D1353" s="16" t="str">
        <f ca="1">PROPER(Music_Data[[#This Row],[Playlist_genre2]])</f>
        <v>Punk</v>
      </c>
      <c r="E1353" s="17">
        <v>0.309</v>
      </c>
      <c r="F1353" t="s">
        <v>9038</v>
      </c>
      <c r="G1353">
        <v>72</v>
      </c>
      <c r="H1353" t="s">
        <v>9267</v>
      </c>
      <c r="I1353" t="s">
        <v>9579</v>
      </c>
      <c r="J1353" s="22">
        <v>39013</v>
      </c>
      <c r="K1353">
        <v>0</v>
      </c>
      <c r="L1353">
        <v>2</v>
      </c>
      <c r="M1353" s="21">
        <f ca="1">LEFT(Music_Data[[#This Row],[Duration_minutes]],3)/60</f>
        <v>4.9833333333333334</v>
      </c>
      <c r="N1353" s="17">
        <v>3.21E-4</v>
      </c>
      <c r="O1353" s="17" t="str">
        <f ca="1">PROPER(Music_Data[[#This Row],[Playlist_subgenre2]])</f>
        <v>Pop Punk</v>
      </c>
    </row>
    <row r="1354" spans="1:15">
      <c r="A1354" s="17">
        <v>0.83</v>
      </c>
      <c r="B1354" s="21">
        <v>170</v>
      </c>
      <c r="C1354" s="16">
        <v>0.56899999999999995</v>
      </c>
      <c r="D1354" s="16" t="str">
        <f ca="1">PROPER(Music_Data[[#This Row],[Playlist_genre2]])</f>
        <v>Punk</v>
      </c>
      <c r="E1354" s="17">
        <v>0.60899999999999999</v>
      </c>
      <c r="F1354" t="s">
        <v>9380</v>
      </c>
      <c r="G1354">
        <v>72</v>
      </c>
      <c r="H1354" t="s">
        <v>9267</v>
      </c>
      <c r="I1354" t="s">
        <v>9386</v>
      </c>
      <c r="J1354" s="22">
        <v>38622</v>
      </c>
      <c r="K1354">
        <v>0</v>
      </c>
      <c r="L1354">
        <v>9</v>
      </c>
      <c r="M1354" s="21">
        <f ca="1">LEFT(Music_Data[[#This Row],[Duration_minutes]],3)/60</f>
        <v>3.1</v>
      </c>
      <c r="N1354" s="17">
        <v>8.0699999999999994E-2</v>
      </c>
      <c r="O1354" s="17" t="str">
        <f ca="1">PROPER(Music_Data[[#This Row],[Playlist_subgenre2]])</f>
        <v>Pop Punk</v>
      </c>
    </row>
    <row r="1355" spans="1:15">
      <c r="A1355" s="17">
        <v>0.92600000000000005</v>
      </c>
      <c r="B1355" s="21">
        <v>149</v>
      </c>
      <c r="C1355" s="16">
        <v>0.57799999999999996</v>
      </c>
      <c r="D1355" s="16" t="str">
        <f ca="1">PROPER(Music_Data[[#This Row],[Playlist_genre2]])</f>
        <v>Punk</v>
      </c>
      <c r="E1355" s="17">
        <v>0.877</v>
      </c>
      <c r="F1355" t="s">
        <v>7310</v>
      </c>
      <c r="G1355">
        <v>71</v>
      </c>
      <c r="H1355" t="s">
        <v>9267</v>
      </c>
      <c r="I1355" t="s">
        <v>9420</v>
      </c>
      <c r="J1355" s="22">
        <v>40610</v>
      </c>
      <c r="K1355">
        <v>0</v>
      </c>
      <c r="L1355">
        <v>6</v>
      </c>
      <c r="M1355" s="21">
        <f ca="1">LEFT(Music_Data[[#This Row],[Duration_minutes]],3)/60</f>
        <v>3.6666666666666665</v>
      </c>
      <c r="N1355" s="17">
        <v>4.7200000000000002E-3</v>
      </c>
      <c r="O1355" s="17" t="str">
        <f ca="1">PROPER(Music_Data[[#This Row],[Playlist_subgenre2]])</f>
        <v>Pop Punk</v>
      </c>
    </row>
    <row r="1356" spans="1:15">
      <c r="A1356" s="17">
        <v>0.77500000000000002</v>
      </c>
      <c r="B1356" s="21">
        <v>136</v>
      </c>
      <c r="C1356" s="16">
        <v>0.52</v>
      </c>
      <c r="D1356" s="16" t="str">
        <f ca="1">PROPER(Music_Data[[#This Row],[Playlist_genre2]])</f>
        <v>Punk</v>
      </c>
      <c r="E1356" s="17">
        <v>0.38300000000000001</v>
      </c>
      <c r="F1356" t="s">
        <v>9389</v>
      </c>
      <c r="G1356">
        <v>71</v>
      </c>
      <c r="H1356" t="s">
        <v>9267</v>
      </c>
      <c r="I1356" t="s">
        <v>9638</v>
      </c>
      <c r="J1356" s="22">
        <v>36312</v>
      </c>
      <c r="K1356">
        <v>1</v>
      </c>
      <c r="L1356">
        <v>0</v>
      </c>
      <c r="M1356" s="21">
        <f ca="1">LEFT(Music_Data[[#This Row],[Duration_minutes]],3)/60</f>
        <v>4.1500000000000004</v>
      </c>
      <c r="N1356" s="17">
        <v>3.4000000000000002E-2</v>
      </c>
      <c r="O1356" s="17" t="str">
        <f ca="1">PROPER(Music_Data[[#This Row],[Playlist_subgenre2]])</f>
        <v>Pop Punk</v>
      </c>
    </row>
    <row r="1357" spans="1:15">
      <c r="A1357" s="17">
        <v>0.89300000000000002</v>
      </c>
      <c r="B1357" s="21">
        <v>104</v>
      </c>
      <c r="C1357" s="16">
        <v>0.61</v>
      </c>
      <c r="D1357" s="16" t="str">
        <f ca="1">PROPER(Music_Data[[#This Row],[Playlist_genre2]])</f>
        <v>Punk</v>
      </c>
      <c r="E1357" s="17">
        <v>0.67300000000000004</v>
      </c>
      <c r="F1357" t="s">
        <v>8973</v>
      </c>
      <c r="G1357">
        <v>71</v>
      </c>
      <c r="H1357" t="s">
        <v>9267</v>
      </c>
      <c r="I1357" t="s">
        <v>9369</v>
      </c>
      <c r="J1357" s="22">
        <v>41369</v>
      </c>
      <c r="K1357">
        <v>1</v>
      </c>
      <c r="L1357">
        <v>9</v>
      </c>
      <c r="M1357" s="21">
        <f ca="1">LEFT(Music_Data[[#This Row],[Duration_minutes]],3)/60</f>
        <v>4.9333333333333336</v>
      </c>
      <c r="N1357" s="17">
        <v>0.154</v>
      </c>
      <c r="O1357" s="17" t="str">
        <f ca="1">PROPER(Music_Data[[#This Row],[Playlist_subgenre2]])</f>
        <v>Pop Punk</v>
      </c>
    </row>
    <row r="1358" spans="1:15">
      <c r="A1358" s="17">
        <v>0.87</v>
      </c>
      <c r="B1358" s="21">
        <v>164</v>
      </c>
      <c r="C1358" s="16">
        <v>0.28000000000000003</v>
      </c>
      <c r="D1358" s="16" t="str">
        <f ca="1">PROPER(Music_Data[[#This Row],[Playlist_genre2]])</f>
        <v>Punk</v>
      </c>
      <c r="E1358" s="17">
        <v>0.28399999999999997</v>
      </c>
      <c r="F1358" t="s">
        <v>8973</v>
      </c>
      <c r="G1358">
        <v>71</v>
      </c>
      <c r="H1358" t="s">
        <v>9267</v>
      </c>
      <c r="I1358" t="s">
        <v>8976</v>
      </c>
      <c r="J1358" s="22">
        <v>39756</v>
      </c>
      <c r="K1358">
        <v>0</v>
      </c>
      <c r="L1358">
        <v>10</v>
      </c>
      <c r="M1358" s="21">
        <f ca="1">LEFT(Music_Data[[#This Row],[Duration_minutes]],3)/60</f>
        <v>4.3499999999999996</v>
      </c>
      <c r="N1358" s="17">
        <v>6.8599999999999998E-4</v>
      </c>
      <c r="O1358" s="17" t="str">
        <f ca="1">PROPER(Music_Data[[#This Row],[Playlist_subgenre2]])</f>
        <v>Pop Punk</v>
      </c>
    </row>
    <row r="1359" spans="1:15">
      <c r="A1359" s="17">
        <v>0.90400000000000003</v>
      </c>
      <c r="B1359" s="21">
        <v>173</v>
      </c>
      <c r="C1359" s="16">
        <v>0.48599999999999999</v>
      </c>
      <c r="D1359" s="16" t="str">
        <f ca="1">PROPER(Music_Data[[#This Row],[Playlist_genre2]])</f>
        <v>Punk</v>
      </c>
      <c r="E1359" s="17">
        <v>0.78600000000000003</v>
      </c>
      <c r="F1359" t="s">
        <v>9483</v>
      </c>
      <c r="G1359">
        <v>71</v>
      </c>
      <c r="H1359" t="s">
        <v>9267</v>
      </c>
      <c r="I1359" t="s">
        <v>9487</v>
      </c>
      <c r="J1359" s="22">
        <v>37622</v>
      </c>
      <c r="K1359">
        <v>0</v>
      </c>
      <c r="L1359">
        <v>6</v>
      </c>
      <c r="M1359" s="21">
        <f ca="1">LEFT(Music_Data[[#This Row],[Duration_minutes]],3)/60</f>
        <v>3.3</v>
      </c>
      <c r="N1359" s="17">
        <v>3.43E-5</v>
      </c>
      <c r="O1359" s="17" t="str">
        <f ca="1">PROPER(Music_Data[[#This Row],[Playlist_subgenre2]])</f>
        <v>Pop Punk</v>
      </c>
    </row>
    <row r="1360" spans="1:15">
      <c r="A1360" s="17">
        <v>0.93600000000000005</v>
      </c>
      <c r="B1360" s="21">
        <v>170</v>
      </c>
      <c r="C1360" s="16">
        <v>0.41399999999999998</v>
      </c>
      <c r="D1360" s="16" t="str">
        <f ca="1">PROPER(Music_Data[[#This Row],[Playlist_genre2]])</f>
        <v>Punk</v>
      </c>
      <c r="E1360" s="17">
        <v>0.74</v>
      </c>
      <c r="F1360" t="s">
        <v>7310</v>
      </c>
      <c r="G1360">
        <v>70</v>
      </c>
      <c r="H1360" t="s">
        <v>9267</v>
      </c>
      <c r="I1360" t="s">
        <v>9351</v>
      </c>
      <c r="J1360" s="22">
        <v>2004</v>
      </c>
      <c r="K1360">
        <v>1</v>
      </c>
      <c r="L1360">
        <v>2</v>
      </c>
      <c r="M1360" s="21">
        <f ca="1">LEFT(Music_Data[[#This Row],[Duration_minutes]],3)/60</f>
        <v>4.0333333333333332</v>
      </c>
      <c r="N1360" s="17">
        <v>1.3600000000000001E-3</v>
      </c>
      <c r="O1360" s="17" t="str">
        <f ca="1">PROPER(Music_Data[[#This Row],[Playlist_subgenre2]])</f>
        <v>Pop Punk</v>
      </c>
    </row>
    <row r="1361" spans="1:15">
      <c r="A1361" s="17">
        <v>0.68200000000000005</v>
      </c>
      <c r="B1361" s="21">
        <v>167</v>
      </c>
      <c r="C1361" s="16">
        <v>0.496</v>
      </c>
      <c r="D1361" s="16" t="str">
        <f ca="1">PROPER(Music_Data[[#This Row],[Playlist_genre2]])</f>
        <v>Punk</v>
      </c>
      <c r="E1361" s="17">
        <v>0.47399999999999998</v>
      </c>
      <c r="F1361" t="s">
        <v>867</v>
      </c>
      <c r="G1361">
        <v>70</v>
      </c>
      <c r="H1361" t="s">
        <v>9267</v>
      </c>
      <c r="I1361" t="s">
        <v>9439</v>
      </c>
      <c r="J1361" s="22">
        <v>43056</v>
      </c>
      <c r="K1361">
        <v>1</v>
      </c>
      <c r="L1361">
        <v>8</v>
      </c>
      <c r="M1361" s="21">
        <f ca="1">LEFT(Music_Data[[#This Row],[Duration_minutes]],3)/60</f>
        <v>4.3666666666666663</v>
      </c>
      <c r="N1361" s="17">
        <v>5.5199999999999997E-3</v>
      </c>
      <c r="O1361" s="17" t="str">
        <f ca="1">PROPER(Music_Data[[#This Row],[Playlist_subgenre2]])</f>
        <v>Pop Punk</v>
      </c>
    </row>
    <row r="1362" spans="1:15">
      <c r="A1362" s="17">
        <v>0.88600000000000001</v>
      </c>
      <c r="B1362" s="21">
        <v>145</v>
      </c>
      <c r="C1362" s="16">
        <v>0.20200000000000001</v>
      </c>
      <c r="D1362" s="16" t="str">
        <f ca="1">PROPER(Music_Data[[#This Row],[Playlist_genre2]])</f>
        <v>Punk</v>
      </c>
      <c r="E1362" s="17">
        <v>0.192</v>
      </c>
      <c r="F1362" t="s">
        <v>9038</v>
      </c>
      <c r="G1362">
        <v>70</v>
      </c>
      <c r="H1362" t="s">
        <v>9267</v>
      </c>
      <c r="I1362" t="s">
        <v>9596</v>
      </c>
      <c r="J1362" s="22">
        <v>38146</v>
      </c>
      <c r="K1362">
        <v>0</v>
      </c>
      <c r="L1362">
        <v>11</v>
      </c>
      <c r="M1362" s="21">
        <f ca="1">LEFT(Music_Data[[#This Row],[Duration_minutes]],3)/60</f>
        <v>3.2333333333333334</v>
      </c>
      <c r="N1362" s="17">
        <v>2.86E-2</v>
      </c>
      <c r="O1362" s="17" t="str">
        <f ca="1">PROPER(Music_Data[[#This Row],[Playlist_subgenre2]])</f>
        <v>Pop Punk</v>
      </c>
    </row>
    <row r="1363" spans="1:15">
      <c r="A1363" s="17">
        <v>0.95399999999999996</v>
      </c>
      <c r="B1363" s="21">
        <v>143</v>
      </c>
      <c r="C1363" s="16">
        <v>0.46500000000000002</v>
      </c>
      <c r="D1363" s="16" t="str">
        <f ca="1">PROPER(Music_Data[[#This Row],[Playlist_genre2]])</f>
        <v>Punk</v>
      </c>
      <c r="E1363" s="17">
        <v>0.45800000000000002</v>
      </c>
      <c r="F1363" t="s">
        <v>9271</v>
      </c>
      <c r="G1363">
        <v>70</v>
      </c>
      <c r="H1363" t="s">
        <v>9267</v>
      </c>
      <c r="I1363" t="s">
        <v>9277</v>
      </c>
      <c r="J1363" s="22">
        <v>38353</v>
      </c>
      <c r="K1363">
        <v>1</v>
      </c>
      <c r="L1363">
        <v>10</v>
      </c>
      <c r="M1363" s="21">
        <f ca="1">LEFT(Music_Data[[#This Row],[Duration_minutes]],3)/60</f>
        <v>3.2166666666666668</v>
      </c>
      <c r="N1363" s="17">
        <v>3.4600000000000001E-4</v>
      </c>
      <c r="O1363" s="17" t="str">
        <f ca="1">PROPER(Music_Data[[#This Row],[Playlist_subgenre2]])</f>
        <v>Pop Punk</v>
      </c>
    </row>
    <row r="1364" spans="1:15">
      <c r="A1364" s="17">
        <v>0.95899999999999996</v>
      </c>
      <c r="B1364" s="21">
        <v>193</v>
      </c>
      <c r="C1364" s="16">
        <v>0.40899999999999997</v>
      </c>
      <c r="D1364" s="16" t="str">
        <f ca="1">PROPER(Music_Data[[#This Row],[Playlist_genre2]])</f>
        <v>Punk</v>
      </c>
      <c r="E1364" s="17">
        <v>0.83</v>
      </c>
      <c r="F1364" t="s">
        <v>9389</v>
      </c>
      <c r="G1364">
        <v>69</v>
      </c>
      <c r="H1364" t="s">
        <v>9267</v>
      </c>
      <c r="I1364" t="s">
        <v>9624</v>
      </c>
      <c r="J1364" s="22">
        <v>2001</v>
      </c>
      <c r="K1364">
        <v>1</v>
      </c>
      <c r="L1364">
        <v>9</v>
      </c>
      <c r="M1364" s="21">
        <f ca="1">LEFT(Music_Data[[#This Row],[Duration_minutes]],3)/60</f>
        <v>2.85</v>
      </c>
      <c r="N1364" s="17">
        <v>3.2400000000000001E-4</v>
      </c>
      <c r="O1364" s="17" t="str">
        <f ca="1">PROPER(Music_Data[[#This Row],[Playlist_subgenre2]])</f>
        <v>Pop Punk</v>
      </c>
    </row>
    <row r="1365" spans="1:15">
      <c r="A1365" s="17">
        <v>0.88700000000000001</v>
      </c>
      <c r="B1365" s="21">
        <v>119</v>
      </c>
      <c r="C1365" s="16">
        <v>0.60599999999999998</v>
      </c>
      <c r="D1365" s="16" t="str">
        <f ca="1">PROPER(Music_Data[[#This Row],[Playlist_genre2]])</f>
        <v>Punk</v>
      </c>
      <c r="E1365" s="17">
        <v>0.90300000000000002</v>
      </c>
      <c r="F1365" t="s">
        <v>9297</v>
      </c>
      <c r="G1365">
        <v>69</v>
      </c>
      <c r="H1365" t="s">
        <v>9267</v>
      </c>
      <c r="I1365" s="46">
        <v>1985</v>
      </c>
      <c r="J1365" s="22">
        <v>2004</v>
      </c>
      <c r="K1365">
        <v>1</v>
      </c>
      <c r="L1365">
        <v>4</v>
      </c>
      <c r="M1365" s="21">
        <f ca="1">LEFT(Music_Data[[#This Row],[Duration_minutes]],3)/60</f>
        <v>3.2166666666666668</v>
      </c>
      <c r="N1365" s="17">
        <v>2.42E-4</v>
      </c>
      <c r="O1365" s="17" t="str">
        <f ca="1">PROPER(Music_Data[[#This Row],[Playlist_subgenre2]])</f>
        <v>Pop Punk</v>
      </c>
    </row>
    <row r="1366" spans="1:15">
      <c r="A1366" s="17">
        <v>0.88300000000000001</v>
      </c>
      <c r="B1366" s="21">
        <v>934</v>
      </c>
      <c r="C1366" s="16">
        <v>0.45</v>
      </c>
      <c r="D1366" s="16" t="str">
        <f ca="1">PROPER(Music_Data[[#This Row],[Playlist_genre2]])</f>
        <v>Punk</v>
      </c>
      <c r="E1366" s="17">
        <v>0.32800000000000001</v>
      </c>
      <c r="F1366" t="s">
        <v>9324</v>
      </c>
      <c r="G1366">
        <v>69</v>
      </c>
      <c r="H1366" t="s">
        <v>9267</v>
      </c>
      <c r="I1366" t="s">
        <v>9330</v>
      </c>
      <c r="J1366" s="22">
        <v>38718</v>
      </c>
      <c r="K1366">
        <v>1</v>
      </c>
      <c r="L1366">
        <v>7</v>
      </c>
      <c r="M1366" s="21">
        <f ca="1">LEFT(Music_Data[[#This Row],[Duration_minutes]],3)/60</f>
        <v>3.5666666666666669</v>
      </c>
      <c r="N1366" s="17">
        <v>1.9300000000000001E-3</v>
      </c>
      <c r="O1366" s="17" t="str">
        <f ca="1">PROPER(Music_Data[[#This Row],[Playlist_subgenre2]])</f>
        <v>Pop Punk</v>
      </c>
    </row>
    <row r="1367" spans="1:15">
      <c r="A1367" s="17">
        <v>0.82699999999999996</v>
      </c>
      <c r="B1367" s="21">
        <v>167</v>
      </c>
      <c r="C1367" s="16">
        <v>0.28999999999999998</v>
      </c>
      <c r="D1367" s="16" t="str">
        <f ca="1">PROPER(Music_Data[[#This Row],[Playlist_genre2]])</f>
        <v>Punk</v>
      </c>
      <c r="E1367" s="17">
        <v>0.45</v>
      </c>
      <c r="F1367" t="s">
        <v>867</v>
      </c>
      <c r="G1367">
        <v>69</v>
      </c>
      <c r="H1367" t="s">
        <v>9267</v>
      </c>
      <c r="I1367" t="s">
        <v>9630</v>
      </c>
      <c r="J1367" s="22">
        <v>38251</v>
      </c>
      <c r="K1367">
        <v>1</v>
      </c>
      <c r="L1367">
        <v>8</v>
      </c>
      <c r="M1367" s="21">
        <f ca="1">LEFT(Music_Data[[#This Row],[Duration_minutes]],3)/60</f>
        <v>8.2166666666666668</v>
      </c>
      <c r="N1367" s="17">
        <v>6.5899999999999997E-4</v>
      </c>
      <c r="O1367" s="17" t="str">
        <f ca="1">PROPER(Music_Data[[#This Row],[Playlist_subgenre2]])</f>
        <v>Pop Punk</v>
      </c>
    </row>
    <row r="1368" spans="1:15">
      <c r="A1368" s="17">
        <v>0.69099999999999995</v>
      </c>
      <c r="B1368" s="21">
        <v>100</v>
      </c>
      <c r="C1368" s="16">
        <v>0.71799999999999997</v>
      </c>
      <c r="D1368" s="16" t="str">
        <f ca="1">PROPER(Music_Data[[#This Row],[Playlist_genre2]])</f>
        <v>Punk</v>
      </c>
      <c r="E1368" s="17">
        <v>0.55200000000000005</v>
      </c>
      <c r="F1368" t="s">
        <v>9271</v>
      </c>
      <c r="G1368">
        <v>69</v>
      </c>
      <c r="H1368" t="s">
        <v>9267</v>
      </c>
      <c r="I1368" t="s">
        <v>9295</v>
      </c>
      <c r="J1368" s="22">
        <v>39448</v>
      </c>
      <c r="K1368">
        <v>1</v>
      </c>
      <c r="L1368">
        <v>4</v>
      </c>
      <c r="M1368" s="21">
        <f ca="1">LEFT(Music_Data[[#This Row],[Duration_minutes]],3)/60</f>
        <v>3.55</v>
      </c>
      <c r="N1368" s="17">
        <v>1.5900000000000001E-2</v>
      </c>
      <c r="O1368" s="17" t="str">
        <f ca="1">PROPER(Music_Data[[#This Row],[Playlist_subgenre2]])</f>
        <v>Pop Punk</v>
      </c>
    </row>
    <row r="1369" spans="1:15">
      <c r="A1369" s="17">
        <v>0.873</v>
      </c>
      <c r="B1369" s="21">
        <v>143</v>
      </c>
      <c r="C1369" s="16">
        <v>0.308</v>
      </c>
      <c r="D1369" s="16" t="str">
        <f ca="1">PROPER(Music_Data[[#This Row],[Playlist_genre2]])</f>
        <v>Punk</v>
      </c>
      <c r="E1369" s="17">
        <v>0.68600000000000005</v>
      </c>
      <c r="F1369" t="s">
        <v>9502</v>
      </c>
      <c r="G1369">
        <v>68</v>
      </c>
      <c r="H1369" t="s">
        <v>9267</v>
      </c>
      <c r="I1369" t="s">
        <v>9508</v>
      </c>
      <c r="J1369" s="22">
        <v>38874</v>
      </c>
      <c r="K1369">
        <v>1</v>
      </c>
      <c r="L1369">
        <v>8</v>
      </c>
      <c r="M1369" s="21">
        <f ca="1">LEFT(Music_Data[[#This Row],[Duration_minutes]],3)/60</f>
        <v>3.4333333333333331</v>
      </c>
      <c r="N1369" s="17">
        <v>2.2000000000000001E-4</v>
      </c>
      <c r="O1369" s="17" t="str">
        <f ca="1">PROPER(Music_Data[[#This Row],[Playlist_subgenre2]])</f>
        <v>Pop Punk</v>
      </c>
    </row>
    <row r="1370" spans="1:15">
      <c r="A1370" s="17">
        <v>0.74399999999999999</v>
      </c>
      <c r="B1370" s="21">
        <v>119</v>
      </c>
      <c r="C1370" s="16">
        <v>0.628</v>
      </c>
      <c r="D1370" s="16" t="str">
        <f ca="1">PROPER(Music_Data[[#This Row],[Playlist_genre2]])</f>
        <v>Punk</v>
      </c>
      <c r="E1370" s="17">
        <v>0.27700000000000002</v>
      </c>
      <c r="F1370" t="s">
        <v>9465</v>
      </c>
      <c r="G1370">
        <v>68</v>
      </c>
      <c r="H1370" t="s">
        <v>9267</v>
      </c>
      <c r="I1370" t="s">
        <v>9471</v>
      </c>
      <c r="J1370" s="22">
        <v>43651</v>
      </c>
      <c r="K1370">
        <v>1</v>
      </c>
      <c r="L1370">
        <v>7</v>
      </c>
      <c r="M1370" s="21">
        <f ca="1">LEFT(Music_Data[[#This Row],[Duration_minutes]],3)/60</f>
        <v>2.8166666666666669</v>
      </c>
      <c r="N1370" s="17">
        <v>2.5700000000000001E-2</v>
      </c>
      <c r="O1370" s="17" t="str">
        <f ca="1">PROPER(Music_Data[[#This Row],[Playlist_subgenre2]])</f>
        <v>Pop Punk</v>
      </c>
    </row>
    <row r="1371" spans="1:15">
      <c r="A1371" s="17">
        <v>0.98599999999999999</v>
      </c>
      <c r="B1371" s="21">
        <v>165</v>
      </c>
      <c r="C1371" s="16">
        <v>0.41099999999999998</v>
      </c>
      <c r="D1371" s="16" t="str">
        <f ca="1">PROPER(Music_Data[[#This Row],[Playlist_genre2]])</f>
        <v>Punk</v>
      </c>
      <c r="E1371" s="17">
        <v>0.64900000000000002</v>
      </c>
      <c r="F1371" t="s">
        <v>9038</v>
      </c>
      <c r="G1371">
        <v>68</v>
      </c>
      <c r="H1371" t="s">
        <v>9267</v>
      </c>
      <c r="I1371" t="s">
        <v>9588</v>
      </c>
      <c r="J1371" s="22">
        <v>40487</v>
      </c>
      <c r="K1371">
        <v>0</v>
      </c>
      <c r="L1371">
        <v>8</v>
      </c>
      <c r="M1371" s="21">
        <f ca="1">LEFT(Music_Data[[#This Row],[Duration_minutes]],3)/60</f>
        <v>3.4166666666666665</v>
      </c>
      <c r="N1371" s="17">
        <v>2.6400000000000002E-4</v>
      </c>
      <c r="O1371" s="17" t="str">
        <f ca="1">PROPER(Music_Data[[#This Row],[Playlist_subgenre2]])</f>
        <v>Pop Punk</v>
      </c>
    </row>
    <row r="1372" spans="1:15">
      <c r="A1372" s="17">
        <v>0.92500000000000004</v>
      </c>
      <c r="B1372" s="21">
        <v>159</v>
      </c>
      <c r="C1372" s="16">
        <v>0.47199999999999998</v>
      </c>
      <c r="D1372" s="16" t="str">
        <f ca="1">PROPER(Music_Data[[#This Row],[Playlist_genre2]])</f>
        <v>Punk</v>
      </c>
      <c r="E1372" s="17">
        <v>0.33800000000000002</v>
      </c>
      <c r="F1372" t="s">
        <v>9649</v>
      </c>
      <c r="G1372">
        <v>68</v>
      </c>
      <c r="H1372" t="s">
        <v>9267</v>
      </c>
      <c r="I1372" t="s">
        <v>9654</v>
      </c>
      <c r="J1372" s="22">
        <v>41107</v>
      </c>
      <c r="K1372">
        <v>0</v>
      </c>
      <c r="L1372">
        <v>6</v>
      </c>
      <c r="M1372" s="21">
        <f ca="1">LEFT(Music_Data[[#This Row],[Duration_minutes]],3)/60</f>
        <v>4.45</v>
      </c>
      <c r="N1372" s="17">
        <v>3.9399999999999998E-4</v>
      </c>
      <c r="O1372" s="17" t="str">
        <f ca="1">PROPER(Music_Data[[#This Row],[Playlist_subgenre2]])</f>
        <v>Pop Punk</v>
      </c>
    </row>
    <row r="1373" spans="1:15">
      <c r="A1373" s="17">
        <v>0.82299999999999995</v>
      </c>
      <c r="B1373" s="21">
        <v>879</v>
      </c>
      <c r="C1373" s="16">
        <v>0.69299999999999995</v>
      </c>
      <c r="D1373" s="16" t="str">
        <f ca="1">PROPER(Music_Data[[#This Row],[Playlist_genre2]])</f>
        <v>Punk</v>
      </c>
      <c r="E1373" s="17">
        <v>0.74099999999999999</v>
      </c>
      <c r="F1373" t="s">
        <v>9448</v>
      </c>
      <c r="G1373">
        <v>68</v>
      </c>
      <c r="H1373" t="s">
        <v>9267</v>
      </c>
      <c r="I1373" t="s">
        <v>9454</v>
      </c>
      <c r="J1373" s="22">
        <v>38482</v>
      </c>
      <c r="K1373">
        <v>1</v>
      </c>
      <c r="L1373">
        <v>5</v>
      </c>
      <c r="M1373" s="21">
        <f ca="1">LEFT(Music_Data[[#This Row],[Duration_minutes]],3)/60</f>
        <v>3.2666666666666666</v>
      </c>
      <c r="N1373" s="17">
        <v>9.3200000000000005E-2</v>
      </c>
      <c r="O1373" s="17" t="str">
        <f ca="1">PROPER(Music_Data[[#This Row],[Playlist_subgenre2]])</f>
        <v>Pop Punk</v>
      </c>
    </row>
    <row r="1374" spans="1:15">
      <c r="A1374" s="17">
        <v>0.54500000000000004</v>
      </c>
      <c r="B1374" s="21">
        <v>159</v>
      </c>
      <c r="C1374" s="16">
        <v>0.54500000000000004</v>
      </c>
      <c r="D1374" s="16" t="str">
        <f ca="1">PROPER(Music_Data[[#This Row],[Playlist_genre2]])</f>
        <v>R&amp;B</v>
      </c>
      <c r="E1374" s="17">
        <v>0.54900000000000004</v>
      </c>
      <c r="F1374" t="s">
        <v>3769</v>
      </c>
      <c r="G1374">
        <v>87</v>
      </c>
      <c r="H1374" t="s">
        <v>3761</v>
      </c>
      <c r="I1374" t="s">
        <v>3775</v>
      </c>
      <c r="J1374" s="22">
        <v>42602</v>
      </c>
      <c r="K1374">
        <v>1</v>
      </c>
      <c r="L1374">
        <v>9</v>
      </c>
      <c r="M1374" s="21">
        <f ca="1">LEFT(Music_Data[[#This Row],[Duration_minutes]],3)/60</f>
        <v>3.0666666666666669</v>
      </c>
      <c r="N1374" s="17">
        <v>0.66700000000000004</v>
      </c>
      <c r="O1374" s="17" t="str">
        <f ca="1">PROPER(Music_Data[[#This Row],[Playlist_subgenre2]])</f>
        <v>Modern</v>
      </c>
    </row>
    <row r="1375" spans="1:15">
      <c r="A1375" s="17">
        <v>0.55100000000000005</v>
      </c>
      <c r="B1375" s="21">
        <v>143</v>
      </c>
      <c r="C1375" s="16">
        <v>0.55900000000000005</v>
      </c>
      <c r="D1375" s="16" t="str">
        <f ca="1">PROPER(Music_Data[[#This Row],[Playlist_genre2]])</f>
        <v>R&amp;B</v>
      </c>
      <c r="E1375" s="17">
        <v>0.39200000000000002</v>
      </c>
      <c r="F1375" t="s">
        <v>3807</v>
      </c>
      <c r="G1375">
        <v>86</v>
      </c>
      <c r="H1375" t="s">
        <v>3761</v>
      </c>
      <c r="I1375" t="s">
        <v>3813</v>
      </c>
      <c r="J1375" s="22">
        <v>44904</v>
      </c>
      <c r="K1375">
        <v>1</v>
      </c>
      <c r="L1375">
        <v>5</v>
      </c>
      <c r="M1375" s="21">
        <f ca="1">LEFT(Music_Data[[#This Row],[Duration_minutes]],3)/60</f>
        <v>3.35</v>
      </c>
      <c r="N1375" s="17">
        <v>0.14099999999999999</v>
      </c>
      <c r="O1375" s="17" t="str">
        <f ca="1">PROPER(Music_Data[[#This Row],[Playlist_subgenre2]])</f>
        <v>Modern</v>
      </c>
    </row>
    <row r="1376" spans="1:15">
      <c r="A1376" s="17">
        <v>0.73499999999999999</v>
      </c>
      <c r="B1376" s="21">
        <v>889</v>
      </c>
      <c r="C1376" s="16">
        <v>0.64400000000000002</v>
      </c>
      <c r="D1376" s="16" t="str">
        <f ca="1">PROPER(Music_Data[[#This Row],[Playlist_genre2]])</f>
        <v>R&amp;B</v>
      </c>
      <c r="E1376" s="17">
        <v>0.41799999999999998</v>
      </c>
      <c r="F1376" t="s">
        <v>3807</v>
      </c>
      <c r="G1376">
        <v>86</v>
      </c>
      <c r="H1376" t="s">
        <v>3761</v>
      </c>
      <c r="I1376" t="s">
        <v>3955</v>
      </c>
      <c r="J1376" s="22">
        <v>44903</v>
      </c>
      <c r="K1376">
        <v>1</v>
      </c>
      <c r="L1376">
        <v>8</v>
      </c>
      <c r="M1376" s="21">
        <f ca="1">LEFT(Music_Data[[#This Row],[Duration_minutes]],3)/60</f>
        <v>2.5499999999999998</v>
      </c>
      <c r="N1376" s="17">
        <v>5.21E-2</v>
      </c>
      <c r="O1376" s="17" t="str">
        <f ca="1">PROPER(Music_Data[[#This Row],[Playlist_subgenre2]])</f>
        <v>Modern</v>
      </c>
    </row>
    <row r="1377" spans="1:15">
      <c r="A1377" s="17">
        <v>0.60699999999999998</v>
      </c>
      <c r="B1377" s="21">
        <v>810</v>
      </c>
      <c r="C1377" s="16">
        <v>0.68400000000000005</v>
      </c>
      <c r="D1377" s="16" t="str">
        <f ca="1">PROPER(Music_Data[[#This Row],[Playlist_genre2]])</f>
        <v>R&amp;B</v>
      </c>
      <c r="E1377" s="17">
        <v>0.498</v>
      </c>
      <c r="F1377" t="s">
        <v>3799</v>
      </c>
      <c r="G1377">
        <v>85</v>
      </c>
      <c r="H1377" t="s">
        <v>3761</v>
      </c>
      <c r="I1377" t="s">
        <v>3805</v>
      </c>
      <c r="J1377" s="22">
        <v>40508</v>
      </c>
      <c r="K1377">
        <v>0</v>
      </c>
      <c r="L1377">
        <v>11</v>
      </c>
      <c r="M1377" s="21">
        <f ca="1">LEFT(Music_Data[[#This Row],[Duration_minutes]],3)/60</f>
        <v>3.25</v>
      </c>
      <c r="N1377" s="17">
        <v>2.6700000000000002E-2</v>
      </c>
      <c r="O1377" s="17" t="str">
        <f ca="1">PROPER(Music_Data[[#This Row],[Playlist_subgenre2]])</f>
        <v>Modern</v>
      </c>
    </row>
    <row r="1378" spans="1:15">
      <c r="A1378" s="17">
        <v>0.36399999999999999</v>
      </c>
      <c r="B1378" s="21">
        <v>752</v>
      </c>
      <c r="C1378" s="16">
        <v>0.52400000000000002</v>
      </c>
      <c r="D1378" s="16" t="str">
        <f ca="1">PROPER(Music_Data[[#This Row],[Playlist_genre2]])</f>
        <v>R&amp;B</v>
      </c>
      <c r="E1378" s="17">
        <v>0.436</v>
      </c>
      <c r="F1378" t="s">
        <v>3781</v>
      </c>
      <c r="G1378">
        <v>84</v>
      </c>
      <c r="H1378" t="s">
        <v>3761</v>
      </c>
      <c r="I1378" t="s">
        <v>3787</v>
      </c>
      <c r="J1378" s="22">
        <v>42972</v>
      </c>
      <c r="K1378">
        <v>1</v>
      </c>
      <c r="L1378">
        <v>7</v>
      </c>
      <c r="M1378" s="21">
        <f ca="1">LEFT(Music_Data[[#This Row],[Duration_minutes]],3)/60</f>
        <v>3.4833333333333334</v>
      </c>
      <c r="N1378" s="17">
        <v>0.80800000000000005</v>
      </c>
      <c r="O1378" s="17" t="str">
        <f ca="1">PROPER(Music_Data[[#This Row],[Playlist_subgenre2]])</f>
        <v>Modern</v>
      </c>
    </row>
    <row r="1379" spans="1:15">
      <c r="A1379" s="17">
        <v>0.28399999999999997</v>
      </c>
      <c r="B1379" s="21">
        <v>997</v>
      </c>
      <c r="C1379" s="16">
        <v>0.35799999999999998</v>
      </c>
      <c r="D1379" s="16" t="str">
        <f ca="1">PROPER(Music_Data[[#This Row],[Playlist_genre2]])</f>
        <v>R&amp;B</v>
      </c>
      <c r="E1379" s="17">
        <v>0.27600000000000002</v>
      </c>
      <c r="F1379" t="s">
        <v>3807</v>
      </c>
      <c r="G1379">
        <v>84</v>
      </c>
      <c r="H1379" t="s">
        <v>3761</v>
      </c>
      <c r="I1379" t="s">
        <v>3912</v>
      </c>
      <c r="J1379" s="22">
        <v>44904</v>
      </c>
      <c r="K1379">
        <v>1</v>
      </c>
      <c r="L1379">
        <v>7</v>
      </c>
      <c r="M1379" s="21">
        <f ca="1">LEFT(Music_Data[[#This Row],[Duration_minutes]],3)/60</f>
        <v>3</v>
      </c>
      <c r="N1379" s="17">
        <v>0.80500000000000005</v>
      </c>
      <c r="O1379" s="17" t="str">
        <f ca="1">PROPER(Music_Data[[#This Row],[Playlist_subgenre2]])</f>
        <v>Modern</v>
      </c>
    </row>
    <row r="1380" spans="1:15">
      <c r="A1380" s="17">
        <v>0.44400000000000001</v>
      </c>
      <c r="B1380" s="21">
        <v>118</v>
      </c>
      <c r="C1380" s="16">
        <v>0.60899999999999999</v>
      </c>
      <c r="D1380" s="16" t="str">
        <f ca="1">PROPER(Music_Data[[#This Row],[Playlist_genre2]])</f>
        <v>R&amp;B</v>
      </c>
      <c r="E1380" s="17">
        <v>0.16600000000000001</v>
      </c>
      <c r="F1380" t="s">
        <v>3815</v>
      </c>
      <c r="G1380">
        <v>81</v>
      </c>
      <c r="H1380" t="s">
        <v>3761</v>
      </c>
      <c r="I1380" t="s">
        <v>3821</v>
      </c>
      <c r="J1380" s="22">
        <v>37957</v>
      </c>
      <c r="K1380">
        <v>1</v>
      </c>
      <c r="L1380">
        <v>7</v>
      </c>
      <c r="M1380" s="21">
        <f ca="1">LEFT(Music_Data[[#This Row],[Duration_minutes]],3)/60</f>
        <v>3.8</v>
      </c>
      <c r="N1380" s="17">
        <v>0.60299999999999998</v>
      </c>
      <c r="O1380" s="17" t="str">
        <f ca="1">PROPER(Music_Data[[#This Row],[Playlist_subgenre2]])</f>
        <v>Modern</v>
      </c>
    </row>
    <row r="1381" spans="1:15">
      <c r="A1381" s="17">
        <v>0.307</v>
      </c>
      <c r="B1381" s="21">
        <v>929</v>
      </c>
      <c r="C1381" s="16">
        <v>0.81</v>
      </c>
      <c r="D1381" s="16" t="str">
        <f ca="1">PROPER(Music_Data[[#This Row],[Playlist_genre2]])</f>
        <v>R&amp;B</v>
      </c>
      <c r="E1381" s="17">
        <v>0.69699999999999995</v>
      </c>
      <c r="F1381" t="s">
        <v>3825</v>
      </c>
      <c r="G1381">
        <v>80</v>
      </c>
      <c r="H1381" t="s">
        <v>3761</v>
      </c>
      <c r="I1381" t="s">
        <v>3874</v>
      </c>
      <c r="J1381" s="22">
        <v>45226</v>
      </c>
      <c r="K1381">
        <v>1</v>
      </c>
      <c r="L1381">
        <v>9</v>
      </c>
      <c r="M1381" s="21">
        <f ca="1">LEFT(Music_Data[[#This Row],[Duration_minutes]],3)/60</f>
        <v>13.75</v>
      </c>
      <c r="N1381" s="17">
        <v>0.16</v>
      </c>
      <c r="O1381" s="17" t="str">
        <f ca="1">PROPER(Music_Data[[#This Row],[Playlist_subgenre2]])</f>
        <v>Modern</v>
      </c>
    </row>
    <row r="1382" spans="1:15">
      <c r="A1382" s="17">
        <v>0.68400000000000005</v>
      </c>
      <c r="B1382" s="21">
        <v>112</v>
      </c>
      <c r="C1382" s="16">
        <v>0.69199999999999995</v>
      </c>
      <c r="D1382" s="16" t="str">
        <f ca="1">PROPER(Music_Data[[#This Row],[Playlist_genre2]])</f>
        <v>R&amp;B</v>
      </c>
      <c r="E1382" s="17">
        <v>0.40600000000000003</v>
      </c>
      <c r="F1382" t="s">
        <v>3807</v>
      </c>
      <c r="G1382">
        <v>80</v>
      </c>
      <c r="H1382" t="s">
        <v>3761</v>
      </c>
      <c r="I1382" t="s">
        <v>3860</v>
      </c>
      <c r="J1382" s="22">
        <v>42895</v>
      </c>
      <c r="K1382">
        <v>1</v>
      </c>
      <c r="L1382">
        <v>6</v>
      </c>
      <c r="M1382" s="21">
        <f ca="1">LEFT(Music_Data[[#This Row],[Duration_minutes]],3)/60</f>
        <v>3.85</v>
      </c>
      <c r="N1382" s="17">
        <v>0.13100000000000001</v>
      </c>
      <c r="O1382" s="17" t="str">
        <f ca="1">PROPER(Music_Data[[#This Row],[Playlist_subgenre2]])</f>
        <v>Modern</v>
      </c>
    </row>
    <row r="1383" spans="1:15">
      <c r="A1383" s="17">
        <v>0.58599999999999997</v>
      </c>
      <c r="B1383" s="21">
        <v>782</v>
      </c>
      <c r="C1383" s="16">
        <v>0.434</v>
      </c>
      <c r="D1383" s="16" t="str">
        <f ca="1">PROPER(Music_Data[[#This Row],[Playlist_genre2]])</f>
        <v>R&amp;B</v>
      </c>
      <c r="E1383" s="17">
        <v>0.23899999999999999</v>
      </c>
      <c r="F1383" t="s">
        <v>3757</v>
      </c>
      <c r="G1383">
        <v>80</v>
      </c>
      <c r="H1383" t="s">
        <v>3761</v>
      </c>
      <c r="I1383" t="s">
        <v>3764</v>
      </c>
      <c r="J1383" s="22">
        <v>44903</v>
      </c>
      <c r="K1383">
        <v>1</v>
      </c>
      <c r="L1383">
        <v>9</v>
      </c>
      <c r="M1383" s="21">
        <f ca="1">LEFT(Music_Data[[#This Row],[Duration_minutes]],3)/60</f>
        <v>3.9833333333333334</v>
      </c>
      <c r="N1383" s="17">
        <v>0.753</v>
      </c>
      <c r="O1383" s="17" t="str">
        <f ca="1">PROPER(Music_Data[[#This Row],[Playlist_subgenre2]])</f>
        <v>Modern</v>
      </c>
    </row>
    <row r="1384" spans="1:15">
      <c r="A1384" s="17">
        <v>0.23899999999999999</v>
      </c>
      <c r="B1384" s="21">
        <v>113</v>
      </c>
      <c r="C1384" s="16">
        <v>0.372</v>
      </c>
      <c r="D1384" s="16" t="str">
        <f ca="1">PROPER(Music_Data[[#This Row],[Playlist_genre2]])</f>
        <v>R&amp;B</v>
      </c>
      <c r="E1384" s="17">
        <v>0.127</v>
      </c>
      <c r="F1384" t="s">
        <v>3799</v>
      </c>
      <c r="G1384">
        <v>79</v>
      </c>
      <c r="H1384" t="s">
        <v>3761</v>
      </c>
      <c r="I1384" t="s">
        <v>3866</v>
      </c>
      <c r="J1384" s="22">
        <v>40508</v>
      </c>
      <c r="K1384">
        <v>0</v>
      </c>
      <c r="L1384">
        <v>6</v>
      </c>
      <c r="M1384" s="21">
        <f ca="1">LEFT(Music_Data[[#This Row],[Duration_minutes]],3)/60</f>
        <v>1.7</v>
      </c>
      <c r="N1384" s="17">
        <v>0.85599999999999998</v>
      </c>
      <c r="O1384" s="17" t="str">
        <f ca="1">PROPER(Music_Data[[#This Row],[Playlist_subgenre2]])</f>
        <v>Modern</v>
      </c>
    </row>
    <row r="1385" spans="1:15">
      <c r="A1385" s="17">
        <v>0.50700000000000001</v>
      </c>
      <c r="B1385" s="21">
        <v>864</v>
      </c>
      <c r="C1385" s="16">
        <v>0.66200000000000003</v>
      </c>
      <c r="D1385" s="16" t="str">
        <f ca="1">PROPER(Music_Data[[#This Row],[Playlist_genre2]])</f>
        <v>R&amp;B</v>
      </c>
      <c r="E1385" s="17">
        <v>0.67600000000000005</v>
      </c>
      <c r="F1385" t="s">
        <v>3790</v>
      </c>
      <c r="G1385">
        <v>79</v>
      </c>
      <c r="H1385" t="s">
        <v>3761</v>
      </c>
      <c r="I1385" t="s">
        <v>3796</v>
      </c>
      <c r="J1385" s="22">
        <v>38069</v>
      </c>
      <c r="K1385">
        <v>1</v>
      </c>
      <c r="L1385">
        <v>5</v>
      </c>
      <c r="M1385" s="21">
        <f ca="1">LEFT(Music_Data[[#This Row],[Duration_minutes]],3)/60</f>
        <v>3.7166666666666668</v>
      </c>
      <c r="N1385" s="17">
        <v>0.25700000000000001</v>
      </c>
      <c r="O1385" s="17" t="str">
        <f ca="1">PROPER(Music_Data[[#This Row],[Playlist_subgenre2]])</f>
        <v>Modern</v>
      </c>
    </row>
    <row r="1386" spans="1:15">
      <c r="A1386" s="17">
        <v>0.39400000000000002</v>
      </c>
      <c r="B1386" s="21">
        <v>117</v>
      </c>
      <c r="C1386" s="16">
        <v>0.68899999999999995</v>
      </c>
      <c r="D1386" s="16" t="str">
        <f ca="1">PROPER(Music_Data[[#This Row],[Playlist_genre2]])</f>
        <v>R&amp;B</v>
      </c>
      <c r="E1386" s="17">
        <v>0.38200000000000001</v>
      </c>
      <c r="F1386" t="s">
        <v>3825</v>
      </c>
      <c r="G1386">
        <v>78</v>
      </c>
      <c r="H1386" t="s">
        <v>3761</v>
      </c>
      <c r="I1386" t="s">
        <v>3829</v>
      </c>
      <c r="J1386" s="22">
        <v>42585</v>
      </c>
      <c r="K1386">
        <v>0</v>
      </c>
      <c r="L1386">
        <v>2</v>
      </c>
      <c r="M1386" s="21">
        <f ca="1">LEFT(Music_Data[[#This Row],[Duration_minutes]],3)/60</f>
        <v>3.5333333333333332</v>
      </c>
      <c r="N1386" s="17">
        <v>0.71099999999999997</v>
      </c>
      <c r="O1386" s="17" t="str">
        <f ca="1">PROPER(Music_Data[[#This Row],[Playlist_subgenre2]])</f>
        <v>Modern</v>
      </c>
    </row>
    <row r="1387" spans="1:15">
      <c r="A1387" s="17">
        <v>0.34399999999999997</v>
      </c>
      <c r="B1387" s="21">
        <v>652</v>
      </c>
      <c r="C1387" s="16">
        <v>0.58299999999999996</v>
      </c>
      <c r="D1387" s="16" t="str">
        <f ca="1">PROPER(Music_Data[[#This Row],[Playlist_genre2]])</f>
        <v>R&amp;B</v>
      </c>
      <c r="E1387" s="17">
        <v>0.58099999999999996</v>
      </c>
      <c r="F1387" t="s">
        <v>3825</v>
      </c>
      <c r="G1387">
        <v>78</v>
      </c>
      <c r="H1387" t="s">
        <v>3761</v>
      </c>
      <c r="I1387" t="s">
        <v>3919</v>
      </c>
      <c r="J1387" s="22">
        <v>43868</v>
      </c>
      <c r="K1387">
        <v>1</v>
      </c>
      <c r="L1387">
        <v>2</v>
      </c>
      <c r="M1387" s="21">
        <f ca="1">LEFT(Music_Data[[#This Row],[Duration_minutes]],3)/60</f>
        <v>1.8333333333333333</v>
      </c>
      <c r="N1387" s="17">
        <v>0.77400000000000002</v>
      </c>
      <c r="O1387" s="17" t="str">
        <f ca="1">PROPER(Music_Data[[#This Row],[Playlist_subgenre2]])</f>
        <v>Modern</v>
      </c>
    </row>
    <row r="1388" spans="1:15">
      <c r="A1388" s="17">
        <v>0.55100000000000005</v>
      </c>
      <c r="B1388" s="21">
        <v>928</v>
      </c>
      <c r="C1388" s="16">
        <v>0.91100000000000003</v>
      </c>
      <c r="D1388" s="16" t="str">
        <f ca="1">PROPER(Music_Data[[#This Row],[Playlist_genre2]])</f>
        <v>R&amp;B</v>
      </c>
      <c r="E1388" s="17">
        <v>0.96899999999999997</v>
      </c>
      <c r="F1388" t="s">
        <v>3836</v>
      </c>
      <c r="G1388">
        <v>78</v>
      </c>
      <c r="H1388" t="s">
        <v>3761</v>
      </c>
      <c r="I1388" t="s">
        <v>3843</v>
      </c>
      <c r="J1388" s="22">
        <v>37131</v>
      </c>
      <c r="K1388">
        <v>0</v>
      </c>
      <c r="L1388">
        <v>8</v>
      </c>
      <c r="M1388" s="21">
        <f ca="1">LEFT(Music_Data[[#This Row],[Duration_minutes]],3)/60</f>
        <v>4.416666666666667</v>
      </c>
      <c r="N1388" s="17">
        <v>0.13300000000000001</v>
      </c>
      <c r="O1388" s="17" t="str">
        <f ca="1">PROPER(Music_Data[[#This Row],[Playlist_subgenre2]])</f>
        <v>Modern</v>
      </c>
    </row>
    <row r="1389" spans="1:15">
      <c r="A1389" s="17">
        <v>0.57399999999999995</v>
      </c>
      <c r="B1389" s="21">
        <v>927</v>
      </c>
      <c r="C1389" s="16">
        <v>0.45200000000000001</v>
      </c>
      <c r="D1389" s="16" t="str">
        <f ca="1">PROPER(Music_Data[[#This Row],[Playlist_genre2]])</f>
        <v>R&amp;B</v>
      </c>
      <c r="E1389" s="17">
        <v>0.57799999999999996</v>
      </c>
      <c r="F1389" t="s">
        <v>3921</v>
      </c>
      <c r="G1389">
        <v>78</v>
      </c>
      <c r="H1389" t="s">
        <v>3761</v>
      </c>
      <c r="I1389" t="s">
        <v>3928</v>
      </c>
      <c r="J1389" s="22">
        <v>38718</v>
      </c>
      <c r="K1389">
        <v>1</v>
      </c>
      <c r="L1389">
        <v>6</v>
      </c>
      <c r="M1389" s="21">
        <f ca="1">LEFT(Music_Data[[#This Row],[Duration_minutes]],3)/60</f>
        <v>3.45</v>
      </c>
      <c r="N1389" s="17">
        <v>0.245</v>
      </c>
      <c r="O1389" s="17" t="str">
        <f ca="1">PROPER(Music_Data[[#This Row],[Playlist_subgenre2]])</f>
        <v>Modern</v>
      </c>
    </row>
    <row r="1390" spans="1:15">
      <c r="A1390" s="17">
        <v>0.503</v>
      </c>
      <c r="B1390" s="21">
        <v>137</v>
      </c>
      <c r="C1390" s="16">
        <v>0.64600000000000002</v>
      </c>
      <c r="D1390" s="16" t="str">
        <f ca="1">PROPER(Music_Data[[#This Row],[Playlist_genre2]])</f>
        <v>R&amp;B</v>
      </c>
      <c r="E1390" s="17">
        <v>0.78900000000000003</v>
      </c>
      <c r="F1390" t="s">
        <v>3825</v>
      </c>
      <c r="G1390">
        <v>77</v>
      </c>
      <c r="H1390" t="s">
        <v>3761</v>
      </c>
      <c r="I1390" t="s">
        <v>3962</v>
      </c>
      <c r="J1390" s="22">
        <v>45226</v>
      </c>
      <c r="K1390">
        <v>1</v>
      </c>
      <c r="L1390">
        <v>2</v>
      </c>
      <c r="M1390" s="21">
        <f ca="1">LEFT(Music_Data[[#This Row],[Duration_minutes]],3)/60</f>
        <v>16.05</v>
      </c>
      <c r="N1390" s="17">
        <v>4.2599999999999999E-3</v>
      </c>
      <c r="O1390" s="17" t="str">
        <f ca="1">PROPER(Music_Data[[#This Row],[Playlist_subgenre2]])</f>
        <v>Modern</v>
      </c>
    </row>
    <row r="1391" spans="1:15">
      <c r="A1391" s="17">
        <v>0.68100000000000005</v>
      </c>
      <c r="B1391" s="21">
        <v>171</v>
      </c>
      <c r="C1391" s="16">
        <v>0.67300000000000004</v>
      </c>
      <c r="D1391" s="16" t="str">
        <f ca="1">PROPER(Music_Data[[#This Row],[Playlist_genre2]])</f>
        <v>R&amp;B</v>
      </c>
      <c r="E1391" s="17">
        <v>0.70699999999999996</v>
      </c>
      <c r="F1391" t="s">
        <v>3921</v>
      </c>
      <c r="G1391">
        <v>77</v>
      </c>
      <c r="H1391" t="s">
        <v>3761</v>
      </c>
      <c r="I1391" t="s">
        <v>4076</v>
      </c>
      <c r="J1391" s="22">
        <v>39448</v>
      </c>
      <c r="K1391">
        <v>1</v>
      </c>
      <c r="L1391">
        <v>1</v>
      </c>
      <c r="M1391" s="21">
        <f ca="1">LEFT(Music_Data[[#This Row],[Duration_minutes]],3)/60</f>
        <v>3.8666666666666667</v>
      </c>
      <c r="N1391" s="17">
        <v>0.52</v>
      </c>
      <c r="O1391" s="17" t="str">
        <f ca="1">PROPER(Music_Data[[#This Row],[Playlist_subgenre2]])</f>
        <v>Modern</v>
      </c>
    </row>
    <row r="1392" spans="1:15">
      <c r="A1392" s="17">
        <v>0.55200000000000005</v>
      </c>
      <c r="B1392" s="21">
        <v>168</v>
      </c>
      <c r="C1392" s="16">
        <v>0.72699999999999998</v>
      </c>
      <c r="D1392" s="16" t="str">
        <f ca="1">PROPER(Music_Data[[#This Row],[Playlist_genre2]])</f>
        <v>R&amp;B</v>
      </c>
      <c r="E1392" s="17">
        <v>0.60699999999999998</v>
      </c>
      <c r="F1392" t="s">
        <v>4142</v>
      </c>
      <c r="G1392">
        <v>77</v>
      </c>
      <c r="H1392" t="s">
        <v>3761</v>
      </c>
      <c r="I1392" t="s">
        <v>4148</v>
      </c>
      <c r="J1392" s="22">
        <v>37432</v>
      </c>
      <c r="K1392">
        <v>0</v>
      </c>
      <c r="L1392">
        <v>2</v>
      </c>
      <c r="M1392" s="21">
        <f ca="1">LEFT(Music_Data[[#This Row],[Duration_minutes]],3)/60</f>
        <v>4.8166666666666664</v>
      </c>
      <c r="N1392" s="17">
        <v>0.22600000000000001</v>
      </c>
      <c r="O1392" s="17" t="str">
        <f ca="1">PROPER(Music_Data[[#This Row],[Playlist_subgenre2]])</f>
        <v>Modern</v>
      </c>
    </row>
    <row r="1393" spans="1:15">
      <c r="A1393" s="17">
        <v>0.72099999999999997</v>
      </c>
      <c r="B1393" s="21">
        <v>169</v>
      </c>
      <c r="C1393" s="16">
        <v>0.62</v>
      </c>
      <c r="D1393" s="16" t="str">
        <f ca="1">PROPER(Music_Data[[#This Row],[Playlist_genre2]])</f>
        <v>R&amp;B</v>
      </c>
      <c r="E1393" s="17">
        <v>0.77</v>
      </c>
      <c r="F1393" t="s">
        <v>4184</v>
      </c>
      <c r="G1393">
        <v>77</v>
      </c>
      <c r="H1393" t="s">
        <v>3761</v>
      </c>
      <c r="I1393" t="s">
        <v>4188</v>
      </c>
      <c r="J1393" s="22">
        <v>42867</v>
      </c>
      <c r="K1393">
        <v>0</v>
      </c>
      <c r="L1393">
        <v>4</v>
      </c>
      <c r="M1393" s="21">
        <f ca="1">LEFT(Music_Data[[#This Row],[Duration_minutes]],3)/60</f>
        <v>2.5</v>
      </c>
      <c r="N1393" s="17">
        <v>4.2200000000000001E-2</v>
      </c>
      <c r="O1393" s="17" t="str">
        <f ca="1">PROPER(Music_Data[[#This Row],[Playlist_subgenre2]])</f>
        <v>Modern</v>
      </c>
    </row>
    <row r="1394" spans="1:15">
      <c r="A1394" s="17">
        <v>0.59399999999999997</v>
      </c>
      <c r="B1394" s="21">
        <v>135</v>
      </c>
      <c r="C1394" s="16">
        <v>0.79500000000000004</v>
      </c>
      <c r="D1394" s="16" t="str">
        <f ca="1">PROPER(Music_Data[[#This Row],[Playlist_genre2]])</f>
        <v>R&amp;B</v>
      </c>
      <c r="E1394" s="17">
        <v>0.40899999999999997</v>
      </c>
      <c r="F1394" t="s">
        <v>3757</v>
      </c>
      <c r="G1394">
        <v>77</v>
      </c>
      <c r="H1394" t="s">
        <v>3761</v>
      </c>
      <c r="I1394" t="s">
        <v>4050</v>
      </c>
      <c r="J1394" s="22">
        <v>42895</v>
      </c>
      <c r="K1394">
        <v>1</v>
      </c>
      <c r="L1394">
        <v>0</v>
      </c>
      <c r="M1394" s="21">
        <f ca="1">LEFT(Music_Data[[#This Row],[Duration_minutes]],3)/60</f>
        <v>4.583333333333333</v>
      </c>
      <c r="N1394" s="17">
        <v>0.112</v>
      </c>
      <c r="O1394" s="17" t="str">
        <f ca="1">PROPER(Music_Data[[#This Row],[Playlist_subgenre2]])</f>
        <v>Modern</v>
      </c>
    </row>
    <row r="1395" spans="1:15">
      <c r="A1395" s="17">
        <v>0.60899999999999999</v>
      </c>
      <c r="B1395" s="21">
        <v>959</v>
      </c>
      <c r="C1395" s="16">
        <v>0.65200000000000002</v>
      </c>
      <c r="D1395" s="16" t="str">
        <f ca="1">PROPER(Music_Data[[#This Row],[Playlist_genre2]])</f>
        <v>R&amp;B</v>
      </c>
      <c r="E1395" s="17">
        <v>0.48199999999999998</v>
      </c>
      <c r="F1395" t="s">
        <v>3815</v>
      </c>
      <c r="G1395">
        <v>76</v>
      </c>
      <c r="H1395" t="s">
        <v>3761</v>
      </c>
      <c r="I1395" t="s">
        <v>3903</v>
      </c>
      <c r="J1395" s="22">
        <v>37047</v>
      </c>
      <c r="K1395">
        <v>0</v>
      </c>
      <c r="L1395">
        <v>11</v>
      </c>
      <c r="M1395" s="21">
        <f ca="1">LEFT(Music_Data[[#This Row],[Duration_minutes]],3)/60</f>
        <v>3.5</v>
      </c>
      <c r="N1395" s="17">
        <v>0.26300000000000001</v>
      </c>
      <c r="O1395" s="17" t="str">
        <f ca="1">PROPER(Music_Data[[#This Row],[Playlist_subgenre2]])</f>
        <v>Modern</v>
      </c>
    </row>
    <row r="1396" spans="1:15">
      <c r="A1396" s="17">
        <v>0.55200000000000005</v>
      </c>
      <c r="B1396" s="21">
        <v>900</v>
      </c>
      <c r="C1396" s="16">
        <v>0.64100000000000001</v>
      </c>
      <c r="D1396" s="16" t="str">
        <f ca="1">PROPER(Music_Data[[#This Row],[Playlist_genre2]])</f>
        <v>R&amp;B</v>
      </c>
      <c r="E1396" s="17">
        <v>0.152</v>
      </c>
      <c r="F1396" t="s">
        <v>3815</v>
      </c>
      <c r="G1396">
        <v>76</v>
      </c>
      <c r="H1396" t="s">
        <v>3761</v>
      </c>
      <c r="I1396" t="s">
        <v>3971</v>
      </c>
      <c r="J1396" s="22">
        <v>39364</v>
      </c>
      <c r="K1396">
        <v>0</v>
      </c>
      <c r="L1396">
        <v>1</v>
      </c>
      <c r="M1396" s="21">
        <f ca="1">LEFT(Music_Data[[#This Row],[Duration_minutes]],3)/60</f>
        <v>4.2333333333333334</v>
      </c>
      <c r="N1396" s="17">
        <v>2.7E-2</v>
      </c>
      <c r="O1396" s="17" t="str">
        <f ca="1">PROPER(Music_Data[[#This Row],[Playlist_subgenre2]])</f>
        <v>Modern</v>
      </c>
    </row>
    <row r="1397" spans="1:15">
      <c r="A1397" s="17">
        <v>0.378</v>
      </c>
      <c r="B1397" s="21">
        <v>141</v>
      </c>
      <c r="C1397" s="16">
        <v>0.61699999999999999</v>
      </c>
      <c r="D1397" s="16" t="str">
        <f ca="1">PROPER(Music_Data[[#This Row],[Playlist_genre2]])</f>
        <v>R&amp;B</v>
      </c>
      <c r="E1397" s="17">
        <v>0.22</v>
      </c>
      <c r="F1397" t="s">
        <v>3825</v>
      </c>
      <c r="G1397">
        <v>76</v>
      </c>
      <c r="H1397" t="s">
        <v>3761</v>
      </c>
      <c r="I1397" t="s">
        <v>4014</v>
      </c>
      <c r="J1397" s="22">
        <v>44750</v>
      </c>
      <c r="K1397">
        <v>1</v>
      </c>
      <c r="L1397">
        <v>9</v>
      </c>
      <c r="M1397" s="21">
        <f ca="1">LEFT(Music_Data[[#This Row],[Duration_minutes]],3)/60</f>
        <v>3.6</v>
      </c>
      <c r="N1397" s="17">
        <v>0.42799999999999999</v>
      </c>
      <c r="O1397" s="17" t="str">
        <f ca="1">PROPER(Music_Data[[#This Row],[Playlist_subgenre2]])</f>
        <v>Modern</v>
      </c>
    </row>
    <row r="1398" spans="1:15">
      <c r="A1398" s="17">
        <v>0.61</v>
      </c>
      <c r="B1398" s="21">
        <v>125</v>
      </c>
      <c r="C1398" s="16">
        <v>0.74099999999999999</v>
      </c>
      <c r="D1398" s="16" t="str">
        <f ca="1">PROPER(Music_Data[[#This Row],[Playlist_genre2]])</f>
        <v>R&amp;B</v>
      </c>
      <c r="E1398" s="17">
        <v>0.72</v>
      </c>
      <c r="F1398" t="s">
        <v>13206</v>
      </c>
      <c r="G1398">
        <v>76</v>
      </c>
      <c r="H1398" t="s">
        <v>3761</v>
      </c>
      <c r="I1398" t="s">
        <v>3993</v>
      </c>
      <c r="J1398" s="22">
        <v>43000</v>
      </c>
      <c r="K1398">
        <v>0</v>
      </c>
      <c r="L1398">
        <v>6</v>
      </c>
      <c r="M1398" s="21">
        <f ca="1">LEFT(Music_Data[[#This Row],[Duration_minutes]],3)/60</f>
        <v>4.5999999999999996</v>
      </c>
      <c r="N1398" s="17">
        <v>0.316</v>
      </c>
      <c r="O1398" s="17" t="str">
        <f ca="1">PROPER(Music_Data[[#This Row],[Playlist_subgenre2]])</f>
        <v>Modern</v>
      </c>
    </row>
    <row r="1399" spans="1:15">
      <c r="A1399" s="17">
        <v>0.69799999999999995</v>
      </c>
      <c r="B1399" s="21">
        <v>959</v>
      </c>
      <c r="C1399" s="16">
        <v>0.59</v>
      </c>
      <c r="D1399" s="16" t="str">
        <f ca="1">PROPER(Music_Data[[#This Row],[Playlist_genre2]])</f>
        <v>R&amp;B</v>
      </c>
      <c r="E1399" s="17">
        <v>0.35199999999999998</v>
      </c>
      <c r="F1399" t="s">
        <v>3975</v>
      </c>
      <c r="G1399">
        <v>76</v>
      </c>
      <c r="H1399" t="s">
        <v>3761</v>
      </c>
      <c r="I1399" t="s">
        <v>3981</v>
      </c>
      <c r="J1399" s="22">
        <v>40267</v>
      </c>
      <c r="K1399">
        <v>1</v>
      </c>
      <c r="L1399">
        <v>11</v>
      </c>
      <c r="M1399" s="21">
        <f ca="1">LEFT(Music_Data[[#This Row],[Duration_minutes]],3)/60</f>
        <v>3.7333333333333334</v>
      </c>
      <c r="N1399" s="17">
        <v>1.76E-4</v>
      </c>
      <c r="O1399" s="17" t="str">
        <f ca="1">PROPER(Music_Data[[#This Row],[Playlist_subgenre2]])</f>
        <v>Modern</v>
      </c>
    </row>
    <row r="1400" spans="1:15">
      <c r="A1400" s="17">
        <v>0.5</v>
      </c>
      <c r="B1400" s="21">
        <v>132</v>
      </c>
      <c r="C1400" s="16">
        <v>0.60199999999999998</v>
      </c>
      <c r="D1400" s="16" t="str">
        <f ca="1">PROPER(Music_Data[[#This Row],[Playlist_genre2]])</f>
        <v>R&amp;B</v>
      </c>
      <c r="E1400" s="17">
        <v>0.39500000000000002</v>
      </c>
      <c r="F1400" t="s">
        <v>3825</v>
      </c>
      <c r="G1400">
        <v>75</v>
      </c>
      <c r="H1400" t="s">
        <v>3761</v>
      </c>
      <c r="I1400" t="s">
        <v>4055</v>
      </c>
      <c r="J1400" s="22">
        <v>43868</v>
      </c>
      <c r="K1400">
        <v>1</v>
      </c>
      <c r="L1400">
        <v>8</v>
      </c>
      <c r="M1400" s="21">
        <f ca="1">LEFT(Music_Data[[#This Row],[Duration_minutes]],3)/60</f>
        <v>3.7166666666666668</v>
      </c>
      <c r="N1400" s="17">
        <v>0.47699999999999998</v>
      </c>
      <c r="O1400" s="17" t="str">
        <f ca="1">PROPER(Music_Data[[#This Row],[Playlist_subgenre2]])</f>
        <v>Modern</v>
      </c>
    </row>
    <row r="1401" spans="1:15">
      <c r="A1401" s="17">
        <v>0.39400000000000002</v>
      </c>
      <c r="B1401" s="21">
        <v>920</v>
      </c>
      <c r="C1401" s="16">
        <v>0.76400000000000001</v>
      </c>
      <c r="D1401" s="16" t="str">
        <f ca="1">PROPER(Music_Data[[#This Row],[Playlist_genre2]])</f>
        <v>R&amp;B</v>
      </c>
      <c r="E1401" s="17">
        <v>0.46500000000000002</v>
      </c>
      <c r="F1401" t="s">
        <v>3825</v>
      </c>
      <c r="G1401">
        <v>75</v>
      </c>
      <c r="H1401" t="s">
        <v>3761</v>
      </c>
      <c r="I1401" t="s">
        <v>4137</v>
      </c>
      <c r="J1401" s="22">
        <v>43392</v>
      </c>
      <c r="K1401">
        <v>1</v>
      </c>
      <c r="L1401">
        <v>8</v>
      </c>
      <c r="M1401" s="21">
        <f ca="1">LEFT(Music_Data[[#This Row],[Duration_minutes]],3)/60</f>
        <v>2.6333333333333333</v>
      </c>
      <c r="N1401" s="17">
        <v>0.23100000000000001</v>
      </c>
      <c r="O1401" s="17" t="str">
        <f ca="1">PROPER(Music_Data[[#This Row],[Playlist_subgenre2]])</f>
        <v>Modern</v>
      </c>
    </row>
    <row r="1402" spans="1:15">
      <c r="A1402" s="17">
        <v>0.5</v>
      </c>
      <c r="B1402" s="21">
        <v>135</v>
      </c>
      <c r="C1402" s="16">
        <v>0.85599999999999998</v>
      </c>
      <c r="D1402" s="16" t="str">
        <f ca="1">PROPER(Music_Data[[#This Row],[Playlist_genre2]])</f>
        <v>R&amp;B</v>
      </c>
      <c r="E1402" s="17">
        <v>0.88600000000000001</v>
      </c>
      <c r="F1402" t="s">
        <v>4089</v>
      </c>
      <c r="G1402">
        <v>75</v>
      </c>
      <c r="H1402" t="s">
        <v>3761</v>
      </c>
      <c r="I1402" t="s">
        <v>4094</v>
      </c>
      <c r="J1402" s="22">
        <v>45226</v>
      </c>
      <c r="K1402">
        <v>1</v>
      </c>
      <c r="L1402">
        <v>11</v>
      </c>
      <c r="M1402" s="21">
        <f ca="1">LEFT(Music_Data[[#This Row],[Duration_minutes]],3)/60</f>
        <v>2.95</v>
      </c>
      <c r="N1402" s="17">
        <v>0.48699999999999999</v>
      </c>
      <c r="O1402" s="17" t="str">
        <f ca="1">PROPER(Music_Data[[#This Row],[Playlist_subgenre2]])</f>
        <v>Modern</v>
      </c>
    </row>
    <row r="1403" spans="1:15">
      <c r="A1403" s="17">
        <v>0.35199999999999998</v>
      </c>
      <c r="B1403" s="21">
        <v>102</v>
      </c>
      <c r="C1403" s="16">
        <v>0.45</v>
      </c>
      <c r="D1403" s="16" t="str">
        <f ca="1">PROPER(Music_Data[[#This Row],[Playlist_genre2]])</f>
        <v>R&amp;B</v>
      </c>
      <c r="E1403" s="17">
        <v>0.40799999999999997</v>
      </c>
      <c r="F1403" t="s">
        <v>3879</v>
      </c>
      <c r="G1403">
        <v>75</v>
      </c>
      <c r="H1403" t="s">
        <v>3761</v>
      </c>
      <c r="I1403" t="s">
        <v>3885</v>
      </c>
      <c r="J1403" s="22">
        <v>43707</v>
      </c>
      <c r="K1403">
        <v>0</v>
      </c>
      <c r="L1403">
        <v>1</v>
      </c>
      <c r="M1403" s="21">
        <f ca="1">LEFT(Music_Data[[#This Row],[Duration_minutes]],3)/60</f>
        <v>4.2</v>
      </c>
      <c r="N1403" s="17">
        <v>0.64900000000000002</v>
      </c>
      <c r="O1403" s="17" t="str">
        <f ca="1">PROPER(Music_Data[[#This Row],[Playlist_subgenre2]])</f>
        <v>Modern</v>
      </c>
    </row>
    <row r="1404" spans="1:15">
      <c r="A1404" s="17">
        <v>0.49299999999999999</v>
      </c>
      <c r="B1404" s="21">
        <v>828</v>
      </c>
      <c r="C1404" s="16">
        <v>0.34699999999999998</v>
      </c>
      <c r="D1404" s="16" t="str">
        <f ca="1">PROPER(Music_Data[[#This Row],[Playlist_genre2]])</f>
        <v>R&amp;B</v>
      </c>
      <c r="E1404" s="17">
        <v>0.308</v>
      </c>
      <c r="F1404" t="s">
        <v>13207</v>
      </c>
      <c r="G1404">
        <v>75</v>
      </c>
      <c r="H1404" t="s">
        <v>3761</v>
      </c>
      <c r="I1404" t="s">
        <v>4040</v>
      </c>
      <c r="J1404" s="22">
        <v>41275</v>
      </c>
      <c r="K1404">
        <v>0</v>
      </c>
      <c r="L1404">
        <v>8</v>
      </c>
      <c r="M1404" s="21">
        <f ca="1">LEFT(Music_Data[[#This Row],[Duration_minutes]],3)/60</f>
        <v>6.3666666666666663</v>
      </c>
      <c r="N1404" s="17">
        <v>0.45500000000000002</v>
      </c>
      <c r="O1404" s="17" t="str">
        <f ca="1">PROPER(Music_Data[[#This Row],[Playlist_subgenre2]])</f>
        <v>Modern</v>
      </c>
    </row>
    <row r="1405" spans="1:15">
      <c r="A1405" s="17">
        <v>0.58799999999999997</v>
      </c>
      <c r="B1405" s="21">
        <v>945</v>
      </c>
      <c r="C1405" s="16">
        <v>0.68600000000000005</v>
      </c>
      <c r="D1405" s="16" t="str">
        <f ca="1">PROPER(Music_Data[[#This Row],[Playlist_genre2]])</f>
        <v>R&amp;B</v>
      </c>
      <c r="E1405" s="17">
        <v>0.61699999999999999</v>
      </c>
      <c r="F1405" t="s">
        <v>4080</v>
      </c>
      <c r="G1405">
        <v>75</v>
      </c>
      <c r="H1405" t="s">
        <v>3761</v>
      </c>
      <c r="I1405" t="s">
        <v>4086</v>
      </c>
      <c r="J1405" s="22">
        <v>38061</v>
      </c>
      <c r="K1405">
        <v>0</v>
      </c>
      <c r="L1405">
        <v>7</v>
      </c>
      <c r="M1405" s="21">
        <f ca="1">LEFT(Music_Data[[#This Row],[Duration_minutes]],3)/60</f>
        <v>4.1500000000000004</v>
      </c>
      <c r="N1405" s="17">
        <v>0.17799999999999999</v>
      </c>
      <c r="O1405" s="17" t="str">
        <f ca="1">PROPER(Music_Data[[#This Row],[Playlist_subgenre2]])</f>
        <v>Modern</v>
      </c>
    </row>
    <row r="1406" spans="1:15">
      <c r="A1406" s="17">
        <v>0.69299999999999995</v>
      </c>
      <c r="B1406" s="21">
        <v>860</v>
      </c>
      <c r="C1406" s="16">
        <v>0.66200000000000003</v>
      </c>
      <c r="D1406" s="16" t="str">
        <f ca="1">PROPER(Music_Data[[#This Row],[Playlist_genre2]])</f>
        <v>R&amp;B</v>
      </c>
      <c r="E1406" s="17">
        <v>0.65500000000000003</v>
      </c>
      <c r="F1406" t="s">
        <v>3846</v>
      </c>
      <c r="G1406">
        <v>74</v>
      </c>
      <c r="H1406" t="s">
        <v>3761</v>
      </c>
      <c r="I1406" t="s">
        <v>3853</v>
      </c>
      <c r="J1406" s="22">
        <v>39392</v>
      </c>
      <c r="K1406">
        <v>1</v>
      </c>
      <c r="L1406">
        <v>3</v>
      </c>
      <c r="M1406" s="21">
        <f ca="1">LEFT(Music_Data[[#This Row],[Duration_minutes]],3)/60</f>
        <v>4.2</v>
      </c>
      <c r="N1406" s="17">
        <v>0.13400000000000001</v>
      </c>
      <c r="O1406" s="17" t="str">
        <f ca="1">PROPER(Music_Data[[#This Row],[Playlist_subgenre2]])</f>
        <v>Modern</v>
      </c>
    </row>
    <row r="1407" spans="1:15">
      <c r="A1407" s="17">
        <v>0.53800000000000003</v>
      </c>
      <c r="B1407" s="21">
        <v>109</v>
      </c>
      <c r="C1407" s="16">
        <v>0.81</v>
      </c>
      <c r="D1407" s="16" t="str">
        <f ca="1">PROPER(Music_Data[[#This Row],[Playlist_genre2]])</f>
        <v>R&amp;B</v>
      </c>
      <c r="E1407" s="17">
        <v>0.83199999999999996</v>
      </c>
      <c r="F1407" t="s">
        <v>3921</v>
      </c>
      <c r="G1407">
        <v>74</v>
      </c>
      <c r="H1407" t="s">
        <v>3761</v>
      </c>
      <c r="I1407" t="s">
        <v>4128</v>
      </c>
      <c r="J1407" s="22">
        <v>39083</v>
      </c>
      <c r="K1407">
        <v>0</v>
      </c>
      <c r="L1407">
        <v>0</v>
      </c>
      <c r="M1407" s="21">
        <f ca="1">LEFT(Music_Data[[#This Row],[Duration_minutes]],3)/60</f>
        <v>4.4333333333333336</v>
      </c>
      <c r="N1407" s="17">
        <v>0.53</v>
      </c>
      <c r="O1407" s="17" t="str">
        <f ca="1">PROPER(Music_Data[[#This Row],[Playlist_subgenre2]])</f>
        <v>Modern</v>
      </c>
    </row>
    <row r="1408" spans="1:15">
      <c r="A1408" s="17">
        <v>0.43</v>
      </c>
      <c r="B1408" s="21">
        <v>129</v>
      </c>
      <c r="C1408" s="16">
        <v>0.71599999999999997</v>
      </c>
      <c r="D1408" s="16" t="str">
        <f ca="1">PROPER(Music_Data[[#This Row],[Playlist_genre2]])</f>
        <v>R&amp;B</v>
      </c>
      <c r="E1408" s="17">
        <v>0.47199999999999998</v>
      </c>
      <c r="F1408" t="s">
        <v>4020</v>
      </c>
      <c r="G1408">
        <v>74</v>
      </c>
      <c r="H1408" t="s">
        <v>3761</v>
      </c>
      <c r="I1408" t="s">
        <v>4023</v>
      </c>
      <c r="J1408" s="22">
        <v>45590</v>
      </c>
      <c r="K1408">
        <v>0</v>
      </c>
      <c r="L1408">
        <v>9</v>
      </c>
      <c r="M1408" s="21">
        <f ca="1">LEFT(Music_Data[[#This Row],[Duration_minutes]],3)/60</f>
        <v>2.85</v>
      </c>
      <c r="N1408" s="17">
        <v>0.48199999999999998</v>
      </c>
      <c r="O1408" s="17" t="str">
        <f ca="1">PROPER(Music_Data[[#This Row],[Playlist_subgenre2]])</f>
        <v>Modern</v>
      </c>
    </row>
    <row r="1409" spans="1:15">
      <c r="A1409" s="17">
        <v>0.71199999999999997</v>
      </c>
      <c r="B1409" s="21">
        <v>140</v>
      </c>
      <c r="C1409" s="16">
        <v>0.57299999999999995</v>
      </c>
      <c r="D1409" s="16" t="str">
        <f ca="1">PROPER(Music_Data[[#This Row],[Playlist_genre2]])</f>
        <v>R&amp;B</v>
      </c>
      <c r="E1409" s="17">
        <v>0.34599999999999997</v>
      </c>
      <c r="F1409" t="s">
        <v>4150</v>
      </c>
      <c r="G1409">
        <v>74</v>
      </c>
      <c r="H1409" t="s">
        <v>3761</v>
      </c>
      <c r="I1409" t="s">
        <v>4157</v>
      </c>
      <c r="J1409" s="22">
        <v>39595</v>
      </c>
      <c r="K1409">
        <v>1</v>
      </c>
      <c r="L1409">
        <v>0</v>
      </c>
      <c r="M1409" s="21">
        <f ca="1">LEFT(Music_Data[[#This Row],[Duration_minutes]],3)/60</f>
        <v>4.3166666666666664</v>
      </c>
      <c r="N1409" s="17">
        <v>5.7200000000000001E-2</v>
      </c>
      <c r="O1409" s="17" t="str">
        <f ca="1">PROPER(Music_Data[[#This Row],[Playlist_subgenre2]])</f>
        <v>Modern</v>
      </c>
    </row>
    <row r="1410" spans="1:15">
      <c r="A1410" s="17">
        <v>0.70699999999999996</v>
      </c>
      <c r="B1410" s="21">
        <v>931</v>
      </c>
      <c r="C1410" s="16">
        <v>0.70399999999999996</v>
      </c>
      <c r="D1410" s="16" t="str">
        <f ca="1">PROPER(Music_Data[[#This Row],[Playlist_genre2]])</f>
        <v>R&amp;B</v>
      </c>
      <c r="E1410" s="17">
        <v>0.76100000000000001</v>
      </c>
      <c r="F1410" t="s">
        <v>3931</v>
      </c>
      <c r="G1410">
        <v>73</v>
      </c>
      <c r="H1410" t="s">
        <v>3761</v>
      </c>
      <c r="I1410" t="s">
        <v>3938</v>
      </c>
      <c r="J1410" s="22">
        <v>35944</v>
      </c>
      <c r="K1410">
        <v>0</v>
      </c>
      <c r="L1410">
        <v>1</v>
      </c>
      <c r="M1410" s="21">
        <f ca="1">LEFT(Music_Data[[#This Row],[Duration_minutes]],3)/60</f>
        <v>4.9000000000000004</v>
      </c>
      <c r="N1410" s="17">
        <v>0.53900000000000003</v>
      </c>
      <c r="O1410" s="17" t="str">
        <f ca="1">PROPER(Music_Data[[#This Row],[Playlist_subgenre2]])</f>
        <v>Modern</v>
      </c>
    </row>
    <row r="1411" spans="1:15">
      <c r="A1411" s="17">
        <v>0.72499999999999998</v>
      </c>
      <c r="B1411" s="21">
        <v>146</v>
      </c>
      <c r="C1411" s="16">
        <v>0.61</v>
      </c>
      <c r="D1411" s="16" t="str">
        <f ca="1">PROPER(Music_Data[[#This Row],[Playlist_genre2]])</f>
        <v>R&amp;B</v>
      </c>
      <c r="E1411" s="17">
        <v>0.29099999999999998</v>
      </c>
      <c r="F1411" t="s">
        <v>4096</v>
      </c>
      <c r="G1411">
        <v>73</v>
      </c>
      <c r="H1411" t="s">
        <v>3761</v>
      </c>
      <c r="I1411" t="s">
        <v>4102</v>
      </c>
      <c r="J1411" s="22">
        <v>43518</v>
      </c>
      <c r="K1411">
        <v>1</v>
      </c>
      <c r="L1411">
        <v>8</v>
      </c>
      <c r="M1411" s="21">
        <f ca="1">LEFT(Music_Data[[#This Row],[Duration_minutes]],3)/60</f>
        <v>3.35</v>
      </c>
      <c r="N1411" s="17">
        <v>0.36699999999999999</v>
      </c>
      <c r="O1411" s="17" t="str">
        <f ca="1">PROPER(Music_Data[[#This Row],[Playlist_subgenre2]])</f>
        <v>Modern</v>
      </c>
    </row>
    <row r="1412" spans="1:15">
      <c r="A1412" s="17">
        <v>0.876</v>
      </c>
      <c r="B1412" s="21">
        <v>130</v>
      </c>
      <c r="C1412" s="16">
        <v>0.41199999999999998</v>
      </c>
      <c r="D1412" s="16" t="str">
        <f ca="1">PROPER(Music_Data[[#This Row],[Playlist_genre2]])</f>
        <v>R&amp;B</v>
      </c>
      <c r="E1412" s="17">
        <v>0.70599999999999996</v>
      </c>
      <c r="F1412" t="s">
        <v>4114</v>
      </c>
      <c r="G1412">
        <v>73</v>
      </c>
      <c r="H1412" t="s">
        <v>3761</v>
      </c>
      <c r="I1412" t="s">
        <v>4120</v>
      </c>
      <c r="J1412" s="22">
        <v>39083</v>
      </c>
      <c r="K1412">
        <v>0</v>
      </c>
      <c r="L1412">
        <v>5</v>
      </c>
      <c r="M1412" s="21">
        <f ca="1">LEFT(Music_Data[[#This Row],[Duration_minutes]],3)/60</f>
        <v>4.55</v>
      </c>
      <c r="N1412" s="17">
        <v>0.10199999999999999</v>
      </c>
      <c r="O1412" s="17" t="str">
        <f ca="1">PROPER(Music_Data[[#This Row],[Playlist_subgenre2]])</f>
        <v>Modern</v>
      </c>
    </row>
    <row r="1413" spans="1:15">
      <c r="A1413" s="17">
        <v>0.36599999999999999</v>
      </c>
      <c r="B1413" s="21">
        <v>733</v>
      </c>
      <c r="C1413" s="16">
        <v>0.4</v>
      </c>
      <c r="D1413" s="16" t="str">
        <f ca="1">PROPER(Music_Data[[#This Row],[Playlist_genre2]])</f>
        <v>R&amp;B</v>
      </c>
      <c r="E1413" s="17">
        <v>0.161</v>
      </c>
      <c r="F1413" t="s">
        <v>3807</v>
      </c>
      <c r="G1413">
        <v>73</v>
      </c>
      <c r="H1413" t="s">
        <v>3761</v>
      </c>
      <c r="I1413" t="s">
        <v>4176</v>
      </c>
      <c r="J1413" s="22">
        <v>42895</v>
      </c>
      <c r="K1413">
        <v>0</v>
      </c>
      <c r="L1413">
        <v>8</v>
      </c>
      <c r="M1413" s="21">
        <f ca="1">LEFT(Music_Data[[#This Row],[Duration_minutes]],3)/60</f>
        <v>4.5333333333333332</v>
      </c>
      <c r="N1413" s="17">
        <v>0.24199999999999999</v>
      </c>
      <c r="O1413" s="17" t="str">
        <f ca="1">PROPER(Music_Data[[#This Row],[Playlist_subgenre2]])</f>
        <v>Modern</v>
      </c>
    </row>
    <row r="1414" spans="1:15">
      <c r="A1414" s="17">
        <v>0.69499999999999995</v>
      </c>
      <c r="B1414" s="21">
        <v>901</v>
      </c>
      <c r="C1414" s="16">
        <v>0.66500000000000004</v>
      </c>
      <c r="D1414" s="16" t="str">
        <f ca="1">PROPER(Music_Data[[#This Row],[Playlist_genre2]])</f>
        <v>R&amp;B</v>
      </c>
      <c r="E1414" s="17">
        <v>0.70699999999999996</v>
      </c>
      <c r="F1414" t="s">
        <v>3889</v>
      </c>
      <c r="G1414">
        <v>72</v>
      </c>
      <c r="H1414" t="s">
        <v>3761</v>
      </c>
      <c r="I1414" t="s">
        <v>3894</v>
      </c>
      <c r="J1414" s="22">
        <v>37257</v>
      </c>
      <c r="K1414">
        <v>1</v>
      </c>
      <c r="L1414">
        <v>0</v>
      </c>
      <c r="M1414" s="21">
        <f ca="1">LEFT(Music_Data[[#This Row],[Duration_minutes]],3)/60</f>
        <v>3.7833333333333332</v>
      </c>
      <c r="N1414" s="17">
        <v>0.34699999999999998</v>
      </c>
      <c r="O1414" s="17" t="str">
        <f ca="1">PROPER(Music_Data[[#This Row],[Playlist_subgenre2]])</f>
        <v>Modern</v>
      </c>
    </row>
    <row r="1415" spans="1:15">
      <c r="A1415" s="17">
        <v>0.70499999999999996</v>
      </c>
      <c r="B1415" s="21">
        <v>966</v>
      </c>
      <c r="C1415" s="16">
        <v>0.83799999999999997</v>
      </c>
      <c r="D1415" s="16" t="str">
        <f ca="1">PROPER(Music_Data[[#This Row],[Playlist_genre2]])</f>
        <v>R&amp;B</v>
      </c>
      <c r="E1415" s="17">
        <v>0.83699999999999997</v>
      </c>
      <c r="F1415" t="s">
        <v>3996</v>
      </c>
      <c r="G1415">
        <v>72</v>
      </c>
      <c r="H1415" t="s">
        <v>3761</v>
      </c>
      <c r="I1415" t="s">
        <v>4002</v>
      </c>
      <c r="J1415" s="22">
        <v>37166</v>
      </c>
      <c r="K1415">
        <v>0</v>
      </c>
      <c r="L1415">
        <v>5</v>
      </c>
      <c r="M1415" s="21">
        <f ca="1">LEFT(Music_Data[[#This Row],[Duration_minutes]],3)/60</f>
        <v>4.083333333333333</v>
      </c>
      <c r="N1415" s="17">
        <v>0.19500000000000001</v>
      </c>
      <c r="O1415" s="17" t="str">
        <f ca="1">PROPER(Music_Data[[#This Row],[Playlist_subgenre2]])</f>
        <v>Modern</v>
      </c>
    </row>
    <row r="1416" spans="1:15">
      <c r="A1416" s="17">
        <v>0.61799999999999999</v>
      </c>
      <c r="B1416" s="21">
        <v>133</v>
      </c>
      <c r="C1416" s="16">
        <v>0.70699999999999996</v>
      </c>
      <c r="D1416" s="16" t="str">
        <f ca="1">PROPER(Music_Data[[#This Row],[Playlist_genre2]])</f>
        <v>R&amp;B</v>
      </c>
      <c r="E1416" s="17">
        <v>0.51700000000000002</v>
      </c>
      <c r="F1416" t="s">
        <v>4057</v>
      </c>
      <c r="G1416">
        <v>72</v>
      </c>
      <c r="H1416" t="s">
        <v>3761</v>
      </c>
      <c r="I1416" t="s">
        <v>4063</v>
      </c>
      <c r="J1416" s="22">
        <v>44505</v>
      </c>
      <c r="K1416">
        <v>0</v>
      </c>
      <c r="L1416">
        <v>1</v>
      </c>
      <c r="M1416" s="21">
        <f ca="1">LEFT(Music_Data[[#This Row],[Duration_minutes]],3)/60</f>
        <v>3.85</v>
      </c>
      <c r="N1416" s="17">
        <v>0.17</v>
      </c>
      <c r="O1416" s="17" t="str">
        <f ca="1">PROPER(Music_Data[[#This Row],[Playlist_subgenre2]])</f>
        <v>Modern</v>
      </c>
    </row>
    <row r="1417" spans="1:15">
      <c r="A1417" s="17">
        <v>0.24199999999999999</v>
      </c>
      <c r="B1417" s="21">
        <v>144</v>
      </c>
      <c r="C1417" s="16">
        <v>0.54900000000000004</v>
      </c>
      <c r="D1417" s="16" t="str">
        <f ca="1">PROPER(Music_Data[[#This Row],[Playlist_genre2]])</f>
        <v>R&amp;B</v>
      </c>
      <c r="E1417" s="17">
        <v>0.28599999999999998</v>
      </c>
      <c r="F1417" t="s">
        <v>3825</v>
      </c>
      <c r="G1417">
        <v>71</v>
      </c>
      <c r="H1417" t="s">
        <v>3761</v>
      </c>
      <c r="I1417" t="s">
        <v>4182</v>
      </c>
      <c r="J1417" s="22">
        <v>43868</v>
      </c>
      <c r="K1417">
        <v>1</v>
      </c>
      <c r="L1417">
        <v>5</v>
      </c>
      <c r="M1417" s="21">
        <f ca="1">LEFT(Music_Data[[#This Row],[Duration_minutes]],3)/60</f>
        <v>3</v>
      </c>
      <c r="N1417" s="17">
        <v>0.80900000000000005</v>
      </c>
      <c r="O1417" s="17" t="str">
        <f ca="1">PROPER(Music_Data[[#This Row],[Playlist_subgenre2]])</f>
        <v>Modern</v>
      </c>
    </row>
    <row r="1418" spans="1:15">
      <c r="A1418" s="17">
        <v>0.61199999999999999</v>
      </c>
      <c r="B1418" s="21">
        <v>867</v>
      </c>
      <c r="C1418" s="16">
        <v>0.53600000000000003</v>
      </c>
      <c r="D1418" s="16" t="str">
        <f ca="1">PROPER(Music_Data[[#This Row],[Playlist_genre2]])</f>
        <v>R&amp;B</v>
      </c>
      <c r="E1418" s="17">
        <v>0.56999999999999995</v>
      </c>
      <c r="F1418" t="s">
        <v>3846</v>
      </c>
      <c r="G1418">
        <v>71</v>
      </c>
      <c r="H1418" t="s">
        <v>3761</v>
      </c>
      <c r="I1418" t="s">
        <v>3946</v>
      </c>
      <c r="J1418" s="22">
        <v>2005</v>
      </c>
      <c r="K1418">
        <v>1</v>
      </c>
      <c r="L1418">
        <v>4</v>
      </c>
      <c r="M1418" s="21">
        <f ca="1">LEFT(Music_Data[[#This Row],[Duration_minutes]],3)/60</f>
        <v>3.8166666666666669</v>
      </c>
      <c r="N1418" s="17">
        <v>0.11899999999999999</v>
      </c>
      <c r="O1418" s="17" t="str">
        <f ca="1">PROPER(Music_Data[[#This Row],[Playlist_subgenre2]])</f>
        <v>Modern</v>
      </c>
    </row>
    <row r="1419" spans="1:15">
      <c r="A1419" s="17">
        <v>0.47699999999999998</v>
      </c>
      <c r="B1419" s="21">
        <v>119</v>
      </c>
      <c r="C1419" s="16">
        <v>0.79600000000000004</v>
      </c>
      <c r="D1419" s="16" t="str">
        <f ca="1">PROPER(Music_Data[[#This Row],[Playlist_genre2]])</f>
        <v>R&amp;B</v>
      </c>
      <c r="E1419" s="17">
        <v>0.68500000000000005</v>
      </c>
      <c r="F1419" t="s">
        <v>3975</v>
      </c>
      <c r="G1419">
        <v>70</v>
      </c>
      <c r="H1419" t="s">
        <v>3761</v>
      </c>
      <c r="I1419" t="s">
        <v>4070</v>
      </c>
      <c r="J1419" s="22">
        <v>38069</v>
      </c>
      <c r="K1419">
        <v>1</v>
      </c>
      <c r="L1419">
        <v>1</v>
      </c>
      <c r="M1419" s="21">
        <f ca="1">LEFT(Music_Data[[#This Row],[Duration_minutes]],3)/60</f>
        <v>3.85</v>
      </c>
      <c r="N1419" s="17">
        <v>0.314</v>
      </c>
      <c r="O1419" s="17" t="str">
        <f ca="1">PROPER(Music_Data[[#This Row],[Playlist_subgenre2]])</f>
        <v>Modern</v>
      </c>
    </row>
    <row r="1420" spans="1:15">
      <c r="A1420" s="17">
        <v>0.629</v>
      </c>
      <c r="B1420" s="21">
        <v>939</v>
      </c>
      <c r="C1420" s="16">
        <v>0.65700000000000003</v>
      </c>
      <c r="D1420" s="16" t="str">
        <f ca="1">PROPER(Music_Data[[#This Row],[Playlist_genre2]])</f>
        <v>R&amp;B</v>
      </c>
      <c r="E1420" s="17">
        <v>0.72599999999999998</v>
      </c>
      <c r="F1420" t="s">
        <v>3975</v>
      </c>
      <c r="G1420">
        <v>69</v>
      </c>
      <c r="H1420" t="s">
        <v>3761</v>
      </c>
      <c r="I1420" t="s">
        <v>4031</v>
      </c>
      <c r="J1420" s="22">
        <v>37110</v>
      </c>
      <c r="K1420">
        <v>1</v>
      </c>
      <c r="L1420">
        <v>6</v>
      </c>
      <c r="M1420" s="21">
        <f ca="1">LEFT(Music_Data[[#This Row],[Duration_minutes]],3)/60</f>
        <v>4.4333333333333336</v>
      </c>
      <c r="N1420" s="17">
        <v>0.19400000000000001</v>
      </c>
      <c r="O1420" s="17" t="str">
        <f ca="1">PROPER(Music_Data[[#This Row],[Playlist_subgenre2]])</f>
        <v>Modern</v>
      </c>
    </row>
    <row r="1421" spans="1:15">
      <c r="A1421" s="17">
        <v>0.5</v>
      </c>
      <c r="B1421" s="21">
        <v>124</v>
      </c>
      <c r="C1421" s="16">
        <v>0.81599999999999995</v>
      </c>
      <c r="D1421" s="16" t="str">
        <f ca="1">PROPER(Music_Data[[#This Row],[Playlist_genre2]])</f>
        <v>R&amp;B</v>
      </c>
      <c r="E1421" s="17">
        <v>0.64900000000000002</v>
      </c>
      <c r="F1421" t="s">
        <v>3975</v>
      </c>
      <c r="G1421">
        <v>69</v>
      </c>
      <c r="H1421" t="s">
        <v>3761</v>
      </c>
      <c r="I1421" t="s">
        <v>4109</v>
      </c>
      <c r="J1421" s="22">
        <v>37110</v>
      </c>
      <c r="K1421">
        <v>1</v>
      </c>
      <c r="L1421">
        <v>1</v>
      </c>
      <c r="M1421" s="21">
        <f ca="1">LEFT(Music_Data[[#This Row],[Duration_minutes]],3)/60</f>
        <v>4.1166666666666663</v>
      </c>
      <c r="N1421" s="17">
        <v>2.2700000000000001E-2</v>
      </c>
      <c r="O1421" s="17" t="str">
        <f ca="1">PROPER(Music_Data[[#This Row],[Playlist_subgenre2]])</f>
        <v>Modern</v>
      </c>
    </row>
    <row r="1422" spans="1:15">
      <c r="A1422" s="17">
        <v>0.57599999999999996</v>
      </c>
      <c r="B1422" s="21">
        <v>179</v>
      </c>
      <c r="C1422" s="16">
        <v>0.625</v>
      </c>
      <c r="D1422" s="16" t="str">
        <f ca="1">PROPER(Music_Data[[#This Row],[Playlist_genre2]])</f>
        <v>R&amp;B</v>
      </c>
      <c r="E1422" s="17">
        <v>0.23499999999999999</v>
      </c>
      <c r="F1422" t="s">
        <v>3799</v>
      </c>
      <c r="G1422">
        <v>68</v>
      </c>
      <c r="H1422" t="s">
        <v>3761</v>
      </c>
      <c r="I1422" t="s">
        <v>4167</v>
      </c>
      <c r="J1422" s="22">
        <v>2012</v>
      </c>
      <c r="K1422">
        <v>0</v>
      </c>
      <c r="L1422">
        <v>11</v>
      </c>
      <c r="M1422" s="21">
        <f ca="1">LEFT(Music_Data[[#This Row],[Duration_minutes]],3)/60</f>
        <v>3.2166666666666668</v>
      </c>
      <c r="N1422" s="17">
        <v>5.4300000000000001E-2</v>
      </c>
      <c r="O1422" s="17" t="str">
        <f ca="1">PROPER(Music_Data[[#This Row],[Playlist_subgenre2]])</f>
        <v>Modern</v>
      </c>
    </row>
    <row r="1423" spans="1:15">
      <c r="A1423" s="17">
        <v>0.46700000000000003</v>
      </c>
      <c r="B1423" s="21">
        <v>138</v>
      </c>
      <c r="C1423" s="16">
        <v>0.84499999999999997</v>
      </c>
      <c r="D1423" s="16" t="str">
        <f ca="1">PROPER(Music_Data[[#This Row],[Playlist_genre2]])</f>
        <v>R&amp;B</v>
      </c>
      <c r="E1423" s="17">
        <v>0.70199999999999996</v>
      </c>
      <c r="F1423" t="s">
        <v>3975</v>
      </c>
      <c r="G1423">
        <v>68</v>
      </c>
      <c r="H1423" t="s">
        <v>3761</v>
      </c>
      <c r="I1423" t="s">
        <v>4199</v>
      </c>
      <c r="J1423" s="22">
        <v>38069</v>
      </c>
      <c r="K1423">
        <v>1</v>
      </c>
      <c r="L1423">
        <v>1</v>
      </c>
      <c r="M1423" s="21">
        <f ca="1">LEFT(Music_Data[[#This Row],[Duration_minutes]],3)/60</f>
        <v>3.5166666666666666</v>
      </c>
      <c r="N1423" s="17">
        <v>5.8599999999999999E-2</v>
      </c>
      <c r="O1423" s="17" t="str">
        <f ca="1">PROPER(Music_Data[[#This Row],[Playlist_subgenre2]])</f>
        <v>Modern</v>
      </c>
    </row>
    <row r="1424" spans="1:15">
      <c r="A1424" s="17">
        <v>0.72</v>
      </c>
      <c r="B1424" s="21">
        <v>103</v>
      </c>
      <c r="C1424" s="16">
        <v>0.91600000000000004</v>
      </c>
      <c r="D1424" s="16" t="str">
        <f ca="1">PROPER(Music_Data[[#This Row],[Playlist_genre2]])</f>
        <v>Reggae</v>
      </c>
      <c r="E1424" s="17">
        <v>0.76100000000000001</v>
      </c>
      <c r="F1424" t="s">
        <v>5798</v>
      </c>
      <c r="G1424">
        <v>79</v>
      </c>
      <c r="H1424" t="s">
        <v>5801</v>
      </c>
      <c r="I1424" t="s">
        <v>5804</v>
      </c>
      <c r="J1424" s="22">
        <v>29382</v>
      </c>
      <c r="K1424">
        <v>1</v>
      </c>
      <c r="L1424">
        <v>0</v>
      </c>
      <c r="M1424" s="21">
        <f ca="1">LEFT(Music_Data[[#This Row],[Duration_minutes]],3)/60</f>
        <v>3.95</v>
      </c>
      <c r="N1424" s="17">
        <v>0.36</v>
      </c>
      <c r="O1424" s="17" t="str">
        <f ca="1">PROPER(Music_Data[[#This Row],[Playlist_subgenre2]])</f>
        <v>Classic</v>
      </c>
    </row>
    <row r="1425" spans="1:15">
      <c r="A1425" s="17">
        <v>0.46300000000000002</v>
      </c>
      <c r="B1425" s="21">
        <v>124</v>
      </c>
      <c r="C1425" s="16">
        <v>0.92900000000000005</v>
      </c>
      <c r="D1425" s="16" t="str">
        <f ca="1">PROPER(Music_Data[[#This Row],[Playlist_genre2]])</f>
        <v>Reggae</v>
      </c>
      <c r="E1425" s="17">
        <v>0.755</v>
      </c>
      <c r="F1425" t="s">
        <v>5798</v>
      </c>
      <c r="G1425">
        <v>70</v>
      </c>
      <c r="H1425" t="s">
        <v>5801</v>
      </c>
      <c r="I1425" t="s">
        <v>5832</v>
      </c>
      <c r="J1425" s="22">
        <v>30459</v>
      </c>
      <c r="K1425">
        <v>1</v>
      </c>
      <c r="L1425">
        <v>9</v>
      </c>
      <c r="M1425" s="21">
        <f ca="1">LEFT(Music_Data[[#This Row],[Duration_minutes]],3)/60</f>
        <v>4.25</v>
      </c>
      <c r="N1425" s="17">
        <v>0.14299999999999999</v>
      </c>
      <c r="O1425" s="17" t="str">
        <f ca="1">PROPER(Music_Data[[#This Row],[Playlist_subgenre2]])</f>
        <v>Classic</v>
      </c>
    </row>
    <row r="1426" spans="1:15">
      <c r="A1426" s="17">
        <v>0.73299999999999998</v>
      </c>
      <c r="B1426" s="21">
        <v>951</v>
      </c>
      <c r="C1426" s="16">
        <v>0.88300000000000001</v>
      </c>
      <c r="D1426" s="16" t="str">
        <f ca="1">PROPER(Music_Data[[#This Row],[Playlist_genre2]])</f>
        <v>Reggae</v>
      </c>
      <c r="E1426" s="17">
        <v>0.94599999999999995</v>
      </c>
      <c r="F1426" t="s">
        <v>5818</v>
      </c>
      <c r="G1426">
        <v>68</v>
      </c>
      <c r="H1426" t="s">
        <v>5801</v>
      </c>
      <c r="I1426" t="s">
        <v>5824</v>
      </c>
      <c r="J1426" s="22">
        <v>33970</v>
      </c>
      <c r="K1426">
        <v>0</v>
      </c>
      <c r="L1426">
        <v>11</v>
      </c>
      <c r="M1426" s="21">
        <f ca="1">LEFT(Music_Data[[#This Row],[Duration_minutes]],3)/60</f>
        <v>4.083333333333333</v>
      </c>
      <c r="N1426" s="17">
        <v>0.161</v>
      </c>
      <c r="O1426" s="17" t="str">
        <f ca="1">PROPER(Music_Data[[#This Row],[Playlist_subgenre2]])</f>
        <v>Classic</v>
      </c>
    </row>
    <row r="1427" spans="1:15">
      <c r="A1427" s="17">
        <v>0.66100000000000003</v>
      </c>
      <c r="B1427" s="21">
        <v>767</v>
      </c>
      <c r="C1427" s="16">
        <v>0.83599999999999997</v>
      </c>
      <c r="D1427" s="16" t="str">
        <f ca="1">PROPER(Music_Data[[#This Row],[Playlist_genre2]])</f>
        <v>Reggae</v>
      </c>
      <c r="E1427" s="17">
        <v>0.753</v>
      </c>
      <c r="F1427" t="s">
        <v>5809</v>
      </c>
      <c r="G1427">
        <v>68</v>
      </c>
      <c r="H1427" t="s">
        <v>5801</v>
      </c>
      <c r="I1427" t="s">
        <v>5815</v>
      </c>
      <c r="J1427" s="22">
        <v>38353</v>
      </c>
      <c r="K1427">
        <v>0</v>
      </c>
      <c r="L1427">
        <v>7</v>
      </c>
      <c r="M1427" s="21">
        <f ca="1">LEFT(Music_Data[[#This Row],[Duration_minutes]],3)/60</f>
        <v>3.55</v>
      </c>
      <c r="N1427" s="17">
        <v>2.0799999999999999E-2</v>
      </c>
      <c r="O1427" s="17" t="str">
        <f ca="1">PROPER(Music_Data[[#This Row],[Playlist_subgenre2]])</f>
        <v>Classic</v>
      </c>
    </row>
    <row r="1428" spans="1:15">
      <c r="A1428" s="17">
        <v>0.66100000000000003</v>
      </c>
      <c r="B1428" s="21">
        <v>767</v>
      </c>
      <c r="C1428" s="16">
        <v>0.83599999999999997</v>
      </c>
      <c r="D1428" s="16" t="str">
        <f ca="1">PROPER(Music_Data[[#This Row],[Playlist_genre2]])</f>
        <v>Reggae</v>
      </c>
      <c r="E1428" s="17">
        <v>0.753</v>
      </c>
      <c r="F1428" t="s">
        <v>5809</v>
      </c>
      <c r="G1428">
        <v>68</v>
      </c>
      <c r="H1428" t="s">
        <v>12531</v>
      </c>
      <c r="I1428" t="s">
        <v>5815</v>
      </c>
      <c r="J1428" s="22">
        <v>38353</v>
      </c>
      <c r="K1428">
        <v>0</v>
      </c>
      <c r="L1428">
        <v>7</v>
      </c>
      <c r="M1428" s="21">
        <f ca="1">LEFT(Music_Data[[#This Row],[Duration_minutes]],3)/60</f>
        <v>3.55</v>
      </c>
      <c r="N1428" s="17">
        <v>2.0799999999999999E-2</v>
      </c>
      <c r="O1428" s="17" t="str">
        <f ca="1">PROPER(Music_Data[[#This Row],[Playlist_subgenre2]])</f>
        <v>Fusion</v>
      </c>
    </row>
    <row r="1429" spans="1:15">
      <c r="A1429" s="17">
        <v>0.872</v>
      </c>
      <c r="B1429" s="21">
        <v>184</v>
      </c>
      <c r="C1429" s="16">
        <v>0.46600000000000003</v>
      </c>
      <c r="D1429" s="16" t="str">
        <f ca="1">PROPER(Music_Data[[#This Row],[Playlist_genre2]])</f>
        <v>Rock</v>
      </c>
      <c r="E1429" s="17">
        <v>0.80600000000000005</v>
      </c>
      <c r="F1429" t="s">
        <v>644</v>
      </c>
      <c r="G1429">
        <v>89</v>
      </c>
      <c r="H1429" t="s">
        <v>8930</v>
      </c>
      <c r="I1429" t="s">
        <v>648</v>
      </c>
      <c r="J1429" s="22">
        <v>45540</v>
      </c>
      <c r="K1429">
        <v>1</v>
      </c>
      <c r="L1429">
        <v>7</v>
      </c>
      <c r="M1429" s="21">
        <f ca="1">LEFT(Music_Data[[#This Row],[Duration_minutes]],3)/60</f>
        <v>3.1666666666666665</v>
      </c>
      <c r="N1429" s="17">
        <v>1.5599999999999999E-2</v>
      </c>
      <c r="O1429" s="17" t="str">
        <f ca="1">PROPER(Music_Data[[#This Row],[Playlist_subgenre2]])</f>
        <v>Alternative</v>
      </c>
    </row>
    <row r="1430" spans="1:15">
      <c r="A1430" s="17">
        <v>0.86399999999999999</v>
      </c>
      <c r="B1430" s="21">
        <v>105</v>
      </c>
      <c r="C1430" s="16">
        <v>0.55600000000000005</v>
      </c>
      <c r="D1430" s="16" t="str">
        <f ca="1">PROPER(Music_Data[[#This Row],[Playlist_genre2]])</f>
        <v>Rock</v>
      </c>
      <c r="E1430" s="17">
        <v>0.4</v>
      </c>
      <c r="F1430" t="s">
        <v>644</v>
      </c>
      <c r="G1430">
        <v>88</v>
      </c>
      <c r="H1430" t="s">
        <v>8930</v>
      </c>
      <c r="I1430" t="s">
        <v>6572</v>
      </c>
      <c r="J1430" s="22">
        <v>2000</v>
      </c>
      <c r="K1430">
        <v>0</v>
      </c>
      <c r="L1430">
        <v>3</v>
      </c>
      <c r="M1430" s="21">
        <f ca="1">LEFT(Music_Data[[#This Row],[Duration_minutes]],3)/60</f>
        <v>3.6</v>
      </c>
      <c r="N1430" s="17">
        <v>9.58E-3</v>
      </c>
      <c r="O1430" s="17" t="str">
        <f ca="1">PROPER(Music_Data[[#This Row],[Playlist_subgenre2]])</f>
        <v>Alternative</v>
      </c>
    </row>
    <row r="1431" spans="1:15">
      <c r="A1431" s="17">
        <v>0.71499999999999997</v>
      </c>
      <c r="B1431" s="21">
        <v>155</v>
      </c>
      <c r="C1431" s="16">
        <v>0.315</v>
      </c>
      <c r="D1431" s="16" t="str">
        <f ca="1">PROPER(Music_Data[[#This Row],[Playlist_genre2]])</f>
        <v>Rock</v>
      </c>
      <c r="E1431" s="17">
        <v>0.497</v>
      </c>
      <c r="F1431" t="s">
        <v>6557</v>
      </c>
      <c r="G1431">
        <v>87</v>
      </c>
      <c r="H1431" t="s">
        <v>8930</v>
      </c>
      <c r="I1431" t="s">
        <v>6564</v>
      </c>
      <c r="J1431" s="22">
        <v>1998</v>
      </c>
      <c r="K1431">
        <v>0</v>
      </c>
      <c r="L1431">
        <v>11</v>
      </c>
      <c r="M1431" s="21">
        <f ca="1">LEFT(Music_Data[[#This Row],[Duration_minutes]],3)/60</f>
        <v>4.8166666666666664</v>
      </c>
      <c r="N1431" s="17">
        <v>1.25E-3</v>
      </c>
      <c r="O1431" s="17" t="str">
        <f ca="1">PROPER(Music_Data[[#This Row],[Playlist_subgenre2]])</f>
        <v>Alternative</v>
      </c>
    </row>
    <row r="1432" spans="1:15">
      <c r="A1432" s="17">
        <v>0.43</v>
      </c>
      <c r="B1432" s="21">
        <v>918</v>
      </c>
      <c r="C1432" s="16">
        <v>0.51500000000000001</v>
      </c>
      <c r="D1432" s="16" t="str">
        <f ca="1">PROPER(Music_Data[[#This Row],[Playlist_genre2]])</f>
        <v>Rock</v>
      </c>
      <c r="E1432" s="17">
        <v>0.104</v>
      </c>
      <c r="F1432" t="s">
        <v>716</v>
      </c>
      <c r="G1432">
        <v>86</v>
      </c>
      <c r="H1432" t="s">
        <v>675</v>
      </c>
      <c r="I1432" t="s">
        <v>723</v>
      </c>
      <c r="J1432" s="22">
        <v>34022</v>
      </c>
      <c r="K1432">
        <v>1</v>
      </c>
      <c r="L1432">
        <v>7</v>
      </c>
      <c r="M1432" s="21">
        <f ca="1">LEFT(Music_Data[[#This Row],[Duration_minutes]],3)/60</f>
        <v>3.9666666666666668</v>
      </c>
      <c r="N1432" s="17">
        <v>9.7000000000000003E-3</v>
      </c>
      <c r="O1432" s="17" t="str">
        <f ca="1">PROPER(Music_Data[[#This Row],[Playlist_subgenre2]])</f>
        <v>Classic</v>
      </c>
    </row>
    <row r="1433" spans="1:15">
      <c r="A1433" s="17">
        <v>0.79500000000000004</v>
      </c>
      <c r="B1433" s="21">
        <v>112</v>
      </c>
      <c r="C1433" s="16">
        <v>0.64500000000000002</v>
      </c>
      <c r="D1433" s="16" t="str">
        <f ca="1">PROPER(Music_Data[[#This Row],[Playlist_genre2]])</f>
        <v>Rock</v>
      </c>
      <c r="E1433" s="17">
        <v>0.53500000000000003</v>
      </c>
      <c r="F1433" t="s">
        <v>5993</v>
      </c>
      <c r="G1433">
        <v>85</v>
      </c>
      <c r="H1433" t="s">
        <v>5990</v>
      </c>
      <c r="I1433" t="s">
        <v>5999</v>
      </c>
      <c r="J1433" s="22">
        <v>31103</v>
      </c>
      <c r="K1433">
        <v>1</v>
      </c>
      <c r="L1433">
        <v>7</v>
      </c>
      <c r="M1433" s="21">
        <f ca="1">LEFT(Music_Data[[#This Row],[Duration_minutes]],3)/60</f>
        <v>4.1833333333333336</v>
      </c>
      <c r="N1433" s="17">
        <v>0.34699999999999998</v>
      </c>
      <c r="O1433" s="17" t="str">
        <f ca="1">PROPER(Music_Data[[#This Row],[Playlist_subgenre2]])</f>
        <v>80S</v>
      </c>
    </row>
    <row r="1434" spans="1:15">
      <c r="A1434" s="17">
        <v>0.91300000000000003</v>
      </c>
      <c r="B1434" s="21">
        <v>115</v>
      </c>
      <c r="C1434" s="16">
        <v>0.57399999999999995</v>
      </c>
      <c r="D1434" s="16" t="str">
        <f ca="1">PROPER(Music_Data[[#This Row],[Playlist_genre2]])</f>
        <v>Rock</v>
      </c>
      <c r="E1434" s="17">
        <v>0.42299999999999999</v>
      </c>
      <c r="F1434" t="s">
        <v>688</v>
      </c>
      <c r="G1434">
        <v>84</v>
      </c>
      <c r="H1434" t="s">
        <v>675</v>
      </c>
      <c r="I1434" t="s">
        <v>1557</v>
      </c>
      <c r="J1434" s="22">
        <v>29063</v>
      </c>
      <c r="K1434">
        <v>0</v>
      </c>
      <c r="L1434">
        <v>6</v>
      </c>
      <c r="M1434" s="21">
        <f ca="1">LEFT(Music_Data[[#This Row],[Duration_minutes]],3)/60</f>
        <v>3.4666666666666668</v>
      </c>
      <c r="N1434" s="17">
        <v>6.0999999999999999E-2</v>
      </c>
      <c r="O1434" s="17" t="str">
        <f ca="1">PROPER(Music_Data[[#This Row],[Playlist_subgenre2]])</f>
        <v>Classic</v>
      </c>
    </row>
    <row r="1435" spans="1:15">
      <c r="A1435" s="17">
        <v>0.86599999999999999</v>
      </c>
      <c r="B1435" s="21">
        <v>140</v>
      </c>
      <c r="C1435" s="16">
        <v>0.52600000000000002</v>
      </c>
      <c r="D1435" s="16" t="str">
        <f ca="1">PROPER(Music_Data[[#This Row],[Playlist_genre2]])</f>
        <v>Rock</v>
      </c>
      <c r="E1435" s="17">
        <v>0.248</v>
      </c>
      <c r="F1435" t="s">
        <v>3458</v>
      </c>
      <c r="G1435">
        <v>84</v>
      </c>
      <c r="H1435" t="s">
        <v>3463</v>
      </c>
      <c r="I1435">
        <v>505</v>
      </c>
      <c r="J1435" s="22">
        <v>39194</v>
      </c>
      <c r="K1435">
        <v>1</v>
      </c>
      <c r="L1435">
        <v>0</v>
      </c>
      <c r="M1435" s="21">
        <f ca="1">LEFT(Music_Data[[#This Row],[Duration_minutes]],3)/60</f>
        <v>4.2166666666666668</v>
      </c>
      <c r="N1435" s="17">
        <v>2.8700000000000002E-3</v>
      </c>
      <c r="O1435" s="17" t="str">
        <f ca="1">PROPER(Music_Data[[#This Row],[Playlist_subgenre2]])</f>
        <v>Indie</v>
      </c>
    </row>
    <row r="1436" spans="1:15">
      <c r="A1436" s="17">
        <v>0.53200000000000003</v>
      </c>
      <c r="B1436" s="21">
        <v>850</v>
      </c>
      <c r="C1436" s="16">
        <v>0.54800000000000004</v>
      </c>
      <c r="D1436" s="16" t="str">
        <f ca="1">PROPER(Music_Data[[#This Row],[Playlist_genre2]])</f>
        <v>Rock</v>
      </c>
      <c r="E1436" s="17">
        <v>0.40500000000000003</v>
      </c>
      <c r="F1436" t="s">
        <v>3458</v>
      </c>
      <c r="G1436">
        <v>84</v>
      </c>
      <c r="H1436" t="s">
        <v>8930</v>
      </c>
      <c r="I1436" t="s">
        <v>8947</v>
      </c>
      <c r="J1436" s="22">
        <v>41526</v>
      </c>
      <c r="K1436">
        <v>1</v>
      </c>
      <c r="L1436">
        <v>5</v>
      </c>
      <c r="M1436" s="21">
        <f ca="1">LEFT(Music_Data[[#This Row],[Duration_minutes]],3)/60</f>
        <v>4.5333333333333332</v>
      </c>
      <c r="N1436" s="17">
        <v>0.186</v>
      </c>
      <c r="O1436" s="17" t="str">
        <f ca="1">PROPER(Music_Data[[#This Row],[Playlist_subgenre2]])</f>
        <v>Alternative</v>
      </c>
    </row>
    <row r="1437" spans="1:15">
      <c r="A1437" s="17">
        <v>0.69699999999999995</v>
      </c>
      <c r="B1437" s="21">
        <v>116</v>
      </c>
      <c r="C1437" s="16">
        <v>0.74099999999999999</v>
      </c>
      <c r="D1437" s="16" t="str">
        <f ca="1">PROPER(Music_Data[[#This Row],[Playlist_genre2]])</f>
        <v>Rock</v>
      </c>
      <c r="E1437" s="17">
        <v>0.77400000000000002</v>
      </c>
      <c r="F1437" t="s">
        <v>1099</v>
      </c>
      <c r="G1437">
        <v>84</v>
      </c>
      <c r="H1437" t="s">
        <v>675</v>
      </c>
      <c r="I1437" t="s">
        <v>1106</v>
      </c>
      <c r="J1437" s="22">
        <v>25909</v>
      </c>
      <c r="K1437">
        <v>1</v>
      </c>
      <c r="L1437">
        <v>0</v>
      </c>
      <c r="M1437" s="21">
        <f ca="1">LEFT(Music_Data[[#This Row],[Duration_minutes]],3)/60</f>
        <v>2.6666666666666665</v>
      </c>
      <c r="N1437" s="17">
        <v>6.6400000000000001E-2</v>
      </c>
      <c r="O1437" s="17" t="str">
        <f ca="1">PROPER(Music_Data[[#This Row],[Playlist_subgenre2]])</f>
        <v>Classic</v>
      </c>
    </row>
    <row r="1438" spans="1:15">
      <c r="A1438" s="17">
        <v>0.49199999999999999</v>
      </c>
      <c r="B1438" s="21">
        <v>120</v>
      </c>
      <c r="C1438" s="16">
        <v>0.82799999999999996</v>
      </c>
      <c r="D1438" s="16" t="str">
        <f ca="1">PROPER(Music_Data[[#This Row],[Playlist_genre2]])</f>
        <v>Rock</v>
      </c>
      <c r="E1438" s="17">
        <v>0.78900000000000003</v>
      </c>
      <c r="F1438" t="s">
        <v>787</v>
      </c>
      <c r="G1438">
        <v>84</v>
      </c>
      <c r="H1438" t="s">
        <v>675</v>
      </c>
      <c r="I1438" t="s">
        <v>794</v>
      </c>
      <c r="J1438" s="22">
        <v>28160</v>
      </c>
      <c r="K1438">
        <v>1</v>
      </c>
      <c r="L1438">
        <v>0</v>
      </c>
      <c r="M1438" s="21">
        <f ca="1">LEFT(Music_Data[[#This Row],[Duration_minutes]],3)/60</f>
        <v>4.2833333333333332</v>
      </c>
      <c r="N1438" s="17">
        <v>6.4399999999999999E-2</v>
      </c>
      <c r="O1438" s="17" t="str">
        <f ca="1">PROPER(Music_Data[[#This Row],[Playlist_subgenre2]])</f>
        <v>Classic</v>
      </c>
    </row>
    <row r="1439" spans="1:15">
      <c r="A1439" s="17">
        <v>0.95199999999999996</v>
      </c>
      <c r="B1439" s="21">
        <v>125</v>
      </c>
      <c r="C1439" s="16">
        <v>0.44500000000000001</v>
      </c>
      <c r="D1439" s="16" t="str">
        <f ca="1">PROPER(Music_Data[[#This Row],[Playlist_genre2]])</f>
        <v>Rock</v>
      </c>
      <c r="E1439" s="17">
        <v>0.624</v>
      </c>
      <c r="F1439" t="s">
        <v>759</v>
      </c>
      <c r="G1439">
        <v>84</v>
      </c>
      <c r="H1439" t="s">
        <v>675</v>
      </c>
      <c r="I1439" t="s">
        <v>766</v>
      </c>
      <c r="J1439" s="22">
        <v>31979</v>
      </c>
      <c r="K1439">
        <v>1</v>
      </c>
      <c r="L1439">
        <v>6</v>
      </c>
      <c r="M1439" s="21">
        <f ca="1">LEFT(Music_Data[[#This Row],[Duration_minutes]],3)/60</f>
        <v>5.9333333333333336</v>
      </c>
      <c r="N1439" s="17">
        <v>0.09</v>
      </c>
      <c r="O1439" s="17" t="str">
        <f ca="1">PROPER(Music_Data[[#This Row],[Playlist_subgenre2]])</f>
        <v>Classic</v>
      </c>
    </row>
    <row r="1440" spans="1:15">
      <c r="A1440" s="17">
        <v>0.89</v>
      </c>
      <c r="B1440" s="21">
        <v>133</v>
      </c>
      <c r="C1440" s="16">
        <v>0.502</v>
      </c>
      <c r="D1440" s="16" t="str">
        <f ca="1">PROPER(Music_Data[[#This Row],[Playlist_genre2]])</f>
        <v>Rock</v>
      </c>
      <c r="E1440" s="17">
        <v>0.25900000000000001</v>
      </c>
      <c r="F1440" t="s">
        <v>688</v>
      </c>
      <c r="G1440">
        <v>83</v>
      </c>
      <c r="H1440" t="s">
        <v>675</v>
      </c>
      <c r="I1440" t="s">
        <v>695</v>
      </c>
      <c r="J1440" s="22">
        <v>33140</v>
      </c>
      <c r="K1440">
        <v>1</v>
      </c>
      <c r="L1440">
        <v>4</v>
      </c>
      <c r="M1440" s="21">
        <f ca="1">LEFT(Music_Data[[#This Row],[Duration_minutes]],3)/60</f>
        <v>4.8666666666666663</v>
      </c>
      <c r="N1440" s="17">
        <v>1.47E-4</v>
      </c>
      <c r="O1440" s="17" t="str">
        <f ca="1">PROPER(Music_Data[[#This Row],[Playlist_subgenre2]])</f>
        <v>Classic</v>
      </c>
    </row>
    <row r="1441" spans="1:15">
      <c r="A1441" s="17">
        <v>0.7</v>
      </c>
      <c r="B1441" s="21">
        <v>188</v>
      </c>
      <c r="C1441" s="16">
        <v>0.31</v>
      </c>
      <c r="D1441" s="16" t="str">
        <f ca="1">PROPER(Music_Data[[#This Row],[Playlist_genre2]])</f>
        <v>Rock</v>
      </c>
      <c r="E1441" s="17">
        <v>0.76300000000000001</v>
      </c>
      <c r="F1441" t="s">
        <v>688</v>
      </c>
      <c r="G1441">
        <v>83</v>
      </c>
      <c r="H1441" t="s">
        <v>675</v>
      </c>
      <c r="I1441" t="s">
        <v>908</v>
      </c>
      <c r="J1441" s="22">
        <v>29427</v>
      </c>
      <c r="K1441">
        <v>1</v>
      </c>
      <c r="L1441">
        <v>9</v>
      </c>
      <c r="M1441" s="21">
        <f ca="1">LEFT(Music_Data[[#This Row],[Duration_minutes]],3)/60</f>
        <v>4.25</v>
      </c>
      <c r="N1441" s="17">
        <v>1.0999999999999999E-2</v>
      </c>
      <c r="O1441" s="17" t="str">
        <f ca="1">PROPER(Music_Data[[#This Row],[Playlist_subgenre2]])</f>
        <v>Classic</v>
      </c>
    </row>
    <row r="1442" spans="1:15">
      <c r="A1442" s="17">
        <v>0.7</v>
      </c>
      <c r="B1442" s="21">
        <v>188</v>
      </c>
      <c r="C1442" s="16">
        <v>0.31</v>
      </c>
      <c r="D1442" s="16" t="str">
        <f ca="1">PROPER(Music_Data[[#This Row],[Playlist_genre2]])</f>
        <v>Rock</v>
      </c>
      <c r="E1442" s="17">
        <v>0.76300000000000001</v>
      </c>
      <c r="F1442" t="s">
        <v>688</v>
      </c>
      <c r="G1442">
        <v>83</v>
      </c>
      <c r="H1442" t="s">
        <v>5990</v>
      </c>
      <c r="I1442" t="s">
        <v>908</v>
      </c>
      <c r="J1442" s="22">
        <v>29427</v>
      </c>
      <c r="K1442">
        <v>1</v>
      </c>
      <c r="L1442">
        <v>9</v>
      </c>
      <c r="M1442" s="21">
        <f ca="1">LEFT(Music_Data[[#This Row],[Duration_minutes]],3)/60</f>
        <v>4.25</v>
      </c>
      <c r="N1442" s="17">
        <v>1.0999999999999999E-2</v>
      </c>
      <c r="O1442" s="17" t="str">
        <f ca="1">PROPER(Music_Data[[#This Row],[Playlist_subgenre2]])</f>
        <v>80S</v>
      </c>
    </row>
    <row r="1443" spans="1:15">
      <c r="A1443" s="17">
        <v>0.373</v>
      </c>
      <c r="B1443" s="21">
        <v>927</v>
      </c>
      <c r="C1443" s="16">
        <v>0.67100000000000004</v>
      </c>
      <c r="D1443" s="16" t="str">
        <f ca="1">PROPER(Music_Data[[#This Row],[Playlist_genre2]])</f>
        <v>Rock</v>
      </c>
      <c r="E1443" s="17">
        <v>0.73199999999999998</v>
      </c>
      <c r="F1443" t="s">
        <v>1397</v>
      </c>
      <c r="G1443">
        <v>83</v>
      </c>
      <c r="H1443" t="s">
        <v>675</v>
      </c>
      <c r="I1443" t="s">
        <v>1403</v>
      </c>
      <c r="J1443" s="22">
        <v>30049</v>
      </c>
      <c r="K1443">
        <v>1</v>
      </c>
      <c r="L1443">
        <v>9</v>
      </c>
      <c r="M1443" s="21">
        <f ca="1">LEFT(Music_Data[[#This Row],[Duration_minutes]],3)/60</f>
        <v>4.916666666666667</v>
      </c>
      <c r="N1443" s="17">
        <v>0.25700000000000001</v>
      </c>
      <c r="O1443" s="17" t="str">
        <f ca="1">PROPER(Music_Data[[#This Row],[Playlist_subgenre2]])</f>
        <v>Classic</v>
      </c>
    </row>
    <row r="1444" spans="1:15">
      <c r="A1444" s="17">
        <v>0.373</v>
      </c>
      <c r="B1444" s="21">
        <v>927</v>
      </c>
      <c r="C1444" s="16">
        <v>0.67100000000000004</v>
      </c>
      <c r="D1444" s="16" t="str">
        <f ca="1">PROPER(Music_Data[[#This Row],[Playlist_genre2]])</f>
        <v>Rock</v>
      </c>
      <c r="E1444" s="17">
        <v>0.73199999999999998</v>
      </c>
      <c r="F1444" t="s">
        <v>1397</v>
      </c>
      <c r="G1444">
        <v>83</v>
      </c>
      <c r="H1444" t="s">
        <v>5990</v>
      </c>
      <c r="I1444" t="s">
        <v>1403</v>
      </c>
      <c r="J1444" s="22">
        <v>30049</v>
      </c>
      <c r="K1444">
        <v>1</v>
      </c>
      <c r="L1444">
        <v>9</v>
      </c>
      <c r="M1444" s="21">
        <f ca="1">LEFT(Music_Data[[#This Row],[Duration_minutes]],3)/60</f>
        <v>4.916666666666667</v>
      </c>
      <c r="N1444" s="17">
        <v>0.25700000000000001</v>
      </c>
      <c r="O1444" s="17" t="str">
        <f ca="1">PROPER(Music_Data[[#This Row],[Playlist_subgenre2]])</f>
        <v>80S</v>
      </c>
    </row>
    <row r="1445" spans="1:15">
      <c r="A1445" s="17">
        <v>0.94199999999999995</v>
      </c>
      <c r="B1445" s="21">
        <v>148</v>
      </c>
      <c r="C1445" s="16">
        <v>0.52700000000000002</v>
      </c>
      <c r="D1445" s="16" t="str">
        <f ca="1">PROPER(Music_Data[[#This Row],[Playlist_genre2]])</f>
        <v>Rock</v>
      </c>
      <c r="E1445" s="17">
        <v>0.495</v>
      </c>
      <c r="F1445" t="s">
        <v>986</v>
      </c>
      <c r="G1445">
        <v>82</v>
      </c>
      <c r="H1445" t="s">
        <v>5990</v>
      </c>
      <c r="I1445" t="s">
        <v>6017</v>
      </c>
      <c r="J1445" s="22">
        <v>30837</v>
      </c>
      <c r="K1445">
        <v>0</v>
      </c>
      <c r="L1445">
        <v>1</v>
      </c>
      <c r="M1445" s="21">
        <f ca="1">LEFT(Music_Data[[#This Row],[Duration_minutes]],3)/60</f>
        <v>4.0166666666666666</v>
      </c>
      <c r="N1445" s="17">
        <v>1.15E-2</v>
      </c>
      <c r="O1445" s="17" t="str">
        <f ca="1">PROPER(Music_Data[[#This Row],[Playlist_subgenre2]])</f>
        <v>80S</v>
      </c>
    </row>
    <row r="1446" spans="1:15">
      <c r="A1446" s="17">
        <v>0.34499999999999997</v>
      </c>
      <c r="B1446" s="21">
        <v>845</v>
      </c>
      <c r="C1446" s="16">
        <v>0.55900000000000005</v>
      </c>
      <c r="D1446" s="16" t="str">
        <f ca="1">PROPER(Music_Data[[#This Row],[Playlist_genre2]])</f>
        <v>Rock</v>
      </c>
      <c r="E1446" s="17">
        <v>0.45800000000000002</v>
      </c>
      <c r="F1446" t="s">
        <v>745</v>
      </c>
      <c r="G1446">
        <v>82</v>
      </c>
      <c r="H1446" t="s">
        <v>675</v>
      </c>
      <c r="I1446" t="s">
        <v>887</v>
      </c>
      <c r="J1446" s="22">
        <v>33505</v>
      </c>
      <c r="K1446">
        <v>1</v>
      </c>
      <c r="L1446">
        <v>4</v>
      </c>
      <c r="M1446" s="21">
        <f ca="1">LEFT(Music_Data[[#This Row],[Duration_minutes]],3)/60</f>
        <v>4.4000000000000004</v>
      </c>
      <c r="N1446" s="17">
        <v>5.7599999999999998E-2</v>
      </c>
      <c r="O1446" s="17" t="str">
        <f ca="1">PROPER(Music_Data[[#This Row],[Playlist_subgenre2]])</f>
        <v>Classic</v>
      </c>
    </row>
    <row r="1447" spans="1:15">
      <c r="A1447" s="17">
        <v>0.71699999999999997</v>
      </c>
      <c r="B1447" s="21">
        <v>889</v>
      </c>
      <c r="C1447" s="16">
        <v>0.59499999999999997</v>
      </c>
      <c r="D1447" s="16" t="str">
        <f ca="1">PROPER(Music_Data[[#This Row],[Playlist_genre2]])</f>
        <v>Rock</v>
      </c>
      <c r="E1447" s="17">
        <v>0.54700000000000004</v>
      </c>
      <c r="F1447" t="s">
        <v>745</v>
      </c>
      <c r="G1447">
        <v>82</v>
      </c>
      <c r="H1447" t="s">
        <v>8930</v>
      </c>
      <c r="I1447" t="s">
        <v>9053</v>
      </c>
      <c r="J1447" s="22">
        <v>36319</v>
      </c>
      <c r="K1447">
        <v>1</v>
      </c>
      <c r="L1447">
        <v>0</v>
      </c>
      <c r="M1447" s="21">
        <f ca="1">LEFT(Music_Data[[#This Row],[Duration_minutes]],3)/60</f>
        <v>3.5833333333333335</v>
      </c>
      <c r="N1447" s="17">
        <v>7.7899999999999997E-2</v>
      </c>
      <c r="O1447" s="17" t="str">
        <f ca="1">PROPER(Music_Data[[#This Row],[Playlist_subgenre2]])</f>
        <v>Alternative</v>
      </c>
    </row>
    <row r="1448" spans="1:15">
      <c r="A1448" s="17">
        <v>0.44600000000000001</v>
      </c>
      <c r="B1448" s="21">
        <v>123</v>
      </c>
      <c r="C1448" s="16">
        <v>0.74299999999999999</v>
      </c>
      <c r="D1448" s="16" t="str">
        <f ca="1">PROPER(Music_Data[[#This Row],[Playlist_genre2]])</f>
        <v>Rock</v>
      </c>
      <c r="E1448" s="17">
        <v>0.27800000000000002</v>
      </c>
      <c r="F1448" t="s">
        <v>702</v>
      </c>
      <c r="G1448">
        <v>82</v>
      </c>
      <c r="H1448" t="s">
        <v>675</v>
      </c>
      <c r="I1448" t="s">
        <v>709</v>
      </c>
      <c r="J1448" s="22">
        <v>37712</v>
      </c>
      <c r="K1448">
        <v>0</v>
      </c>
      <c r="L1448">
        <v>4</v>
      </c>
      <c r="M1448" s="21">
        <f ca="1">LEFT(Music_Data[[#This Row],[Duration_minutes]],3)/60</f>
        <v>3.8666666666666667</v>
      </c>
      <c r="N1448" s="17">
        <v>3.8999999999999998E-3</v>
      </c>
      <c r="O1448" s="17" t="str">
        <f ca="1">PROPER(Music_Data[[#This Row],[Playlist_subgenre2]])</f>
        <v>Classic</v>
      </c>
    </row>
    <row r="1449" spans="1:15">
      <c r="A1449" s="17">
        <v>0.76700000000000002</v>
      </c>
      <c r="B1449" s="21">
        <v>127</v>
      </c>
      <c r="C1449" s="16">
        <v>0.53200000000000003</v>
      </c>
      <c r="D1449" s="16" t="str">
        <f ca="1">PROPER(Music_Data[[#This Row],[Playlist_genre2]])</f>
        <v>Rock</v>
      </c>
      <c r="E1449" s="17">
        <v>0.755</v>
      </c>
      <c r="F1449" t="s">
        <v>688</v>
      </c>
      <c r="G1449">
        <v>81</v>
      </c>
      <c r="H1449" t="s">
        <v>675</v>
      </c>
      <c r="I1449" t="s">
        <v>911</v>
      </c>
      <c r="J1449" s="22">
        <v>29427</v>
      </c>
      <c r="K1449">
        <v>1</v>
      </c>
      <c r="L1449">
        <v>7</v>
      </c>
      <c r="M1449" s="21">
        <f ca="1">LEFT(Music_Data[[#This Row],[Duration_minutes]],3)/60</f>
        <v>3.5</v>
      </c>
      <c r="N1449" s="17">
        <v>2.8700000000000002E-3</v>
      </c>
      <c r="O1449" s="17" t="str">
        <f ca="1">PROPER(Music_Data[[#This Row],[Playlist_subgenre2]])</f>
        <v>Classic</v>
      </c>
    </row>
    <row r="1450" spans="1:15">
      <c r="A1450" s="17">
        <v>0.76700000000000002</v>
      </c>
      <c r="B1450" s="21">
        <v>127</v>
      </c>
      <c r="C1450" s="16">
        <v>0.53200000000000003</v>
      </c>
      <c r="D1450" s="16" t="str">
        <f ca="1">PROPER(Music_Data[[#This Row],[Playlist_genre2]])</f>
        <v>Rock</v>
      </c>
      <c r="E1450" s="17">
        <v>0.755</v>
      </c>
      <c r="F1450" t="s">
        <v>688</v>
      </c>
      <c r="G1450">
        <v>81</v>
      </c>
      <c r="H1450" t="s">
        <v>5990</v>
      </c>
      <c r="I1450" t="s">
        <v>911</v>
      </c>
      <c r="J1450" s="22">
        <v>29427</v>
      </c>
      <c r="K1450">
        <v>1</v>
      </c>
      <c r="L1450">
        <v>7</v>
      </c>
      <c r="M1450" s="21">
        <f ca="1">LEFT(Music_Data[[#This Row],[Duration_minutes]],3)/60</f>
        <v>3.5</v>
      </c>
      <c r="N1450" s="17">
        <v>2.8700000000000002E-3</v>
      </c>
      <c r="O1450" s="17" t="str">
        <f ca="1">PROPER(Music_Data[[#This Row],[Playlist_subgenre2]])</f>
        <v>80S</v>
      </c>
    </row>
    <row r="1451" spans="1:15">
      <c r="A1451" s="17">
        <v>0.95899999999999996</v>
      </c>
      <c r="B1451" s="21">
        <v>122</v>
      </c>
      <c r="C1451" s="16">
        <v>0.54100000000000004</v>
      </c>
      <c r="D1451" s="16" t="str">
        <f ca="1">PROPER(Music_Data[[#This Row],[Playlist_genre2]])</f>
        <v>Rock</v>
      </c>
      <c r="E1451" s="17">
        <v>0.81200000000000006</v>
      </c>
      <c r="F1451" t="s">
        <v>853</v>
      </c>
      <c r="G1451">
        <v>81</v>
      </c>
      <c r="H1451" t="s">
        <v>5990</v>
      </c>
      <c r="I1451" t="s">
        <v>6026</v>
      </c>
      <c r="J1451" s="22">
        <v>31640</v>
      </c>
      <c r="K1451">
        <v>0</v>
      </c>
      <c r="L1451">
        <v>0</v>
      </c>
      <c r="M1451" s="21">
        <f ca="1">LEFT(Music_Data[[#This Row],[Duration_minutes]],3)/60</f>
        <v>3.7</v>
      </c>
      <c r="N1451" s="17">
        <v>6.6299999999999998E-2</v>
      </c>
      <c r="O1451" s="17" t="str">
        <f ca="1">PROPER(Music_Data[[#This Row],[Playlist_subgenre2]])</f>
        <v>80S</v>
      </c>
    </row>
    <row r="1452" spans="1:15">
      <c r="A1452" s="17">
        <v>0.50800000000000001</v>
      </c>
      <c r="B1452" s="21">
        <v>147</v>
      </c>
      <c r="C1452" s="16">
        <v>0.57899999999999996</v>
      </c>
      <c r="D1452" s="16" t="str">
        <f ca="1">PROPER(Music_Data[[#This Row],[Playlist_genre2]])</f>
        <v>Rock</v>
      </c>
      <c r="E1452" s="17">
        <v>0.60899999999999999</v>
      </c>
      <c r="F1452" t="s">
        <v>670</v>
      </c>
      <c r="G1452">
        <v>81</v>
      </c>
      <c r="H1452" t="s">
        <v>675</v>
      </c>
      <c r="I1452" t="s">
        <v>678</v>
      </c>
      <c r="J1452" s="22">
        <v>28102</v>
      </c>
      <c r="K1452">
        <v>1</v>
      </c>
      <c r="L1452">
        <v>2</v>
      </c>
      <c r="M1452" s="21">
        <f ca="1">LEFT(Music_Data[[#This Row],[Duration_minutes]],3)/60</f>
        <v>6.5166666666666666</v>
      </c>
      <c r="N1452" s="17">
        <v>5.7400000000000003E-3</v>
      </c>
      <c r="O1452" s="17" t="str">
        <f ca="1">PROPER(Music_Data[[#This Row],[Playlist_subgenre2]])</f>
        <v>Classic</v>
      </c>
    </row>
    <row r="1453" spans="1:15">
      <c r="A1453" s="17">
        <v>0.88100000000000001</v>
      </c>
      <c r="B1453" s="21">
        <v>158</v>
      </c>
      <c r="C1453" s="16">
        <v>0.41299999999999998</v>
      </c>
      <c r="D1453" s="16" t="str">
        <f ca="1">PROPER(Music_Data[[#This Row],[Playlist_genre2]])</f>
        <v>Rock</v>
      </c>
      <c r="E1453" s="17">
        <v>0.36399999999999999</v>
      </c>
      <c r="F1453" t="s">
        <v>802</v>
      </c>
      <c r="G1453">
        <v>81</v>
      </c>
      <c r="H1453" t="s">
        <v>675</v>
      </c>
      <c r="I1453" t="s">
        <v>809</v>
      </c>
      <c r="J1453" s="22">
        <v>35570</v>
      </c>
      <c r="K1453">
        <v>0</v>
      </c>
      <c r="L1453">
        <v>11</v>
      </c>
      <c r="M1453" s="21">
        <f ca="1">LEFT(Music_Data[[#This Row],[Duration_minutes]],3)/60</f>
        <v>4.166666666666667</v>
      </c>
      <c r="N1453" s="17">
        <v>5.9899999999999999E-5</v>
      </c>
      <c r="O1453" s="17" t="str">
        <f ca="1">PROPER(Music_Data[[#This Row],[Playlist_subgenre2]])</f>
        <v>Classic</v>
      </c>
    </row>
    <row r="1454" spans="1:15">
      <c r="A1454" s="17">
        <v>0.88100000000000001</v>
      </c>
      <c r="B1454" s="21">
        <v>158</v>
      </c>
      <c r="C1454" s="16">
        <v>0.41299999999999998</v>
      </c>
      <c r="D1454" s="16" t="str">
        <f ca="1">PROPER(Music_Data[[#This Row],[Playlist_genre2]])</f>
        <v>Rock</v>
      </c>
      <c r="E1454" s="17">
        <v>0.36399999999999999</v>
      </c>
      <c r="F1454" t="s">
        <v>802</v>
      </c>
      <c r="G1454">
        <v>81</v>
      </c>
      <c r="H1454" t="s">
        <v>8930</v>
      </c>
      <c r="I1454" t="s">
        <v>809</v>
      </c>
      <c r="J1454" s="22">
        <v>35570</v>
      </c>
      <c r="K1454">
        <v>0</v>
      </c>
      <c r="L1454">
        <v>11</v>
      </c>
      <c r="M1454" s="21">
        <f ca="1">LEFT(Music_Data[[#This Row],[Duration_minutes]],3)/60</f>
        <v>4.166666666666667</v>
      </c>
      <c r="N1454" s="17">
        <v>5.9899999999999999E-5</v>
      </c>
      <c r="O1454" s="17" t="str">
        <f ca="1">PROPER(Music_Data[[#This Row],[Playlist_subgenre2]])</f>
        <v>Alternative</v>
      </c>
    </row>
    <row r="1455" spans="1:15">
      <c r="A1455" s="17">
        <v>0.93500000000000005</v>
      </c>
      <c r="B1455" s="21">
        <v>120</v>
      </c>
      <c r="C1455" s="16">
        <v>0.627</v>
      </c>
      <c r="D1455" s="16" t="str">
        <f ca="1">PROPER(Music_Data[[#This Row],[Playlist_genre2]])</f>
        <v>Rock</v>
      </c>
      <c r="E1455" s="17">
        <v>0.28699999999999998</v>
      </c>
      <c r="F1455" t="s">
        <v>644</v>
      </c>
      <c r="G1455">
        <v>81</v>
      </c>
      <c r="H1455" t="s">
        <v>8930</v>
      </c>
      <c r="I1455" t="s">
        <v>8970</v>
      </c>
      <c r="J1455" s="22">
        <v>39216</v>
      </c>
      <c r="K1455">
        <v>1</v>
      </c>
      <c r="L1455">
        <v>5</v>
      </c>
      <c r="M1455" s="21">
        <f ca="1">LEFT(Music_Data[[#This Row],[Duration_minutes]],3)/60</f>
        <v>3.4166666666666665</v>
      </c>
      <c r="N1455" s="17">
        <v>9.1999999999999998E-3</v>
      </c>
      <c r="O1455" s="17" t="str">
        <f ca="1">PROPER(Music_Data[[#This Row],[Playlist_subgenre2]])</f>
        <v>Alternative</v>
      </c>
    </row>
    <row r="1456" spans="1:15">
      <c r="A1456" s="17">
        <v>0.79500000000000004</v>
      </c>
      <c r="B1456" s="21">
        <v>790</v>
      </c>
      <c r="C1456" s="16">
        <v>0.80100000000000005</v>
      </c>
      <c r="D1456" s="16" t="str">
        <f ca="1">PROPER(Music_Data[[#This Row],[Playlist_genre2]])</f>
        <v>Rock</v>
      </c>
      <c r="E1456" s="17">
        <v>0.754</v>
      </c>
      <c r="F1456" t="s">
        <v>3515</v>
      </c>
      <c r="G1456">
        <v>81</v>
      </c>
      <c r="H1456" t="s">
        <v>3520</v>
      </c>
      <c r="I1456" t="s">
        <v>3523</v>
      </c>
      <c r="J1456" s="22">
        <v>42902</v>
      </c>
      <c r="K1456">
        <v>0</v>
      </c>
      <c r="L1456">
        <v>1</v>
      </c>
      <c r="M1456" s="21">
        <f ca="1">LEFT(Music_Data[[#This Row],[Duration_minutes]],3)/60</f>
        <v>2.7166666666666668</v>
      </c>
      <c r="N1456" s="17">
        <v>4.1700000000000001E-2</v>
      </c>
      <c r="O1456" s="17" t="str">
        <f ca="1">PROPER(Music_Data[[#This Row],[Playlist_subgenre2]])</f>
        <v>Feel-Good</v>
      </c>
    </row>
    <row r="1457" spans="1:15">
      <c r="A1457" s="17">
        <v>0.76700000000000002</v>
      </c>
      <c r="B1457" s="21">
        <v>964</v>
      </c>
      <c r="C1457" s="16">
        <v>0.59199999999999997</v>
      </c>
      <c r="D1457" s="16" t="str">
        <f ca="1">PROPER(Music_Data[[#This Row],[Playlist_genre2]])</f>
        <v>Rock</v>
      </c>
      <c r="E1457" s="17">
        <v>0.32800000000000001</v>
      </c>
      <c r="F1457" t="s">
        <v>745</v>
      </c>
      <c r="G1457">
        <v>81</v>
      </c>
      <c r="H1457" t="s">
        <v>675</v>
      </c>
      <c r="I1457" t="s">
        <v>751</v>
      </c>
      <c r="J1457" s="22">
        <v>36319</v>
      </c>
      <c r="K1457">
        <v>0</v>
      </c>
      <c r="L1457">
        <v>9</v>
      </c>
      <c r="M1457" s="21">
        <f ca="1">LEFT(Music_Data[[#This Row],[Duration_minutes]],3)/60</f>
        <v>5.4833333333333334</v>
      </c>
      <c r="N1457" s="17">
        <v>2.0999999999999999E-3</v>
      </c>
      <c r="O1457" s="17" t="str">
        <f ca="1">PROPER(Music_Data[[#This Row],[Playlist_subgenre2]])</f>
        <v>Classic</v>
      </c>
    </row>
    <row r="1458" spans="1:15">
      <c r="A1458" s="17">
        <v>0.76700000000000002</v>
      </c>
      <c r="B1458" s="21">
        <v>964</v>
      </c>
      <c r="C1458" s="16">
        <v>0.59199999999999997</v>
      </c>
      <c r="D1458" s="16" t="str">
        <f ca="1">PROPER(Music_Data[[#This Row],[Playlist_genre2]])</f>
        <v>Rock</v>
      </c>
      <c r="E1458" s="17">
        <v>0.32800000000000001</v>
      </c>
      <c r="F1458" t="s">
        <v>745</v>
      </c>
      <c r="G1458">
        <v>81</v>
      </c>
      <c r="H1458" t="s">
        <v>8930</v>
      </c>
      <c r="I1458" t="s">
        <v>751</v>
      </c>
      <c r="J1458" s="22">
        <v>36319</v>
      </c>
      <c r="K1458">
        <v>0</v>
      </c>
      <c r="L1458">
        <v>9</v>
      </c>
      <c r="M1458" s="21">
        <f ca="1">LEFT(Music_Data[[#This Row],[Duration_minutes]],3)/60</f>
        <v>5.4833333333333334</v>
      </c>
      <c r="N1458" s="17">
        <v>2.0999999999999999E-3</v>
      </c>
      <c r="O1458" s="17" t="str">
        <f ca="1">PROPER(Music_Data[[#This Row],[Playlist_subgenre2]])</f>
        <v>Alternative</v>
      </c>
    </row>
    <row r="1459" spans="1:15">
      <c r="A1459" s="17">
        <v>0.79500000000000004</v>
      </c>
      <c r="B1459" s="21">
        <v>123</v>
      </c>
      <c r="C1459" s="16">
        <v>0.45800000000000002</v>
      </c>
      <c r="D1459" s="16" t="str">
        <f ca="1">PROPER(Music_Data[[#This Row],[Playlist_genre2]])</f>
        <v>Rock</v>
      </c>
      <c r="E1459" s="17">
        <v>0.51300000000000001</v>
      </c>
      <c r="F1459" t="s">
        <v>745</v>
      </c>
      <c r="G1459">
        <v>81</v>
      </c>
      <c r="H1459" t="s">
        <v>8930</v>
      </c>
      <c r="I1459" t="s">
        <v>8963</v>
      </c>
      <c r="J1459" s="22">
        <v>36319</v>
      </c>
      <c r="K1459">
        <v>1</v>
      </c>
      <c r="L1459">
        <v>0</v>
      </c>
      <c r="M1459" s="21">
        <f ca="1">LEFT(Music_Data[[#This Row],[Duration_minutes]],3)/60</f>
        <v>4.25</v>
      </c>
      <c r="N1459" s="17">
        <v>3.16E-3</v>
      </c>
      <c r="O1459" s="17" t="str">
        <f ca="1">PROPER(Music_Data[[#This Row],[Playlist_subgenre2]])</f>
        <v>Alternative</v>
      </c>
    </row>
    <row r="1460" spans="1:15">
      <c r="A1460" s="17">
        <v>0.93799999999999994</v>
      </c>
      <c r="B1460" s="21">
        <v>914</v>
      </c>
      <c r="C1460" s="16">
        <v>0.61799999999999999</v>
      </c>
      <c r="D1460" s="16" t="str">
        <f ca="1">PROPER(Music_Data[[#This Row],[Playlist_genre2]])</f>
        <v>Rock</v>
      </c>
      <c r="E1460" s="17">
        <v>0.875</v>
      </c>
      <c r="F1460" t="s">
        <v>745</v>
      </c>
      <c r="G1460">
        <v>81</v>
      </c>
      <c r="H1460" t="s">
        <v>8930</v>
      </c>
      <c r="I1460" t="s">
        <v>9075</v>
      </c>
      <c r="J1460" s="22">
        <v>37446</v>
      </c>
      <c r="K1460">
        <v>1</v>
      </c>
      <c r="L1460">
        <v>9</v>
      </c>
      <c r="M1460" s="21">
        <f ca="1">LEFT(Music_Data[[#This Row],[Duration_minutes]],3)/60</f>
        <v>4.4833333333333334</v>
      </c>
      <c r="N1460" s="17">
        <v>1.7899999999999999E-2</v>
      </c>
      <c r="O1460" s="17" t="str">
        <f ca="1">PROPER(Music_Data[[#This Row],[Playlist_subgenre2]])</f>
        <v>Alternative</v>
      </c>
    </row>
    <row r="1461" spans="1:15">
      <c r="A1461" s="17">
        <v>0.79500000000000004</v>
      </c>
      <c r="B1461" s="21">
        <v>158</v>
      </c>
      <c r="C1461" s="16">
        <v>0.46400000000000002</v>
      </c>
      <c r="D1461" s="16" t="str">
        <f ca="1">PROPER(Music_Data[[#This Row],[Playlist_genre2]])</f>
        <v>Rock</v>
      </c>
      <c r="E1461" s="17">
        <v>0.61199999999999999</v>
      </c>
      <c r="F1461" t="s">
        <v>773</v>
      </c>
      <c r="G1461">
        <v>81</v>
      </c>
      <c r="H1461" t="s">
        <v>675</v>
      </c>
      <c r="I1461" t="s">
        <v>780</v>
      </c>
      <c r="J1461" s="22">
        <v>24212</v>
      </c>
      <c r="K1461">
        <v>1</v>
      </c>
      <c r="L1461">
        <v>1</v>
      </c>
      <c r="M1461" s="21">
        <f ca="1">LEFT(Music_Data[[#This Row],[Duration_minutes]],3)/60</f>
        <v>3.3666666666666667</v>
      </c>
      <c r="N1461" s="17">
        <v>4.9299999999999997E-2</v>
      </c>
      <c r="O1461" s="17" t="str">
        <f ca="1">PROPER(Music_Data[[#This Row],[Playlist_subgenre2]])</f>
        <v>Classic</v>
      </c>
    </row>
    <row r="1462" spans="1:15">
      <c r="A1462" s="17">
        <v>0.83399999999999996</v>
      </c>
      <c r="B1462" s="21">
        <v>139</v>
      </c>
      <c r="C1462" s="16">
        <v>0.50900000000000001</v>
      </c>
      <c r="D1462" s="16" t="str">
        <f ca="1">PROPER(Music_Data[[#This Row],[Playlist_genre2]])</f>
        <v>Rock</v>
      </c>
      <c r="E1462" s="17">
        <v>0.77400000000000002</v>
      </c>
      <c r="F1462" t="s">
        <v>6031</v>
      </c>
      <c r="G1462">
        <v>80</v>
      </c>
      <c r="H1462" t="s">
        <v>5990</v>
      </c>
      <c r="I1462" t="s">
        <v>6037</v>
      </c>
      <c r="J1462" s="22">
        <v>30991</v>
      </c>
      <c r="K1462">
        <v>1</v>
      </c>
      <c r="L1462">
        <v>2</v>
      </c>
      <c r="M1462" s="21">
        <f ca="1">LEFT(Music_Data[[#This Row],[Duration_minutes]],3)/60</f>
        <v>3.6</v>
      </c>
      <c r="N1462" s="17">
        <v>1.83E-2</v>
      </c>
      <c r="O1462" s="17" t="str">
        <f ca="1">PROPER(Music_Data[[#This Row],[Playlist_subgenre2]])</f>
        <v>80S</v>
      </c>
    </row>
    <row r="1463" spans="1:15">
      <c r="A1463" s="17">
        <v>0.50900000000000001</v>
      </c>
      <c r="B1463" s="21">
        <v>119</v>
      </c>
      <c r="C1463" s="16">
        <v>0.57799999999999996</v>
      </c>
      <c r="D1463" s="16" t="str">
        <f ca="1">PROPER(Music_Data[[#This Row],[Playlist_genre2]])</f>
        <v>Rock</v>
      </c>
      <c r="E1463" s="17">
        <v>0.58599999999999997</v>
      </c>
      <c r="F1463" t="s">
        <v>3529</v>
      </c>
      <c r="G1463">
        <v>80</v>
      </c>
      <c r="H1463" t="s">
        <v>3520</v>
      </c>
      <c r="I1463" t="s">
        <v>3536</v>
      </c>
      <c r="J1463" s="22">
        <v>45415</v>
      </c>
      <c r="K1463">
        <v>1</v>
      </c>
      <c r="L1463">
        <v>2</v>
      </c>
      <c r="M1463" s="21">
        <f ca="1">LEFT(Music_Data[[#This Row],[Duration_minutes]],3)/60</f>
        <v>12.383333333333333</v>
      </c>
      <c r="N1463" s="17">
        <v>0.13</v>
      </c>
      <c r="O1463" s="17" t="str">
        <f ca="1">PROPER(Music_Data[[#This Row],[Playlist_subgenre2]])</f>
        <v>Feel-Good</v>
      </c>
    </row>
    <row r="1464" spans="1:15">
      <c r="A1464" s="17">
        <v>0.66300000000000003</v>
      </c>
      <c r="B1464" s="21">
        <v>104</v>
      </c>
      <c r="C1464" s="16">
        <v>0.27700000000000002</v>
      </c>
      <c r="D1464" s="16" t="str">
        <f ca="1">PROPER(Music_Data[[#This Row],[Playlist_genre2]])</f>
        <v>Rock</v>
      </c>
      <c r="E1464" s="17">
        <v>0.52700000000000002</v>
      </c>
      <c r="F1464" t="s">
        <v>9182</v>
      </c>
      <c r="G1464">
        <v>80</v>
      </c>
      <c r="H1464" t="s">
        <v>8930</v>
      </c>
      <c r="I1464" t="s">
        <v>9187</v>
      </c>
      <c r="J1464" s="22">
        <v>38033</v>
      </c>
      <c r="K1464">
        <v>0</v>
      </c>
      <c r="L1464">
        <v>4</v>
      </c>
      <c r="M1464" s="21">
        <f ca="1">LEFT(Music_Data[[#This Row],[Duration_minutes]],3)/60</f>
        <v>3.95</v>
      </c>
      <c r="N1464" s="17">
        <v>4.0900000000000002E-4</v>
      </c>
      <c r="O1464" s="17" t="str">
        <f ca="1">PROPER(Music_Data[[#This Row],[Playlist_subgenre2]])</f>
        <v>Alternative</v>
      </c>
    </row>
    <row r="1465" spans="1:15">
      <c r="A1465" s="17">
        <v>0.94299999999999995</v>
      </c>
      <c r="B1465" s="21">
        <v>850</v>
      </c>
      <c r="C1465" s="16">
        <v>0.442</v>
      </c>
      <c r="D1465" s="16" t="str">
        <f ca="1">PROPER(Music_Data[[#This Row],[Playlist_genre2]])</f>
        <v>Rock</v>
      </c>
      <c r="E1465" s="17">
        <v>0.78100000000000003</v>
      </c>
      <c r="F1465" t="s">
        <v>867</v>
      </c>
      <c r="G1465">
        <v>80</v>
      </c>
      <c r="H1465" t="s">
        <v>675</v>
      </c>
      <c r="I1465" t="s">
        <v>874</v>
      </c>
      <c r="J1465" s="22">
        <v>34366</v>
      </c>
      <c r="K1465">
        <v>1</v>
      </c>
      <c r="L1465">
        <v>3</v>
      </c>
      <c r="M1465" s="21">
        <f ca="1">LEFT(Music_Data[[#This Row],[Duration_minutes]],3)/60</f>
        <v>3.0166666666666666</v>
      </c>
      <c r="N1465" s="17">
        <v>2.9299999999999999E-3</v>
      </c>
      <c r="O1465" s="17" t="str">
        <f ca="1">PROPER(Music_Data[[#This Row],[Playlist_subgenre2]])</f>
        <v>Classic</v>
      </c>
    </row>
    <row r="1466" spans="1:15">
      <c r="A1466" s="17">
        <v>0.83599999999999997</v>
      </c>
      <c r="B1466" s="21">
        <v>113</v>
      </c>
      <c r="C1466" s="16">
        <v>0.74299999999999999</v>
      </c>
      <c r="D1466" s="16" t="str">
        <f ca="1">PROPER(Music_Data[[#This Row],[Playlist_genre2]])</f>
        <v>Rock</v>
      </c>
      <c r="E1466" s="17">
        <v>0.82</v>
      </c>
      <c r="F1466" t="s">
        <v>1191</v>
      </c>
      <c r="G1466">
        <v>80</v>
      </c>
      <c r="H1466" t="s">
        <v>675</v>
      </c>
      <c r="I1466" t="s">
        <v>1197</v>
      </c>
      <c r="J1466" s="22">
        <v>1982</v>
      </c>
      <c r="K1466">
        <v>1</v>
      </c>
      <c r="L1466">
        <v>2</v>
      </c>
      <c r="M1466" s="21">
        <f ca="1">LEFT(Music_Data[[#This Row],[Duration_minutes]],3)/60</f>
        <v>3.1333333333333333</v>
      </c>
      <c r="N1466" s="17">
        <v>8.0399999999999999E-2</v>
      </c>
      <c r="O1466" s="17" t="str">
        <f ca="1">PROPER(Music_Data[[#This Row],[Playlist_subgenre2]])</f>
        <v>Classic</v>
      </c>
    </row>
    <row r="1467" spans="1:15">
      <c r="A1467" s="17">
        <v>0.83599999999999997</v>
      </c>
      <c r="B1467" s="21">
        <v>113</v>
      </c>
      <c r="C1467" s="16">
        <v>0.74299999999999999</v>
      </c>
      <c r="D1467" s="16" t="str">
        <f ca="1">PROPER(Music_Data[[#This Row],[Playlist_genre2]])</f>
        <v>Rock</v>
      </c>
      <c r="E1467" s="17">
        <v>0.82</v>
      </c>
      <c r="F1467" t="s">
        <v>1191</v>
      </c>
      <c r="G1467">
        <v>80</v>
      </c>
      <c r="H1467" t="s">
        <v>5990</v>
      </c>
      <c r="I1467" t="s">
        <v>1197</v>
      </c>
      <c r="J1467" s="22">
        <v>1982</v>
      </c>
      <c r="K1467">
        <v>1</v>
      </c>
      <c r="L1467">
        <v>2</v>
      </c>
      <c r="M1467" s="21">
        <f ca="1">LEFT(Music_Data[[#This Row],[Duration_minutes]],3)/60</f>
        <v>3.1333333333333333</v>
      </c>
      <c r="N1467" s="17">
        <v>8.0399999999999999E-2</v>
      </c>
      <c r="O1467" s="17" t="str">
        <f ca="1">PROPER(Music_Data[[#This Row],[Playlist_subgenre2]])</f>
        <v>80S</v>
      </c>
    </row>
    <row r="1468" spans="1:15">
      <c r="A1468" s="17">
        <v>0.71299999999999997</v>
      </c>
      <c r="B1468" s="21">
        <v>749</v>
      </c>
      <c r="C1468" s="16">
        <v>0.64500000000000002</v>
      </c>
      <c r="D1468" s="16" t="str">
        <f ca="1">PROPER(Music_Data[[#This Row],[Playlist_genre2]])</f>
        <v>Rock</v>
      </c>
      <c r="E1468" s="17">
        <v>0.56599999999999995</v>
      </c>
      <c r="F1468" t="s">
        <v>8949</v>
      </c>
      <c r="G1468">
        <v>80</v>
      </c>
      <c r="H1468" t="s">
        <v>8930</v>
      </c>
      <c r="I1468" t="s">
        <v>8955</v>
      </c>
      <c r="J1468" s="22">
        <v>42139</v>
      </c>
      <c r="K1468">
        <v>1</v>
      </c>
      <c r="L1468">
        <v>6</v>
      </c>
      <c r="M1468" s="21">
        <f ca="1">LEFT(Music_Data[[#This Row],[Duration_minutes]],3)/60</f>
        <v>3.5666666666666669</v>
      </c>
      <c r="N1468" s="17">
        <v>8.3499999999999998E-3</v>
      </c>
      <c r="O1468" s="17" t="str">
        <f ca="1">PROPER(Music_Data[[#This Row],[Playlist_subgenre2]])</f>
        <v>Alternative</v>
      </c>
    </row>
    <row r="1469" spans="1:15">
      <c r="A1469" s="17">
        <v>0.495</v>
      </c>
      <c r="B1469" s="21">
        <v>124</v>
      </c>
      <c r="C1469" s="16">
        <v>0.53200000000000003</v>
      </c>
      <c r="D1469" s="16" t="str">
        <f ca="1">PROPER(Music_Data[[#This Row],[Playlist_genre2]])</f>
        <v>Rock</v>
      </c>
      <c r="E1469" s="17">
        <v>0.308</v>
      </c>
      <c r="F1469" t="s">
        <v>1563</v>
      </c>
      <c r="G1469">
        <v>79</v>
      </c>
      <c r="H1469" t="s">
        <v>675</v>
      </c>
      <c r="I1469" t="s">
        <v>1570</v>
      </c>
      <c r="J1469" s="22">
        <v>1977</v>
      </c>
      <c r="K1469">
        <v>1</v>
      </c>
      <c r="L1469">
        <v>10</v>
      </c>
      <c r="M1469" s="21">
        <f ca="1">LEFT(Music_Data[[#This Row],[Duration_minutes]],3)/60</f>
        <v>3.5666666666666669</v>
      </c>
      <c r="N1469" s="17">
        <v>0.65900000000000003</v>
      </c>
      <c r="O1469" s="17" t="str">
        <f ca="1">PROPER(Music_Data[[#This Row],[Playlist_subgenre2]])</f>
        <v>Classic</v>
      </c>
    </row>
    <row r="1470" spans="1:15">
      <c r="A1470" s="17">
        <v>0.53200000000000003</v>
      </c>
      <c r="B1470" s="21">
        <v>136</v>
      </c>
      <c r="C1470" s="16">
        <v>0.60099999999999998</v>
      </c>
      <c r="D1470" s="16" t="str">
        <f ca="1">PROPER(Music_Data[[#This Row],[Playlist_genre2]])</f>
        <v>Rock</v>
      </c>
      <c r="E1470" s="17">
        <v>0.34200000000000003</v>
      </c>
      <c r="F1470" t="s">
        <v>1360</v>
      </c>
      <c r="G1470">
        <v>79</v>
      </c>
      <c r="H1470" t="s">
        <v>675</v>
      </c>
      <c r="I1470" t="s">
        <v>1367</v>
      </c>
      <c r="J1470" s="22">
        <v>26438</v>
      </c>
      <c r="K1470">
        <v>1</v>
      </c>
      <c r="L1470">
        <v>10</v>
      </c>
      <c r="M1470" s="21">
        <f ca="1">LEFT(Music_Data[[#This Row],[Duration_minutes]],3)/60</f>
        <v>4.6833333333333336</v>
      </c>
      <c r="N1470" s="17">
        <v>0.433</v>
      </c>
      <c r="O1470" s="17" t="str">
        <f ca="1">PROPER(Music_Data[[#This Row],[Playlist_subgenre2]])</f>
        <v>Classic</v>
      </c>
    </row>
    <row r="1471" spans="1:15">
      <c r="A1471" s="17">
        <v>0.48699999999999999</v>
      </c>
      <c r="B1471" s="21">
        <v>114</v>
      </c>
      <c r="C1471" s="16">
        <v>0.73</v>
      </c>
      <c r="D1471" s="16" t="str">
        <f ca="1">PROPER(Music_Data[[#This Row],[Playlist_genre2]])</f>
        <v>Rock</v>
      </c>
      <c r="E1471" s="17">
        <v>0.73099999999999998</v>
      </c>
      <c r="F1471" t="s">
        <v>787</v>
      </c>
      <c r="G1471">
        <v>79</v>
      </c>
      <c r="H1471" t="s">
        <v>675</v>
      </c>
      <c r="I1471" t="s">
        <v>1093</v>
      </c>
      <c r="J1471" s="22">
        <v>31880</v>
      </c>
      <c r="K1471">
        <v>1</v>
      </c>
      <c r="L1471">
        <v>4</v>
      </c>
      <c r="M1471" s="21">
        <f ca="1">LEFT(Music_Data[[#This Row],[Duration_minutes]],3)/60</f>
        <v>3.7666666666666666</v>
      </c>
      <c r="N1471" s="17">
        <v>0.25800000000000001</v>
      </c>
      <c r="O1471" s="17" t="str">
        <f ca="1">PROPER(Music_Data[[#This Row],[Playlist_subgenre2]])</f>
        <v>Classic</v>
      </c>
    </row>
    <row r="1472" spans="1:15">
      <c r="A1472" s="17">
        <v>0.432</v>
      </c>
      <c r="B1472" s="21">
        <v>946</v>
      </c>
      <c r="C1472" s="16">
        <v>0.47499999999999998</v>
      </c>
      <c r="D1472" s="16" t="str">
        <f ca="1">PROPER(Music_Data[[#This Row],[Playlist_genre2]])</f>
        <v>Rock</v>
      </c>
      <c r="E1472" s="17">
        <v>0.64800000000000002</v>
      </c>
      <c r="F1472" t="s">
        <v>867</v>
      </c>
      <c r="G1472">
        <v>79</v>
      </c>
      <c r="H1472" t="s">
        <v>675</v>
      </c>
      <c r="I1472" t="s">
        <v>1615</v>
      </c>
      <c r="J1472" s="22">
        <v>35717</v>
      </c>
      <c r="K1472">
        <v>1</v>
      </c>
      <c r="L1472">
        <v>7</v>
      </c>
      <c r="M1472" s="21">
        <f ca="1">LEFT(Music_Data[[#This Row],[Duration_minutes]],3)/60</f>
        <v>2.5499999999999998</v>
      </c>
      <c r="N1472" s="17">
        <v>0.183</v>
      </c>
      <c r="O1472" s="17" t="str">
        <f ca="1">PROPER(Music_Data[[#This Row],[Playlist_subgenre2]])</f>
        <v>Classic</v>
      </c>
    </row>
    <row r="1473" spans="1:15">
      <c r="A1473" s="17">
        <v>0.62</v>
      </c>
      <c r="B1473" s="21">
        <v>117</v>
      </c>
      <c r="C1473" s="16">
        <v>0.74099999999999999</v>
      </c>
      <c r="D1473" s="16" t="str">
        <f ca="1">PROPER(Music_Data[[#This Row],[Playlist_genre2]])</f>
        <v>Rock</v>
      </c>
      <c r="E1473" s="17">
        <v>0.93400000000000005</v>
      </c>
      <c r="F1473" t="s">
        <v>395</v>
      </c>
      <c r="G1473">
        <v>79</v>
      </c>
      <c r="H1473" t="s">
        <v>3520</v>
      </c>
      <c r="I1473" t="s">
        <v>402</v>
      </c>
      <c r="J1473" s="22">
        <v>45373</v>
      </c>
      <c r="K1473">
        <v>1</v>
      </c>
      <c r="L1473">
        <v>10</v>
      </c>
      <c r="M1473" s="21">
        <f ca="1">LEFT(Music_Data[[#This Row],[Duration_minutes]],3)/60</f>
        <v>4.1833333333333336</v>
      </c>
      <c r="N1473" s="17">
        <v>2.9499999999999998E-2</v>
      </c>
      <c r="O1473" s="17" t="str">
        <f ca="1">PROPER(Music_Data[[#This Row],[Playlist_subgenre2]])</f>
        <v>Feel-Good</v>
      </c>
    </row>
    <row r="1474" spans="1:15">
      <c r="A1474" s="17">
        <v>0.62</v>
      </c>
      <c r="B1474" s="21">
        <v>117</v>
      </c>
      <c r="C1474" s="16">
        <v>0.74099999999999999</v>
      </c>
      <c r="D1474" s="16" t="str">
        <f ca="1">PROPER(Music_Data[[#This Row],[Playlist_genre2]])</f>
        <v>Rock</v>
      </c>
      <c r="E1474" s="17">
        <v>0.93400000000000005</v>
      </c>
      <c r="F1474" t="s">
        <v>395</v>
      </c>
      <c r="G1474">
        <v>79</v>
      </c>
      <c r="H1474" t="s">
        <v>8930</v>
      </c>
      <c r="I1474" t="s">
        <v>402</v>
      </c>
      <c r="J1474" s="22">
        <v>45373</v>
      </c>
      <c r="K1474">
        <v>1</v>
      </c>
      <c r="L1474">
        <v>10</v>
      </c>
      <c r="M1474" s="21">
        <f ca="1">LEFT(Music_Data[[#This Row],[Duration_minutes]],3)/60</f>
        <v>4.1833333333333336</v>
      </c>
      <c r="N1474" s="17">
        <v>2.9499999999999998E-2</v>
      </c>
      <c r="O1474" s="17" t="str">
        <f ca="1">PROPER(Music_Data[[#This Row],[Playlist_subgenre2]])</f>
        <v>Alternative</v>
      </c>
    </row>
    <row r="1475" spans="1:15">
      <c r="A1475" s="17">
        <v>0.32200000000000001</v>
      </c>
      <c r="B1475" s="21">
        <v>935</v>
      </c>
      <c r="C1475" s="16">
        <v>0.47499999999999998</v>
      </c>
      <c r="D1475" s="16" t="str">
        <f ca="1">PROPER(Music_Data[[#This Row],[Playlist_genre2]])</f>
        <v>Rock</v>
      </c>
      <c r="E1475" s="17">
        <v>0.38700000000000001</v>
      </c>
      <c r="F1475" t="s">
        <v>827</v>
      </c>
      <c r="G1475">
        <v>79</v>
      </c>
      <c r="H1475" t="s">
        <v>675</v>
      </c>
      <c r="I1475" t="s">
        <v>833</v>
      </c>
      <c r="J1475" s="22">
        <v>1977</v>
      </c>
      <c r="K1475">
        <v>1</v>
      </c>
      <c r="L1475">
        <v>7</v>
      </c>
      <c r="M1475" s="21">
        <f ca="1">LEFT(Music_Data[[#This Row],[Duration_minutes]],3)/60</f>
        <v>3.4333333333333331</v>
      </c>
      <c r="N1475" s="17">
        <v>0.36699999999999999</v>
      </c>
      <c r="O1475" s="17" t="str">
        <f ca="1">PROPER(Music_Data[[#This Row],[Playlist_subgenre2]])</f>
        <v>Classic</v>
      </c>
    </row>
    <row r="1476" spans="1:15">
      <c r="A1476" s="17">
        <v>0.94499999999999995</v>
      </c>
      <c r="B1476" s="21">
        <v>919</v>
      </c>
      <c r="C1476" s="16">
        <v>0.51</v>
      </c>
      <c r="D1476" s="16" t="str">
        <f ca="1">PROPER(Music_Data[[#This Row],[Playlist_genre2]])</f>
        <v>Rock</v>
      </c>
      <c r="E1476" s="17">
        <v>0.32300000000000001</v>
      </c>
      <c r="F1476" t="s">
        <v>644</v>
      </c>
      <c r="G1476">
        <v>79</v>
      </c>
      <c r="H1476" t="s">
        <v>9217</v>
      </c>
      <c r="I1476" t="s">
        <v>9220</v>
      </c>
      <c r="J1476" s="22">
        <v>45611</v>
      </c>
      <c r="K1476">
        <v>1</v>
      </c>
      <c r="L1476">
        <v>1</v>
      </c>
      <c r="M1476" s="21">
        <f ca="1">LEFT(Music_Data[[#This Row],[Duration_minutes]],3)/60</f>
        <v>3.05</v>
      </c>
      <c r="N1476" s="17">
        <v>6.5799999999999995E-4</v>
      </c>
      <c r="O1476" s="17" t="str">
        <f ca="1">PROPER(Music_Data[[#This Row],[Playlist_subgenre2]])</f>
        <v>Modern</v>
      </c>
    </row>
    <row r="1477" spans="1:15">
      <c r="A1477" s="17">
        <v>0.872</v>
      </c>
      <c r="B1477" s="21">
        <v>184</v>
      </c>
      <c r="C1477" s="16">
        <v>0.46600000000000003</v>
      </c>
      <c r="D1477" s="16" t="str">
        <f ca="1">PROPER(Music_Data[[#This Row],[Playlist_genre2]])</f>
        <v>Rock</v>
      </c>
      <c r="E1477" s="17">
        <v>0.80600000000000005</v>
      </c>
      <c r="F1477" t="s">
        <v>644</v>
      </c>
      <c r="G1477">
        <v>79</v>
      </c>
      <c r="H1477" t="s">
        <v>9217</v>
      </c>
      <c r="I1477" t="s">
        <v>648</v>
      </c>
      <c r="J1477" s="22">
        <v>45611</v>
      </c>
      <c r="K1477">
        <v>1</v>
      </c>
      <c r="L1477">
        <v>7</v>
      </c>
      <c r="M1477" s="21">
        <f ca="1">LEFT(Music_Data[[#This Row],[Duration_minutes]],3)/60</f>
        <v>3.1666666666666665</v>
      </c>
      <c r="N1477" s="17">
        <v>1.5599999999999999E-2</v>
      </c>
      <c r="O1477" s="17" t="str">
        <f ca="1">PROPER(Music_Data[[#This Row],[Playlist_subgenre2]])</f>
        <v>Modern</v>
      </c>
    </row>
    <row r="1478" spans="1:15">
      <c r="A1478" s="17">
        <v>0.64100000000000001</v>
      </c>
      <c r="B1478" s="21">
        <v>203</v>
      </c>
      <c r="C1478" s="16">
        <v>0.25600000000000001</v>
      </c>
      <c r="D1478" s="16" t="str">
        <f ca="1">PROPER(Music_Data[[#This Row],[Playlist_genre2]])</f>
        <v>Rock</v>
      </c>
      <c r="E1478" s="17">
        <v>0.38200000000000001</v>
      </c>
      <c r="F1478" t="s">
        <v>731</v>
      </c>
      <c r="G1478">
        <v>79</v>
      </c>
      <c r="H1478" t="s">
        <v>675</v>
      </c>
      <c r="I1478" t="s">
        <v>1381</v>
      </c>
      <c r="J1478" s="22">
        <v>34233</v>
      </c>
      <c r="K1478">
        <v>1</v>
      </c>
      <c r="L1478">
        <v>1</v>
      </c>
      <c r="M1478" s="21">
        <f ca="1">LEFT(Music_Data[[#This Row],[Duration_minutes]],3)/60</f>
        <v>4.6833333333333336</v>
      </c>
      <c r="N1478" s="17">
        <v>0.19900000000000001</v>
      </c>
      <c r="O1478" s="17" t="str">
        <f ca="1">PROPER(Music_Data[[#This Row],[Playlist_subgenre2]])</f>
        <v>Classic</v>
      </c>
    </row>
    <row r="1479" spans="1:15">
      <c r="A1479" s="17">
        <v>0.71199999999999997</v>
      </c>
      <c r="B1479" s="21">
        <v>113</v>
      </c>
      <c r="C1479" s="16">
        <v>0.67100000000000004</v>
      </c>
      <c r="D1479" s="16" t="str">
        <f ca="1">PROPER(Music_Data[[#This Row],[Playlist_genre2]])</f>
        <v>Rock</v>
      </c>
      <c r="E1479" s="17">
        <v>0.46200000000000002</v>
      </c>
      <c r="F1479" t="s">
        <v>6041</v>
      </c>
      <c r="G1479">
        <v>79</v>
      </c>
      <c r="H1479" t="s">
        <v>5990</v>
      </c>
      <c r="I1479" t="s">
        <v>6047</v>
      </c>
      <c r="J1479" s="22">
        <v>30074</v>
      </c>
      <c r="K1479">
        <v>1</v>
      </c>
      <c r="L1479">
        <v>2</v>
      </c>
      <c r="M1479" s="21">
        <f ca="1">LEFT(Music_Data[[#This Row],[Duration_minutes]],3)/60</f>
        <v>4.1333333333333337</v>
      </c>
      <c r="N1479" s="17">
        <v>0.42899999999999999</v>
      </c>
      <c r="O1479" s="17" t="str">
        <f ca="1">PROPER(Music_Data[[#This Row],[Playlist_subgenre2]])</f>
        <v>80S</v>
      </c>
    </row>
    <row r="1480" spans="1:15">
      <c r="A1480" s="17">
        <v>0.91700000000000004</v>
      </c>
      <c r="B1480" s="21">
        <v>171</v>
      </c>
      <c r="C1480" s="16">
        <v>0.35599999999999998</v>
      </c>
      <c r="D1480" s="16" t="str">
        <f ca="1">PROPER(Music_Data[[#This Row],[Playlist_genre2]])</f>
        <v>Rock</v>
      </c>
      <c r="E1480" s="17">
        <v>0.51800000000000002</v>
      </c>
      <c r="F1480" t="s">
        <v>999</v>
      </c>
      <c r="G1480">
        <v>79</v>
      </c>
      <c r="H1480" t="s">
        <v>675</v>
      </c>
      <c r="I1480" t="s">
        <v>1006</v>
      </c>
      <c r="J1480" s="22">
        <v>35702</v>
      </c>
      <c r="K1480">
        <v>1</v>
      </c>
      <c r="L1480">
        <v>9</v>
      </c>
      <c r="M1480" s="21">
        <f ca="1">LEFT(Music_Data[[#This Row],[Duration_minutes]],3)/60</f>
        <v>5.95</v>
      </c>
      <c r="N1480" s="17">
        <v>3.3500000000000002E-2</v>
      </c>
      <c r="O1480" s="17" t="str">
        <f ca="1">PROPER(Music_Data[[#This Row],[Playlist_subgenre2]])</f>
        <v>Classic</v>
      </c>
    </row>
    <row r="1481" spans="1:15">
      <c r="A1481" s="17">
        <v>0.78900000000000003</v>
      </c>
      <c r="B1481" s="21">
        <v>129</v>
      </c>
      <c r="C1481" s="16">
        <v>0.67400000000000004</v>
      </c>
      <c r="D1481" s="16" t="str">
        <f ca="1">PROPER(Music_Data[[#This Row],[Playlist_genre2]])</f>
        <v>Rock</v>
      </c>
      <c r="E1481" s="17">
        <v>0.91800000000000004</v>
      </c>
      <c r="F1481" t="s">
        <v>1166</v>
      </c>
      <c r="G1481">
        <v>78</v>
      </c>
      <c r="H1481" t="s">
        <v>675</v>
      </c>
      <c r="I1481" t="s">
        <v>1173</v>
      </c>
      <c r="J1481" s="22">
        <v>35471</v>
      </c>
      <c r="K1481">
        <v>1</v>
      </c>
      <c r="L1481">
        <v>8</v>
      </c>
      <c r="M1481" s="21">
        <f ca="1">LEFT(Music_Data[[#This Row],[Duration_minutes]],3)/60</f>
        <v>2.0166666666666666</v>
      </c>
      <c r="N1481" s="17">
        <v>1.7799999999999999E-3</v>
      </c>
      <c r="O1481" s="17" t="str">
        <f ca="1">PROPER(Music_Data[[#This Row],[Playlist_subgenre2]])</f>
        <v>Classic</v>
      </c>
    </row>
    <row r="1482" spans="1:15">
      <c r="A1482" s="17">
        <v>0.59299999999999997</v>
      </c>
      <c r="B1482" s="21">
        <v>120</v>
      </c>
      <c r="C1482" s="16">
        <v>0.56499999999999995</v>
      </c>
      <c r="D1482" s="16" t="str">
        <f ca="1">PROPER(Music_Data[[#This Row],[Playlist_genre2]])</f>
        <v>Rock</v>
      </c>
      <c r="E1482" s="17">
        <v>0.42899999999999999</v>
      </c>
      <c r="F1482" t="s">
        <v>3557</v>
      </c>
      <c r="G1482">
        <v>78</v>
      </c>
      <c r="H1482" t="s">
        <v>3520</v>
      </c>
      <c r="I1482" t="s">
        <v>3564</v>
      </c>
      <c r="J1482" s="22">
        <v>45379</v>
      </c>
      <c r="K1482">
        <v>1</v>
      </c>
      <c r="L1482">
        <v>8</v>
      </c>
      <c r="M1482" s="21">
        <f ca="1">LEFT(Music_Data[[#This Row],[Duration_minutes]],3)/60</f>
        <v>2.6166666666666667</v>
      </c>
      <c r="N1482" s="17">
        <v>2.8799999999999999E-2</v>
      </c>
      <c r="O1482" s="17" t="str">
        <f ca="1">PROPER(Music_Data[[#This Row],[Playlist_subgenre2]])</f>
        <v>Feel-Good</v>
      </c>
    </row>
    <row r="1483" spans="1:15">
      <c r="A1483" s="17">
        <v>0.93600000000000005</v>
      </c>
      <c r="B1483" s="21">
        <v>172</v>
      </c>
      <c r="C1483" s="16">
        <v>0.59399999999999997</v>
      </c>
      <c r="D1483" s="16" t="str">
        <f ca="1">PROPER(Music_Data[[#This Row],[Playlist_genre2]])</f>
        <v>Rock</v>
      </c>
      <c r="E1483" s="17">
        <v>0.39</v>
      </c>
      <c r="F1483" t="s">
        <v>12877</v>
      </c>
      <c r="G1483">
        <v>78</v>
      </c>
      <c r="H1483" t="s">
        <v>12750</v>
      </c>
      <c r="I1483" t="s">
        <v>12883</v>
      </c>
      <c r="J1483" s="22">
        <v>1985</v>
      </c>
      <c r="K1483">
        <v>0</v>
      </c>
      <c r="L1483">
        <v>9</v>
      </c>
      <c r="M1483" s="21">
        <f ca="1">LEFT(Music_Data[[#This Row],[Duration_minutes]],3)/60</f>
        <v>3.2333333333333334</v>
      </c>
      <c r="N1483" s="17">
        <v>2.24E-2</v>
      </c>
      <c r="O1483" s="17" t="str">
        <f ca="1">PROPER(Music_Data[[#This Row],[Playlist_subgenre2]])</f>
        <v>Spanish</v>
      </c>
    </row>
    <row r="1484" spans="1:15">
      <c r="A1484" s="17">
        <v>0.64300000000000002</v>
      </c>
      <c r="B1484" s="21">
        <v>103</v>
      </c>
      <c r="C1484" s="16">
        <v>0.63300000000000001</v>
      </c>
      <c r="D1484" s="16" t="str">
        <f ca="1">PROPER(Music_Data[[#This Row],[Playlist_genre2]])</f>
        <v>Rock</v>
      </c>
      <c r="E1484" s="17">
        <v>0.47199999999999998</v>
      </c>
      <c r="F1484" t="s">
        <v>3546</v>
      </c>
      <c r="G1484">
        <v>78</v>
      </c>
      <c r="H1484" t="s">
        <v>3520</v>
      </c>
      <c r="I1484" t="s">
        <v>3550</v>
      </c>
      <c r="J1484" s="22">
        <v>45119</v>
      </c>
      <c r="K1484">
        <v>1</v>
      </c>
      <c r="L1484">
        <v>0</v>
      </c>
      <c r="M1484" s="21">
        <f ca="1">LEFT(Music_Data[[#This Row],[Duration_minutes]],3)/60</f>
        <v>2.1666666666666665</v>
      </c>
      <c r="N1484" s="17">
        <v>0.106</v>
      </c>
      <c r="O1484" s="17" t="str">
        <f ca="1">PROPER(Music_Data[[#This Row],[Playlist_subgenre2]])</f>
        <v>Feel-Good</v>
      </c>
    </row>
    <row r="1485" spans="1:15">
      <c r="A1485" s="17">
        <v>0.60599999999999998</v>
      </c>
      <c r="B1485" s="21">
        <v>977</v>
      </c>
      <c r="C1485" s="16">
        <v>0.59599999999999997</v>
      </c>
      <c r="D1485" s="16" t="str">
        <f ca="1">PROPER(Music_Data[[#This Row],[Playlist_genre2]])</f>
        <v>Rock</v>
      </c>
      <c r="E1485" s="17">
        <v>0.88600000000000001</v>
      </c>
      <c r="F1485" t="s">
        <v>9963</v>
      </c>
      <c r="G1485">
        <v>78</v>
      </c>
      <c r="H1485" t="s">
        <v>9968</v>
      </c>
      <c r="I1485" t="s">
        <v>9971</v>
      </c>
      <c r="J1485" s="22">
        <v>27134</v>
      </c>
      <c r="K1485">
        <v>1</v>
      </c>
      <c r="L1485">
        <v>7</v>
      </c>
      <c r="M1485" s="21">
        <f ca="1">LEFT(Music_Data[[#This Row],[Duration_minutes]],3)/60</f>
        <v>4.7166666666666668</v>
      </c>
      <c r="N1485" s="17">
        <v>0.18099999999999999</v>
      </c>
      <c r="O1485" s="17" t="str">
        <f ca="1">PROPER(Music_Data[[#This Row],[Playlist_subgenre2]])</f>
        <v>Southern</v>
      </c>
    </row>
    <row r="1486" spans="1:15">
      <c r="A1486" s="17">
        <v>0.92100000000000004</v>
      </c>
      <c r="B1486" s="21">
        <v>120</v>
      </c>
      <c r="C1486" s="16">
        <v>0.66800000000000004</v>
      </c>
      <c r="D1486" s="16" t="str">
        <f ca="1">PROPER(Music_Data[[#This Row],[Playlist_genre2]])</f>
        <v>Rock</v>
      </c>
      <c r="E1486" s="17">
        <v>0.78200000000000003</v>
      </c>
      <c r="F1486" t="s">
        <v>1215</v>
      </c>
      <c r="G1486">
        <v>78</v>
      </c>
      <c r="H1486" t="s">
        <v>8930</v>
      </c>
      <c r="I1486" t="s">
        <v>9116</v>
      </c>
      <c r="J1486" s="22">
        <v>38887</v>
      </c>
      <c r="K1486">
        <v>1</v>
      </c>
      <c r="L1486">
        <v>7</v>
      </c>
      <c r="M1486" s="21">
        <f ca="1">LEFT(Music_Data[[#This Row],[Duration_minutes]],3)/60</f>
        <v>3.5333333333333332</v>
      </c>
      <c r="N1486" s="17">
        <v>4.9200000000000001E-2</v>
      </c>
      <c r="O1486" s="17" t="str">
        <f ca="1">PROPER(Music_Data[[#This Row],[Playlist_subgenre2]])</f>
        <v>Alternative</v>
      </c>
    </row>
    <row r="1487" spans="1:15">
      <c r="A1487" s="17">
        <v>0.83299999999999996</v>
      </c>
      <c r="B1487" s="21">
        <v>887</v>
      </c>
      <c r="C1487" s="16">
        <v>0.46600000000000003</v>
      </c>
      <c r="D1487" s="16" t="str">
        <f ca="1">PROPER(Music_Data[[#This Row],[Playlist_genre2]])</f>
        <v>Rock</v>
      </c>
      <c r="E1487" s="17">
        <v>0.66100000000000003</v>
      </c>
      <c r="F1487" t="s">
        <v>1132</v>
      </c>
      <c r="G1487">
        <v>78</v>
      </c>
      <c r="H1487" t="s">
        <v>675</v>
      </c>
      <c r="I1487" t="s">
        <v>1138</v>
      </c>
      <c r="J1487" s="22">
        <v>1992</v>
      </c>
      <c r="K1487">
        <v>1</v>
      </c>
      <c r="L1487">
        <v>7</v>
      </c>
      <c r="M1487" s="21">
        <f ca="1">LEFT(Music_Data[[#This Row],[Duration_minutes]],3)/60</f>
        <v>5.2166666666666668</v>
      </c>
      <c r="N1487" s="17">
        <v>2.6599999999999999E-2</v>
      </c>
      <c r="O1487" s="17" t="str">
        <f ca="1">PROPER(Music_Data[[#This Row],[Playlist_subgenre2]])</f>
        <v>Classic</v>
      </c>
    </row>
    <row r="1488" spans="1:15">
      <c r="A1488" s="17">
        <v>0.56799999999999995</v>
      </c>
      <c r="B1488" s="21">
        <v>107</v>
      </c>
      <c r="C1488" s="16">
        <v>0.61399999999999999</v>
      </c>
      <c r="D1488" s="16" t="str">
        <f ca="1">PROPER(Music_Data[[#This Row],[Playlist_genre2]])</f>
        <v>Rock</v>
      </c>
      <c r="E1488" s="17">
        <v>0.51600000000000001</v>
      </c>
      <c r="F1488" t="s">
        <v>8934</v>
      </c>
      <c r="G1488">
        <v>77</v>
      </c>
      <c r="H1488" t="s">
        <v>8930</v>
      </c>
      <c r="I1488" t="s">
        <v>8939</v>
      </c>
      <c r="J1488" s="22">
        <v>37577</v>
      </c>
      <c r="K1488">
        <v>0</v>
      </c>
      <c r="L1488">
        <v>7</v>
      </c>
      <c r="M1488" s="21">
        <f ca="1">LEFT(Music_Data[[#This Row],[Duration_minutes]],3)/60</f>
        <v>4.8833333333333337</v>
      </c>
      <c r="N1488" s="17">
        <v>7.9699999999999997E-3</v>
      </c>
      <c r="O1488" s="17" t="str">
        <f ca="1">PROPER(Music_Data[[#This Row],[Playlist_subgenre2]])</f>
        <v>Alternative</v>
      </c>
    </row>
    <row r="1489" spans="1:15">
      <c r="A1489" s="17">
        <v>0.59199999999999997</v>
      </c>
      <c r="B1489" s="21">
        <v>170</v>
      </c>
      <c r="C1489" s="16">
        <v>0.33200000000000002</v>
      </c>
      <c r="D1489" s="16" t="str">
        <f ca="1">PROPER(Music_Data[[#This Row],[Playlist_genre2]])</f>
        <v>Rock</v>
      </c>
      <c r="E1489" s="17">
        <v>0.31</v>
      </c>
      <c r="F1489" t="s">
        <v>12800</v>
      </c>
      <c r="G1489">
        <v>77</v>
      </c>
      <c r="H1489" t="s">
        <v>12750</v>
      </c>
      <c r="I1489" t="s">
        <v>12806</v>
      </c>
      <c r="J1489" s="22">
        <v>40218</v>
      </c>
      <c r="K1489">
        <v>1</v>
      </c>
      <c r="L1489">
        <v>1</v>
      </c>
      <c r="M1489" s="21">
        <f ca="1">LEFT(Music_Data[[#This Row],[Duration_minutes]],3)/60</f>
        <v>3.4166666666666665</v>
      </c>
      <c r="N1489" s="17">
        <v>8.2400000000000001E-2</v>
      </c>
      <c r="O1489" s="17" t="str">
        <f ca="1">PROPER(Music_Data[[#This Row],[Playlist_subgenre2]])</f>
        <v>Spanish</v>
      </c>
    </row>
    <row r="1490" spans="1:15">
      <c r="A1490" s="17">
        <v>0.51800000000000002</v>
      </c>
      <c r="B1490" s="21">
        <v>151</v>
      </c>
      <c r="C1490" s="16">
        <v>0.81499999999999995</v>
      </c>
      <c r="D1490" s="16" t="str">
        <f ca="1">PROPER(Music_Data[[#This Row],[Playlist_genre2]])</f>
        <v>Rock</v>
      </c>
      <c r="E1490" s="17">
        <v>0.877</v>
      </c>
      <c r="F1490" t="s">
        <v>3529</v>
      </c>
      <c r="G1490">
        <v>77</v>
      </c>
      <c r="H1490" t="s">
        <v>3520</v>
      </c>
      <c r="I1490" t="s">
        <v>3585</v>
      </c>
      <c r="J1490" s="22">
        <v>43389</v>
      </c>
      <c r="K1490">
        <v>0</v>
      </c>
      <c r="L1490">
        <v>7</v>
      </c>
      <c r="M1490" s="21">
        <f ca="1">LEFT(Music_Data[[#This Row],[Duration_minutes]],3)/60</f>
        <v>2.95</v>
      </c>
      <c r="N1490" s="17">
        <v>0.223</v>
      </c>
      <c r="O1490" s="17" t="str">
        <f ca="1">PROPER(Music_Data[[#This Row],[Playlist_subgenre2]])</f>
        <v>Feel-Good</v>
      </c>
    </row>
    <row r="1491" spans="1:15">
      <c r="A1491" s="17">
        <v>0.71599999999999997</v>
      </c>
      <c r="B1491" s="21">
        <v>943</v>
      </c>
      <c r="C1491" s="16">
        <v>0.53500000000000003</v>
      </c>
      <c r="D1491" s="16" t="str">
        <f ca="1">PROPER(Music_Data[[#This Row],[Playlist_genre2]])</f>
        <v>Rock</v>
      </c>
      <c r="E1491" s="17">
        <v>0.90100000000000002</v>
      </c>
      <c r="F1491" t="s">
        <v>816</v>
      </c>
      <c r="G1491">
        <v>77</v>
      </c>
      <c r="H1491" t="s">
        <v>675</v>
      </c>
      <c r="I1491" t="s">
        <v>822</v>
      </c>
      <c r="J1491" s="22">
        <v>29908</v>
      </c>
      <c r="K1491">
        <v>1</v>
      </c>
      <c r="L1491">
        <v>4</v>
      </c>
      <c r="M1491" s="21">
        <f ca="1">LEFT(Music_Data[[#This Row],[Duration_minutes]],3)/60</f>
        <v>2.9166666666666665</v>
      </c>
      <c r="N1491" s="17">
        <v>0.32600000000000001</v>
      </c>
      <c r="O1491" s="17" t="str">
        <f ca="1">PROPER(Music_Data[[#This Row],[Playlist_subgenre2]])</f>
        <v>Classic</v>
      </c>
    </row>
    <row r="1492" spans="1:15">
      <c r="A1492" s="17">
        <v>0.71599999999999997</v>
      </c>
      <c r="B1492" s="21">
        <v>943</v>
      </c>
      <c r="C1492" s="16">
        <v>0.53500000000000003</v>
      </c>
      <c r="D1492" s="16" t="str">
        <f ca="1">PROPER(Music_Data[[#This Row],[Playlist_genre2]])</f>
        <v>Rock</v>
      </c>
      <c r="E1492" s="17">
        <v>0.90100000000000002</v>
      </c>
      <c r="F1492" t="s">
        <v>816</v>
      </c>
      <c r="G1492">
        <v>77</v>
      </c>
      <c r="H1492" t="s">
        <v>5990</v>
      </c>
      <c r="I1492" t="s">
        <v>822</v>
      </c>
      <c r="J1492" s="22">
        <v>29908</v>
      </c>
      <c r="K1492">
        <v>1</v>
      </c>
      <c r="L1492">
        <v>4</v>
      </c>
      <c r="M1492" s="21">
        <f ca="1">LEFT(Music_Data[[#This Row],[Duration_minutes]],3)/60</f>
        <v>2.9166666666666665</v>
      </c>
      <c r="N1492" s="17">
        <v>0.32600000000000001</v>
      </c>
      <c r="O1492" s="17" t="str">
        <f ca="1">PROPER(Music_Data[[#This Row],[Playlist_subgenre2]])</f>
        <v>80S</v>
      </c>
    </row>
    <row r="1493" spans="1:15">
      <c r="A1493" s="17">
        <v>0.75800000000000001</v>
      </c>
      <c r="B1493" s="21">
        <v>129</v>
      </c>
      <c r="C1493" s="16">
        <v>0.69599999999999995</v>
      </c>
      <c r="D1493" s="16" t="str">
        <f ca="1">PROPER(Music_Data[[#This Row],[Playlist_genre2]])</f>
        <v>Rock</v>
      </c>
      <c r="E1493" s="17">
        <v>0.85799999999999998</v>
      </c>
      <c r="F1493" t="s">
        <v>12760</v>
      </c>
      <c r="G1493">
        <v>77</v>
      </c>
      <c r="H1493" t="s">
        <v>12750</v>
      </c>
      <c r="I1493" t="s">
        <v>12780</v>
      </c>
      <c r="J1493" s="22">
        <v>37257</v>
      </c>
      <c r="K1493">
        <v>1</v>
      </c>
      <c r="L1493">
        <v>4</v>
      </c>
      <c r="M1493" s="21">
        <f ca="1">LEFT(Music_Data[[#This Row],[Duration_minutes]],3)/60</f>
        <v>4.166666666666667</v>
      </c>
      <c r="N1493" s="17">
        <v>0.17199999999999999</v>
      </c>
      <c r="O1493" s="17" t="str">
        <f ca="1">PROPER(Music_Data[[#This Row],[Playlist_subgenre2]])</f>
        <v>Spanish</v>
      </c>
    </row>
    <row r="1494" spans="1:15">
      <c r="A1494" s="17">
        <v>0.73499999999999999</v>
      </c>
      <c r="B1494" s="21">
        <v>123</v>
      </c>
      <c r="C1494" s="16">
        <v>0.71399999999999997</v>
      </c>
      <c r="D1494" s="16" t="str">
        <f ca="1">PROPER(Music_Data[[#This Row],[Playlist_genre2]])</f>
        <v>Rock</v>
      </c>
      <c r="E1494" s="17">
        <v>0.68</v>
      </c>
      <c r="F1494" t="s">
        <v>12783</v>
      </c>
      <c r="G1494">
        <v>77</v>
      </c>
      <c r="H1494" t="s">
        <v>12750</v>
      </c>
      <c r="I1494" t="s">
        <v>12893</v>
      </c>
      <c r="J1494" s="22">
        <v>34335</v>
      </c>
      <c r="K1494">
        <v>0</v>
      </c>
      <c r="L1494">
        <v>4</v>
      </c>
      <c r="M1494" s="21">
        <f ca="1">LEFT(Music_Data[[#This Row],[Duration_minutes]],3)/60</f>
        <v>3.7</v>
      </c>
      <c r="N1494" s="17">
        <v>0.17599999999999999</v>
      </c>
      <c r="O1494" s="17" t="str">
        <f ca="1">PROPER(Music_Data[[#This Row],[Playlist_subgenre2]])</f>
        <v>Spanish</v>
      </c>
    </row>
    <row r="1495" spans="1:15">
      <c r="A1495" s="17">
        <v>0.94399999999999995</v>
      </c>
      <c r="B1495" s="21">
        <v>105</v>
      </c>
      <c r="C1495" s="16">
        <v>0.39400000000000002</v>
      </c>
      <c r="D1495" s="16" t="str">
        <f ca="1">PROPER(Music_Data[[#This Row],[Playlist_genre2]])</f>
        <v>Rock</v>
      </c>
      <c r="E1495" s="17">
        <v>0.26500000000000001</v>
      </c>
      <c r="F1495" t="s">
        <v>973</v>
      </c>
      <c r="G1495">
        <v>77</v>
      </c>
      <c r="H1495" t="s">
        <v>675</v>
      </c>
      <c r="I1495" t="s">
        <v>979</v>
      </c>
      <c r="J1495" s="22">
        <v>33477</v>
      </c>
      <c r="K1495">
        <v>0</v>
      </c>
      <c r="L1495">
        <v>10</v>
      </c>
      <c r="M1495" s="21">
        <f ca="1">LEFT(Music_Data[[#This Row],[Duration_minutes]],3)/60</f>
        <v>4.8666666666666663</v>
      </c>
      <c r="N1495" s="17">
        <v>1.7799999999999999E-3</v>
      </c>
      <c r="O1495" s="17" t="str">
        <f ca="1">PROPER(Music_Data[[#This Row],[Playlist_subgenre2]])</f>
        <v>Classic</v>
      </c>
    </row>
    <row r="1496" spans="1:15">
      <c r="A1496" s="17">
        <v>0.94399999999999995</v>
      </c>
      <c r="B1496" s="21">
        <v>105</v>
      </c>
      <c r="C1496" s="16">
        <v>0.39400000000000002</v>
      </c>
      <c r="D1496" s="16" t="str">
        <f ca="1">PROPER(Music_Data[[#This Row],[Playlist_genre2]])</f>
        <v>Rock</v>
      </c>
      <c r="E1496" s="17">
        <v>0.26500000000000001</v>
      </c>
      <c r="F1496" t="s">
        <v>973</v>
      </c>
      <c r="G1496">
        <v>77</v>
      </c>
      <c r="H1496" t="s">
        <v>8930</v>
      </c>
      <c r="I1496" t="s">
        <v>979</v>
      </c>
      <c r="J1496" s="22">
        <v>33477</v>
      </c>
      <c r="K1496">
        <v>0</v>
      </c>
      <c r="L1496">
        <v>10</v>
      </c>
      <c r="M1496" s="21">
        <f ca="1">LEFT(Music_Data[[#This Row],[Duration_minutes]],3)/60</f>
        <v>4.8666666666666663</v>
      </c>
      <c r="N1496" s="17">
        <v>1.7799999999999999E-3</v>
      </c>
      <c r="O1496" s="17" t="str">
        <f ca="1">PROPER(Music_Data[[#This Row],[Playlist_subgenre2]])</f>
        <v>Alternative</v>
      </c>
    </row>
    <row r="1497" spans="1:15">
      <c r="A1497" s="17">
        <v>0.9</v>
      </c>
      <c r="B1497" s="21">
        <v>104</v>
      </c>
      <c r="C1497" s="16">
        <v>0.42699999999999999</v>
      </c>
      <c r="D1497" s="16" t="str">
        <f ca="1">PROPER(Music_Data[[#This Row],[Playlist_genre2]])</f>
        <v>Rock</v>
      </c>
      <c r="E1497" s="17">
        <v>0.59899999999999998</v>
      </c>
      <c r="F1497" t="s">
        <v>745</v>
      </c>
      <c r="G1497">
        <v>77</v>
      </c>
      <c r="H1497" t="s">
        <v>8930</v>
      </c>
      <c r="I1497" t="s">
        <v>9107</v>
      </c>
      <c r="J1497" s="22">
        <v>38846</v>
      </c>
      <c r="K1497">
        <v>1</v>
      </c>
      <c r="L1497">
        <v>11</v>
      </c>
      <c r="M1497" s="21">
        <f ca="1">LEFT(Music_Data[[#This Row],[Duration_minutes]],3)/60</f>
        <v>5.5666666666666664</v>
      </c>
      <c r="N1497" s="17">
        <v>0.11600000000000001</v>
      </c>
      <c r="O1497" s="17" t="str">
        <f ca="1">PROPER(Music_Data[[#This Row],[Playlist_subgenre2]])</f>
        <v>Alternative</v>
      </c>
    </row>
    <row r="1498" spans="1:15">
      <c r="A1498" s="17">
        <v>0.91300000000000003</v>
      </c>
      <c r="B1498" s="21">
        <v>961</v>
      </c>
      <c r="C1498" s="16">
        <v>0.55600000000000005</v>
      </c>
      <c r="D1498" s="16" t="str">
        <f ca="1">PROPER(Music_Data[[#This Row],[Playlist_genre2]])</f>
        <v>Rock</v>
      </c>
      <c r="E1498" s="17">
        <v>0.73</v>
      </c>
      <c r="F1498" t="s">
        <v>745</v>
      </c>
      <c r="G1498">
        <v>77</v>
      </c>
      <c r="H1498" t="s">
        <v>8930</v>
      </c>
      <c r="I1498" t="s">
        <v>9141</v>
      </c>
      <c r="J1498" s="22">
        <v>38846</v>
      </c>
      <c r="K1498">
        <v>1</v>
      </c>
      <c r="L1498">
        <v>0</v>
      </c>
      <c r="M1498" s="21">
        <f ca="1">LEFT(Music_Data[[#This Row],[Duration_minutes]],3)/60</f>
        <v>4.7</v>
      </c>
      <c r="N1498" s="17">
        <v>1.9300000000000001E-2</v>
      </c>
      <c r="O1498" s="17" t="str">
        <f ca="1">PROPER(Music_Data[[#This Row],[Playlist_subgenre2]])</f>
        <v>Alternative</v>
      </c>
    </row>
    <row r="1499" spans="1:15">
      <c r="A1499" s="17">
        <v>0.748</v>
      </c>
      <c r="B1499" s="21">
        <v>134</v>
      </c>
      <c r="C1499" s="16">
        <v>0.61799999999999999</v>
      </c>
      <c r="D1499" s="16" t="str">
        <f ca="1">PROPER(Music_Data[[#This Row],[Playlist_genre2]])</f>
        <v>Rock</v>
      </c>
      <c r="E1499" s="17">
        <v>0.66300000000000003</v>
      </c>
      <c r="F1499" t="s">
        <v>1290</v>
      </c>
      <c r="G1499">
        <v>77</v>
      </c>
      <c r="H1499" t="s">
        <v>675</v>
      </c>
      <c r="I1499" t="s">
        <v>1509</v>
      </c>
      <c r="J1499" s="22">
        <v>28796</v>
      </c>
      <c r="K1499">
        <v>1</v>
      </c>
      <c r="L1499">
        <v>0</v>
      </c>
      <c r="M1499" s="21">
        <f ca="1">LEFT(Music_Data[[#This Row],[Duration_minutes]],3)/60</f>
        <v>3.1833333333333331</v>
      </c>
      <c r="N1499" s="17">
        <v>3.8399999999999997E-2</v>
      </c>
      <c r="O1499" s="17" t="str">
        <f ca="1">PROPER(Music_Data[[#This Row],[Playlist_subgenre2]])</f>
        <v>Classic</v>
      </c>
    </row>
    <row r="1500" spans="1:15">
      <c r="A1500" s="17">
        <v>0.78700000000000003</v>
      </c>
      <c r="B1500" s="21">
        <v>126</v>
      </c>
      <c r="C1500" s="16">
        <v>0.76700000000000002</v>
      </c>
      <c r="D1500" s="16" t="str">
        <f ca="1">PROPER(Music_Data[[#This Row],[Playlist_genre2]])</f>
        <v>Rock</v>
      </c>
      <c r="E1500" s="17">
        <v>0.96399999999999997</v>
      </c>
      <c r="F1500" t="s">
        <v>1423</v>
      </c>
      <c r="G1500">
        <v>77</v>
      </c>
      <c r="H1500" t="s">
        <v>675</v>
      </c>
      <c r="I1500" t="s">
        <v>1430</v>
      </c>
      <c r="J1500" s="22">
        <v>1995</v>
      </c>
      <c r="K1500">
        <v>1</v>
      </c>
      <c r="L1500">
        <v>3</v>
      </c>
      <c r="M1500" s="21">
        <f ca="1">LEFT(Music_Data[[#This Row],[Duration_minutes]],3)/60</f>
        <v>4.4333333333333336</v>
      </c>
      <c r="N1500" s="17">
        <v>1.6299999999999999E-2</v>
      </c>
      <c r="O1500" s="17" t="str">
        <f ca="1">PROPER(Music_Data[[#This Row],[Playlist_subgenre2]])</f>
        <v>Classic</v>
      </c>
    </row>
    <row r="1501" spans="1:15">
      <c r="A1501" s="17">
        <v>0.84599999999999997</v>
      </c>
      <c r="B1501" s="21">
        <v>103</v>
      </c>
      <c r="C1501" s="16">
        <v>0.61099999999999999</v>
      </c>
      <c r="D1501" s="16" t="str">
        <f ca="1">PROPER(Music_Data[[#This Row],[Playlist_genre2]])</f>
        <v>Rock</v>
      </c>
      <c r="E1501" s="17">
        <v>0.751</v>
      </c>
      <c r="F1501" t="s">
        <v>3588</v>
      </c>
      <c r="G1501">
        <v>77</v>
      </c>
      <c r="H1501" t="s">
        <v>3520</v>
      </c>
      <c r="I1501" t="s">
        <v>3594</v>
      </c>
      <c r="J1501" s="22">
        <v>30732</v>
      </c>
      <c r="K1501">
        <v>1</v>
      </c>
      <c r="L1501">
        <v>11</v>
      </c>
      <c r="M1501" s="21">
        <f ca="1">LEFT(Music_Data[[#This Row],[Duration_minutes]],3)/60</f>
        <v>2.7</v>
      </c>
      <c r="N1501" s="17">
        <v>5.0899999999999999E-3</v>
      </c>
      <c r="O1501" s="17" t="str">
        <f ca="1">PROPER(Music_Data[[#This Row],[Playlist_subgenre2]])</f>
        <v>Feel-Good</v>
      </c>
    </row>
    <row r="1502" spans="1:15">
      <c r="A1502" s="17">
        <v>0.749</v>
      </c>
      <c r="B1502" s="21">
        <v>164</v>
      </c>
      <c r="C1502" s="16">
        <v>0.59299999999999997</v>
      </c>
      <c r="D1502" s="16" t="str">
        <f ca="1">PROPER(Music_Data[[#This Row],[Playlist_genre2]])</f>
        <v>Rock</v>
      </c>
      <c r="E1502" s="17">
        <v>0.64900000000000002</v>
      </c>
      <c r="F1502" t="s">
        <v>3568</v>
      </c>
      <c r="G1502">
        <v>77</v>
      </c>
      <c r="H1502" t="s">
        <v>3520</v>
      </c>
      <c r="I1502" t="s">
        <v>3574</v>
      </c>
      <c r="J1502" s="22">
        <v>43931</v>
      </c>
      <c r="K1502">
        <v>1</v>
      </c>
      <c r="L1502">
        <v>5</v>
      </c>
      <c r="M1502" s="21">
        <f ca="1">LEFT(Music_Data[[#This Row],[Duration_minutes]],3)/60</f>
        <v>5.15</v>
      </c>
      <c r="N1502" s="17">
        <v>1.1299999999999999E-2</v>
      </c>
      <c r="O1502" s="17" t="str">
        <f ca="1">PROPER(Music_Data[[#This Row],[Playlist_subgenre2]])</f>
        <v>Feel-Good</v>
      </c>
    </row>
    <row r="1503" spans="1:15">
      <c r="A1503" s="17">
        <v>0.82799999999999996</v>
      </c>
      <c r="B1503" s="21">
        <v>112</v>
      </c>
      <c r="C1503" s="16">
        <v>0.65400000000000003</v>
      </c>
      <c r="D1503" s="16" t="str">
        <f ca="1">PROPER(Music_Data[[#This Row],[Playlist_genre2]])</f>
        <v>Rock</v>
      </c>
      <c r="E1503" s="17">
        <v>0.79</v>
      </c>
      <c r="F1503" t="s">
        <v>3458</v>
      </c>
      <c r="G1503">
        <v>76</v>
      </c>
      <c r="H1503" t="s">
        <v>3520</v>
      </c>
      <c r="I1503" t="s">
        <v>3611</v>
      </c>
      <c r="J1503" s="22">
        <v>39194</v>
      </c>
      <c r="K1503">
        <v>0</v>
      </c>
      <c r="L1503">
        <v>1</v>
      </c>
      <c r="M1503" s="21">
        <f ca="1">LEFT(Music_Data[[#This Row],[Duration_minutes]],3)/60</f>
        <v>3.05</v>
      </c>
      <c r="N1503" s="17">
        <v>1.4599999999999999E-3</v>
      </c>
      <c r="O1503" s="17" t="str">
        <f ca="1">PROPER(Music_Data[[#This Row],[Playlist_subgenre2]])</f>
        <v>Feel-Good</v>
      </c>
    </row>
    <row r="1504" spans="1:15">
      <c r="A1504" s="17">
        <v>0.51900000000000002</v>
      </c>
      <c r="B1504" s="21">
        <v>988</v>
      </c>
      <c r="C1504" s="16">
        <v>0.65300000000000002</v>
      </c>
      <c r="D1504" s="16" t="str">
        <f ca="1">PROPER(Music_Data[[#This Row],[Playlist_genre2]])</f>
        <v>Rock</v>
      </c>
      <c r="E1504" s="17">
        <v>0.82199999999999995</v>
      </c>
      <c r="F1504" t="s">
        <v>1228</v>
      </c>
      <c r="G1504">
        <v>76</v>
      </c>
      <c r="H1504" t="s">
        <v>675</v>
      </c>
      <c r="I1504" t="s">
        <v>1234</v>
      </c>
      <c r="J1504" s="22">
        <v>24446</v>
      </c>
      <c r="K1504">
        <v>1</v>
      </c>
      <c r="L1504">
        <v>2</v>
      </c>
      <c r="M1504" s="21">
        <f ca="1">LEFT(Music_Data[[#This Row],[Duration_minutes]],3)/60</f>
        <v>2.5499999999999998</v>
      </c>
      <c r="N1504" s="17">
        <v>0.40600000000000003</v>
      </c>
      <c r="O1504" s="17" t="str">
        <f ca="1">PROPER(Music_Data[[#This Row],[Playlist_subgenre2]])</f>
        <v>Classic</v>
      </c>
    </row>
    <row r="1505" spans="1:15">
      <c r="A1505" s="17">
        <v>0.84899999999999998</v>
      </c>
      <c r="B1505" s="21">
        <v>156</v>
      </c>
      <c r="C1505" s="16">
        <v>0.63600000000000001</v>
      </c>
      <c r="D1505" s="16" t="str">
        <f ca="1">PROPER(Music_Data[[#This Row],[Playlist_genre2]])</f>
        <v>Rock</v>
      </c>
      <c r="E1505" s="17">
        <v>0.91700000000000004</v>
      </c>
      <c r="F1505" t="s">
        <v>9094</v>
      </c>
      <c r="G1505">
        <v>76</v>
      </c>
      <c r="H1505" t="s">
        <v>8930</v>
      </c>
      <c r="I1505" t="s">
        <v>9100</v>
      </c>
      <c r="J1505" s="22">
        <v>39896</v>
      </c>
      <c r="K1505">
        <v>1</v>
      </c>
      <c r="L1505">
        <v>0</v>
      </c>
      <c r="M1505" s="21">
        <f ca="1">LEFT(Music_Data[[#This Row],[Duration_minutes]],3)/60</f>
        <v>2.9166666666666665</v>
      </c>
      <c r="N1505" s="17">
        <v>4.3799999999999999E-2</v>
      </c>
      <c r="O1505" s="17" t="str">
        <f ca="1">PROPER(Music_Data[[#This Row],[Playlist_subgenre2]])</f>
        <v>Alternative</v>
      </c>
    </row>
    <row r="1506" spans="1:15">
      <c r="A1506" s="17">
        <v>0.44900000000000001</v>
      </c>
      <c r="B1506" s="21">
        <v>100</v>
      </c>
      <c r="C1506" s="16">
        <v>0.48599999999999999</v>
      </c>
      <c r="D1506" s="16" t="str">
        <f ca="1">PROPER(Music_Data[[#This Row],[Playlist_genre2]])</f>
        <v>Rock</v>
      </c>
      <c r="E1506" s="17">
        <v>0.54900000000000004</v>
      </c>
      <c r="F1506" t="s">
        <v>932</v>
      </c>
      <c r="G1506">
        <v>76</v>
      </c>
      <c r="H1506" t="s">
        <v>675</v>
      </c>
      <c r="I1506" t="s">
        <v>939</v>
      </c>
      <c r="J1506" s="22">
        <v>26456</v>
      </c>
      <c r="K1506">
        <v>1</v>
      </c>
      <c r="L1506">
        <v>5</v>
      </c>
      <c r="M1506" s="21">
        <f ca="1">LEFT(Music_Data[[#This Row],[Duration_minutes]],3)/60</f>
        <v>4.2333333333333334</v>
      </c>
      <c r="N1506" s="17">
        <v>0.16600000000000001</v>
      </c>
      <c r="O1506" s="17" t="str">
        <f ca="1">PROPER(Music_Data[[#This Row],[Playlist_subgenre2]])</f>
        <v>Classic</v>
      </c>
    </row>
    <row r="1507" spans="1:15">
      <c r="A1507" s="17">
        <v>0.33800000000000002</v>
      </c>
      <c r="B1507" s="21">
        <v>177</v>
      </c>
      <c r="C1507" s="16">
        <v>0.38800000000000001</v>
      </c>
      <c r="D1507" s="16" t="str">
        <f ca="1">PROPER(Music_Data[[#This Row],[Playlist_genre2]])</f>
        <v>Rock</v>
      </c>
      <c r="E1507" s="17">
        <v>0.47799999999999998</v>
      </c>
      <c r="F1507" t="s">
        <v>1325</v>
      </c>
      <c r="G1507">
        <v>76</v>
      </c>
      <c r="H1507" t="s">
        <v>675</v>
      </c>
      <c r="I1507" t="s">
        <v>1332</v>
      </c>
      <c r="J1507" s="22">
        <v>1977</v>
      </c>
      <c r="K1507">
        <v>1</v>
      </c>
      <c r="L1507">
        <v>10</v>
      </c>
      <c r="M1507" s="21">
        <f ca="1">LEFT(Music_Data[[#This Row],[Duration_minutes]],3)/60</f>
        <v>5.05</v>
      </c>
      <c r="N1507" s="17">
        <v>0.65200000000000002</v>
      </c>
      <c r="O1507" s="17" t="str">
        <f ca="1">PROPER(Music_Data[[#This Row],[Playlist_subgenre2]])</f>
        <v>Classic</v>
      </c>
    </row>
    <row r="1508" spans="1:15">
      <c r="A1508" s="17">
        <v>0.71499999999999997</v>
      </c>
      <c r="B1508" s="21">
        <v>137</v>
      </c>
      <c r="C1508" s="16">
        <v>0.27600000000000002</v>
      </c>
      <c r="D1508" s="16" t="str">
        <f ca="1">PROPER(Music_Data[[#This Row],[Playlist_genre2]])</f>
        <v>Rock</v>
      </c>
      <c r="E1508" s="17">
        <v>0.17299999999999999</v>
      </c>
      <c r="F1508" t="s">
        <v>9127</v>
      </c>
      <c r="G1508">
        <v>76</v>
      </c>
      <c r="H1508" t="s">
        <v>8930</v>
      </c>
      <c r="I1508" t="s">
        <v>9133</v>
      </c>
      <c r="J1508" s="22">
        <v>39714</v>
      </c>
      <c r="K1508">
        <v>1</v>
      </c>
      <c r="L1508">
        <v>0</v>
      </c>
      <c r="M1508" s="21">
        <f ca="1">LEFT(Music_Data[[#This Row],[Duration_minutes]],3)/60</f>
        <v>3.8333333333333335</v>
      </c>
      <c r="N1508" s="17">
        <v>5.5199999999999997E-3</v>
      </c>
      <c r="O1508" s="17" t="str">
        <f ca="1">PROPER(Music_Data[[#This Row],[Playlist_subgenre2]])</f>
        <v>Alternative</v>
      </c>
    </row>
    <row r="1509" spans="1:15">
      <c r="A1509" s="17">
        <v>0.97199999999999998</v>
      </c>
      <c r="B1509" s="21">
        <v>110</v>
      </c>
      <c r="C1509" s="16">
        <v>0.58499999999999996</v>
      </c>
      <c r="D1509" s="16" t="str">
        <f ca="1">PROPER(Music_Data[[#This Row],[Playlist_genre2]])</f>
        <v>Rock</v>
      </c>
      <c r="E1509" s="17">
        <v>0.58499999999999996</v>
      </c>
      <c r="F1509" t="s">
        <v>644</v>
      </c>
      <c r="G1509">
        <v>76</v>
      </c>
      <c r="H1509" t="s">
        <v>8930</v>
      </c>
      <c r="I1509" t="s">
        <v>9004</v>
      </c>
      <c r="J1509" s="22">
        <v>41079</v>
      </c>
      <c r="K1509">
        <v>0</v>
      </c>
      <c r="L1509">
        <v>9</v>
      </c>
      <c r="M1509" s="21">
        <f ca="1">LEFT(Music_Data[[#This Row],[Duration_minutes]],3)/60</f>
        <v>3.8333333333333335</v>
      </c>
      <c r="N1509" s="17">
        <v>1.43E-2</v>
      </c>
      <c r="O1509" s="17" t="str">
        <f ca="1">PROPER(Music_Data[[#This Row],[Playlist_subgenre2]])</f>
        <v>Alternative</v>
      </c>
    </row>
    <row r="1510" spans="1:15">
      <c r="A1510" s="17">
        <v>0.82399999999999995</v>
      </c>
      <c r="B1510" s="21">
        <v>120</v>
      </c>
      <c r="C1510" s="16">
        <v>0.5</v>
      </c>
      <c r="D1510" s="16" t="str">
        <f ca="1">PROPER(Music_Data[[#This Row],[Playlist_genre2]])</f>
        <v>Rock</v>
      </c>
      <c r="E1510" s="17">
        <v>0.53900000000000003</v>
      </c>
      <c r="F1510" t="s">
        <v>731</v>
      </c>
      <c r="G1510">
        <v>76</v>
      </c>
      <c r="H1510" t="s">
        <v>675</v>
      </c>
      <c r="I1510" t="s">
        <v>738</v>
      </c>
      <c r="J1510" s="22">
        <v>33507</v>
      </c>
      <c r="K1510">
        <v>0</v>
      </c>
      <c r="L1510">
        <v>4</v>
      </c>
      <c r="M1510" s="21">
        <f ca="1">LEFT(Music_Data[[#This Row],[Duration_minutes]],3)/60</f>
        <v>3.6333333333333333</v>
      </c>
      <c r="N1510" s="17">
        <v>1.6000000000000001E-4</v>
      </c>
      <c r="O1510" s="17" t="str">
        <f ca="1">PROPER(Music_Data[[#This Row],[Playlist_subgenre2]])</f>
        <v>Classic</v>
      </c>
    </row>
    <row r="1511" spans="1:15">
      <c r="A1511" s="17">
        <v>0.91200000000000003</v>
      </c>
      <c r="B1511" s="21">
        <v>116</v>
      </c>
      <c r="C1511" s="16">
        <v>0.502</v>
      </c>
      <c r="D1511" s="16" t="str">
        <f ca="1">PROPER(Music_Data[[#This Row],[Playlist_genre2]])</f>
        <v>Rock</v>
      </c>
      <c r="E1511" s="17">
        <v>0.72</v>
      </c>
      <c r="F1511" t="s">
        <v>731</v>
      </c>
      <c r="G1511">
        <v>76</v>
      </c>
      <c r="H1511" t="s">
        <v>675</v>
      </c>
      <c r="I1511" t="s">
        <v>1127</v>
      </c>
      <c r="J1511" s="22">
        <v>33507</v>
      </c>
      <c r="K1511">
        <v>1</v>
      </c>
      <c r="L1511">
        <v>1</v>
      </c>
      <c r="M1511" s="21">
        <f ca="1">LEFT(Music_Data[[#This Row],[Duration_minutes]],3)/60</f>
        <v>5.0166666666666666</v>
      </c>
      <c r="N1511" s="17">
        <v>2.55E-5</v>
      </c>
      <c r="O1511" s="17" t="str">
        <f ca="1">PROPER(Music_Data[[#This Row],[Playlist_subgenre2]])</f>
        <v>Classic</v>
      </c>
    </row>
    <row r="1512" spans="1:15">
      <c r="A1512" s="17">
        <v>0.23899999999999999</v>
      </c>
      <c r="B1512" s="21">
        <v>189</v>
      </c>
      <c r="C1512" s="16">
        <v>0.44600000000000001</v>
      </c>
      <c r="D1512" s="16" t="str">
        <f ca="1">PROPER(Music_Data[[#This Row],[Playlist_genre2]])</f>
        <v>Rock</v>
      </c>
      <c r="E1512" s="17">
        <v>0.29799999999999999</v>
      </c>
      <c r="F1512" t="s">
        <v>1039</v>
      </c>
      <c r="G1512">
        <v>76</v>
      </c>
      <c r="H1512" t="s">
        <v>675</v>
      </c>
      <c r="I1512" t="s">
        <v>1046</v>
      </c>
      <c r="J1512" s="22">
        <v>29587</v>
      </c>
      <c r="K1512">
        <v>1</v>
      </c>
      <c r="L1512">
        <v>0</v>
      </c>
      <c r="M1512" s="21">
        <f ca="1">LEFT(Music_Data[[#This Row],[Duration_minutes]],3)/60</f>
        <v>5.6</v>
      </c>
      <c r="N1512" s="17">
        <v>0.55100000000000005</v>
      </c>
      <c r="O1512" s="17" t="str">
        <f ca="1">PROPER(Music_Data[[#This Row],[Playlist_subgenre2]])</f>
        <v>Classic</v>
      </c>
    </row>
    <row r="1513" spans="1:15">
      <c r="A1513" s="17">
        <v>0.441</v>
      </c>
      <c r="B1513" s="21">
        <v>813</v>
      </c>
      <c r="C1513" s="16">
        <v>0.51900000000000002</v>
      </c>
      <c r="D1513" s="16" t="str">
        <f ca="1">PROPER(Music_Data[[#This Row],[Playlist_genre2]])</f>
        <v>Rock</v>
      </c>
      <c r="E1513" s="17">
        <v>0.25</v>
      </c>
      <c r="F1513" t="s">
        <v>1179</v>
      </c>
      <c r="G1513">
        <v>76</v>
      </c>
      <c r="H1513" t="s">
        <v>675</v>
      </c>
      <c r="I1513" t="s">
        <v>1185</v>
      </c>
      <c r="J1513" s="22">
        <v>32223</v>
      </c>
      <c r="K1513">
        <v>1</v>
      </c>
      <c r="L1513">
        <v>4</v>
      </c>
      <c r="M1513" s="21">
        <f ca="1">LEFT(Music_Data[[#This Row],[Duration_minutes]],3)/60</f>
        <v>3.9</v>
      </c>
      <c r="N1513" s="17">
        <v>2.0400000000000001E-2</v>
      </c>
      <c r="O1513" s="17" t="str">
        <f ca="1">PROPER(Music_Data[[#This Row],[Playlist_subgenre2]])</f>
        <v>Classic</v>
      </c>
    </row>
    <row r="1514" spans="1:15">
      <c r="A1514" s="17">
        <v>0.92400000000000004</v>
      </c>
      <c r="B1514" s="21">
        <v>168</v>
      </c>
      <c r="C1514" s="16">
        <v>0.59799999999999998</v>
      </c>
      <c r="D1514" s="16" t="str">
        <f ca="1">PROPER(Music_Data[[#This Row],[Playlist_genre2]])</f>
        <v>Rock</v>
      </c>
      <c r="E1514" s="17">
        <v>0.61099999999999999</v>
      </c>
      <c r="F1514" t="s">
        <v>3598</v>
      </c>
      <c r="G1514">
        <v>76</v>
      </c>
      <c r="H1514" t="s">
        <v>3520</v>
      </c>
      <c r="I1514" t="s">
        <v>3601</v>
      </c>
      <c r="J1514" s="22">
        <v>44630</v>
      </c>
      <c r="K1514">
        <v>0</v>
      </c>
      <c r="L1514">
        <v>6</v>
      </c>
      <c r="M1514" s="21">
        <f ca="1">LEFT(Music_Data[[#This Row],[Duration_minutes]],3)/60</f>
        <v>2.7</v>
      </c>
      <c r="N1514" s="17">
        <v>2.0500000000000001E-2</v>
      </c>
      <c r="O1514" s="17" t="str">
        <f ca="1">PROPER(Music_Data[[#This Row],[Playlist_subgenre2]])</f>
        <v>Feel-Good</v>
      </c>
    </row>
    <row r="1515" spans="1:15">
      <c r="A1515" s="17">
        <v>0.82799999999999996</v>
      </c>
      <c r="B1515" s="21">
        <v>105</v>
      </c>
      <c r="C1515" s="16">
        <v>0.35</v>
      </c>
      <c r="D1515" s="16" t="str">
        <f ca="1">PROPER(Music_Data[[#This Row],[Playlist_genre2]])</f>
        <v>Rock</v>
      </c>
      <c r="E1515" s="17">
        <v>0.14699999999999999</v>
      </c>
      <c r="F1515" t="s">
        <v>1253</v>
      </c>
      <c r="G1515">
        <v>76</v>
      </c>
      <c r="H1515" t="s">
        <v>675</v>
      </c>
      <c r="I1515" t="s">
        <v>1260</v>
      </c>
      <c r="J1515" s="22">
        <v>34402</v>
      </c>
      <c r="K1515">
        <v>1</v>
      </c>
      <c r="L1515">
        <v>6</v>
      </c>
      <c r="M1515" s="21">
        <f ca="1">LEFT(Music_Data[[#This Row],[Duration_minutes]],3)/60</f>
        <v>5.3</v>
      </c>
      <c r="N1515" s="17">
        <v>2.1699999999999999E-4</v>
      </c>
      <c r="O1515" s="17" t="str">
        <f ca="1">PROPER(Music_Data[[#This Row],[Playlist_subgenre2]])</f>
        <v>Classic</v>
      </c>
    </row>
    <row r="1516" spans="1:15">
      <c r="A1516" s="17">
        <v>0.52100000000000002</v>
      </c>
      <c r="B1516" s="21">
        <v>123</v>
      </c>
      <c r="C1516" s="16">
        <v>0.72099999999999997</v>
      </c>
      <c r="D1516" s="16" t="str">
        <f ca="1">PROPER(Music_Data[[#This Row],[Playlist_genre2]])</f>
        <v>Rock</v>
      </c>
      <c r="E1516" s="17">
        <v>0.94199999999999995</v>
      </c>
      <c r="F1516" t="s">
        <v>1051</v>
      </c>
      <c r="G1516">
        <v>76</v>
      </c>
      <c r="H1516" t="s">
        <v>675</v>
      </c>
      <c r="I1516" t="s">
        <v>1058</v>
      </c>
      <c r="J1516" s="22">
        <v>28384</v>
      </c>
      <c r="K1516">
        <v>1</v>
      </c>
      <c r="L1516">
        <v>2</v>
      </c>
      <c r="M1516" s="21">
        <f ca="1">LEFT(Music_Data[[#This Row],[Duration_minutes]],3)/60</f>
        <v>4.3499999999999996</v>
      </c>
      <c r="N1516" s="17">
        <v>7.0800000000000002E-2</v>
      </c>
      <c r="O1516" s="17" t="str">
        <f ca="1">PROPER(Music_Data[[#This Row],[Playlist_subgenre2]])</f>
        <v>Classic</v>
      </c>
    </row>
    <row r="1517" spans="1:15">
      <c r="A1517" s="17">
        <v>0.86299999999999999</v>
      </c>
      <c r="B1517" s="21">
        <v>136</v>
      </c>
      <c r="C1517" s="16">
        <v>0.72299999999999998</v>
      </c>
      <c r="D1517" s="16" t="str">
        <f ca="1">PROPER(Music_Data[[#This Row],[Playlist_genre2]])</f>
        <v>Rock</v>
      </c>
      <c r="E1517" s="17">
        <v>0.93100000000000005</v>
      </c>
      <c r="F1517" t="s">
        <v>773</v>
      </c>
      <c r="G1517">
        <v>76</v>
      </c>
      <c r="H1517" t="s">
        <v>675</v>
      </c>
      <c r="I1517" t="s">
        <v>925</v>
      </c>
      <c r="J1517" s="22">
        <v>23953</v>
      </c>
      <c r="K1517">
        <v>1</v>
      </c>
      <c r="L1517">
        <v>2</v>
      </c>
      <c r="M1517" s="21">
        <f ca="1">LEFT(Music_Data[[#This Row],[Duration_minutes]],3)/60</f>
        <v>3.7</v>
      </c>
      <c r="N1517" s="17">
        <v>3.8300000000000001E-2</v>
      </c>
      <c r="O1517" s="17" t="str">
        <f ca="1">PROPER(Music_Data[[#This Row],[Playlist_subgenre2]])</f>
        <v>Classic</v>
      </c>
    </row>
    <row r="1518" spans="1:15">
      <c r="A1518" s="17">
        <v>0.93200000000000005</v>
      </c>
      <c r="B1518" s="21">
        <v>122</v>
      </c>
      <c r="C1518" s="16">
        <v>0.63100000000000001</v>
      </c>
      <c r="D1518" s="16" t="str">
        <f ca="1">PROPER(Music_Data[[#This Row],[Playlist_genre2]])</f>
        <v>Rock</v>
      </c>
      <c r="E1518" s="17">
        <v>0.97099999999999997</v>
      </c>
      <c r="F1518" t="s">
        <v>773</v>
      </c>
      <c r="G1518">
        <v>76</v>
      </c>
      <c r="H1518" t="s">
        <v>5990</v>
      </c>
      <c r="I1518" t="s">
        <v>6057</v>
      </c>
      <c r="J1518" s="22">
        <v>29822</v>
      </c>
      <c r="K1518">
        <v>1</v>
      </c>
      <c r="L1518">
        <v>5</v>
      </c>
      <c r="M1518" s="21">
        <f ca="1">LEFT(Music_Data[[#This Row],[Duration_minutes]],3)/60</f>
        <v>3.55</v>
      </c>
      <c r="N1518" s="17">
        <v>4.2900000000000001E-2</v>
      </c>
      <c r="O1518" s="17" t="str">
        <f ca="1">PROPER(Music_Data[[#This Row],[Playlist_subgenre2]])</f>
        <v>80S</v>
      </c>
    </row>
    <row r="1519" spans="1:15">
      <c r="A1519" s="17">
        <v>0.92700000000000005</v>
      </c>
      <c r="B1519" s="21">
        <v>141</v>
      </c>
      <c r="C1519" s="16">
        <v>0.33300000000000002</v>
      </c>
      <c r="D1519" s="16" t="str">
        <f ca="1">PROPER(Music_Data[[#This Row],[Playlist_genre2]])</f>
        <v>Rock</v>
      </c>
      <c r="E1519" s="17">
        <v>0.38500000000000001</v>
      </c>
      <c r="F1519" t="s">
        <v>13159</v>
      </c>
      <c r="G1519">
        <v>75</v>
      </c>
      <c r="H1519" t="s">
        <v>675</v>
      </c>
      <c r="I1519" t="s">
        <v>1418</v>
      </c>
      <c r="J1519" s="22">
        <v>1976</v>
      </c>
      <c r="K1519">
        <v>0</v>
      </c>
      <c r="L1519">
        <v>9</v>
      </c>
      <c r="M1519" s="21">
        <f ca="1">LEFT(Music_Data[[#This Row],[Duration_minutes]],3)/60</f>
        <v>5.1333333333333337</v>
      </c>
      <c r="N1519" s="17">
        <v>2.8999999999999998E-3</v>
      </c>
      <c r="O1519" s="17" t="str">
        <f ca="1">PROPER(Music_Data[[#This Row],[Playlist_subgenre2]])</f>
        <v>Classic</v>
      </c>
    </row>
    <row r="1520" spans="1:15">
      <c r="A1520" s="17">
        <v>0.52300000000000002</v>
      </c>
      <c r="B1520" s="21">
        <v>173</v>
      </c>
      <c r="C1520" s="16">
        <v>0.45200000000000001</v>
      </c>
      <c r="D1520" s="16" t="str">
        <f ca="1">PROPER(Music_Data[[#This Row],[Playlist_genre2]])</f>
        <v>Rock</v>
      </c>
      <c r="E1520" s="17">
        <v>0.36299999999999999</v>
      </c>
      <c r="F1520" t="s">
        <v>12800</v>
      </c>
      <c r="G1520">
        <v>75</v>
      </c>
      <c r="H1520" t="s">
        <v>12750</v>
      </c>
      <c r="I1520" t="s">
        <v>12814</v>
      </c>
      <c r="J1520" s="22">
        <v>2006</v>
      </c>
      <c r="K1520">
        <v>1</v>
      </c>
      <c r="L1520">
        <v>5</v>
      </c>
      <c r="M1520" s="21">
        <f ca="1">LEFT(Music_Data[[#This Row],[Duration_minutes]],3)/60</f>
        <v>3.2166666666666668</v>
      </c>
      <c r="N1520" s="17">
        <v>0.56299999999999994</v>
      </c>
      <c r="O1520" s="17" t="str">
        <f ca="1">PROPER(Music_Data[[#This Row],[Playlist_subgenre2]])</f>
        <v>Spanish</v>
      </c>
    </row>
    <row r="1521" spans="1:15">
      <c r="A1521" s="17">
        <v>0.58899999999999997</v>
      </c>
      <c r="B1521" s="21">
        <v>124</v>
      </c>
      <c r="C1521" s="16">
        <v>0.45500000000000002</v>
      </c>
      <c r="D1521" s="16" t="str">
        <f ca="1">PROPER(Music_Data[[#This Row],[Playlist_genre2]])</f>
        <v>Rock</v>
      </c>
      <c r="E1521" s="17">
        <v>0.254</v>
      </c>
      <c r="F1521" t="s">
        <v>759</v>
      </c>
      <c r="G1521">
        <v>75</v>
      </c>
      <c r="H1521" t="s">
        <v>675</v>
      </c>
      <c r="I1521" t="s">
        <v>1019</v>
      </c>
      <c r="J1521" s="22">
        <v>33498</v>
      </c>
      <c r="K1521">
        <v>1</v>
      </c>
      <c r="L1521">
        <v>11</v>
      </c>
      <c r="M1521" s="21">
        <f ca="1">LEFT(Music_Data[[#This Row],[Duration_minutes]],3)/60</f>
        <v>4.7166666666666668</v>
      </c>
      <c r="N1521" s="17">
        <v>1.8400000000000001E-3</v>
      </c>
      <c r="O1521" s="17" t="str">
        <f ca="1">PROPER(Music_Data[[#This Row],[Playlist_subgenre2]])</f>
        <v>Classic</v>
      </c>
    </row>
    <row r="1522" spans="1:15">
      <c r="A1522" s="17">
        <v>0.93200000000000005</v>
      </c>
      <c r="B1522" s="21">
        <v>112</v>
      </c>
      <c r="C1522" s="16">
        <v>0.56399999999999995</v>
      </c>
      <c r="D1522" s="16" t="str">
        <f ca="1">PROPER(Music_Data[[#This Row],[Playlist_genre2]])</f>
        <v>Rock</v>
      </c>
      <c r="E1522" s="17">
        <v>0.61899999999999999</v>
      </c>
      <c r="F1522" t="s">
        <v>949</v>
      </c>
      <c r="G1522">
        <v>75</v>
      </c>
      <c r="H1522" t="s">
        <v>675</v>
      </c>
      <c r="I1522" t="s">
        <v>1319</v>
      </c>
      <c r="J1522" s="22">
        <v>1970</v>
      </c>
      <c r="K1522">
        <v>1</v>
      </c>
      <c r="L1522">
        <v>11</v>
      </c>
      <c r="M1522" s="21">
        <f ca="1">LEFT(Music_Data[[#This Row],[Duration_minutes]],3)/60</f>
        <v>2.4333333333333331</v>
      </c>
      <c r="N1522" s="17">
        <v>1.2999999999999999E-2</v>
      </c>
      <c r="O1522" s="17" t="str">
        <f ca="1">PROPER(Music_Data[[#This Row],[Playlist_subgenre2]])</f>
        <v>Classic</v>
      </c>
    </row>
    <row r="1523" spans="1:15">
      <c r="A1523" s="17">
        <v>0.83399999999999996</v>
      </c>
      <c r="B1523" s="21">
        <v>118</v>
      </c>
      <c r="C1523" s="16">
        <v>0.249</v>
      </c>
      <c r="D1523" s="16" t="str">
        <f ca="1">PROPER(Music_Data[[#This Row],[Playlist_genre2]])</f>
        <v>Rock</v>
      </c>
      <c r="E1523" s="17">
        <v>0.33700000000000002</v>
      </c>
      <c r="F1523" t="s">
        <v>9963</v>
      </c>
      <c r="G1523">
        <v>75</v>
      </c>
      <c r="H1523" t="s">
        <v>9968</v>
      </c>
      <c r="I1523" t="s">
        <v>9982</v>
      </c>
      <c r="J1523" s="22">
        <v>26665</v>
      </c>
      <c r="K1523">
        <v>1</v>
      </c>
      <c r="L1523">
        <v>0</v>
      </c>
      <c r="M1523" s="21">
        <f ca="1">LEFT(Music_Data[[#This Row],[Duration_minutes]],3)/60</f>
        <v>9.1166666666666671</v>
      </c>
      <c r="N1523" s="17">
        <v>7.4200000000000002E-2</v>
      </c>
      <c r="O1523" s="17" t="str">
        <f ca="1">PROPER(Music_Data[[#This Row],[Playlist_subgenre2]])</f>
        <v>Southern</v>
      </c>
    </row>
    <row r="1524" spans="1:15">
      <c r="A1524" s="17">
        <v>0.90500000000000003</v>
      </c>
      <c r="B1524" s="21">
        <v>128</v>
      </c>
      <c r="C1524" s="16">
        <v>0.60199999999999998</v>
      </c>
      <c r="D1524" s="16" t="str">
        <f ca="1">PROPER(Music_Data[[#This Row],[Playlist_genre2]])</f>
        <v>Rock</v>
      </c>
      <c r="E1524" s="17">
        <v>0.41099999999999998</v>
      </c>
      <c r="F1524" t="s">
        <v>1215</v>
      </c>
      <c r="G1524">
        <v>75</v>
      </c>
      <c r="H1524" t="s">
        <v>675</v>
      </c>
      <c r="I1524" t="s">
        <v>1222</v>
      </c>
      <c r="J1524" s="22">
        <v>40066</v>
      </c>
      <c r="K1524">
        <v>1</v>
      </c>
      <c r="L1524">
        <v>2</v>
      </c>
      <c r="M1524" s="21">
        <f ca="1">LEFT(Music_Data[[#This Row],[Duration_minutes]],3)/60</f>
        <v>5.0666666666666664</v>
      </c>
      <c r="N1524" s="17">
        <v>2.02E-4</v>
      </c>
      <c r="O1524" s="17" t="str">
        <f ca="1">PROPER(Music_Data[[#This Row],[Playlist_subgenre2]])</f>
        <v>Classic</v>
      </c>
    </row>
    <row r="1525" spans="1:15">
      <c r="A1525" s="17">
        <v>0.90500000000000003</v>
      </c>
      <c r="B1525" s="21">
        <v>128</v>
      </c>
      <c r="C1525" s="16">
        <v>0.60199999999999998</v>
      </c>
      <c r="D1525" s="16" t="str">
        <f ca="1">PROPER(Music_Data[[#This Row],[Playlist_genre2]])</f>
        <v>Rock</v>
      </c>
      <c r="E1525" s="17">
        <v>0.41099999999999998</v>
      </c>
      <c r="F1525" t="s">
        <v>1215</v>
      </c>
      <c r="G1525">
        <v>75</v>
      </c>
      <c r="H1525" t="s">
        <v>8930</v>
      </c>
      <c r="I1525" t="s">
        <v>1222</v>
      </c>
      <c r="J1525" s="22">
        <v>40066</v>
      </c>
      <c r="K1525">
        <v>1</v>
      </c>
      <c r="L1525">
        <v>2</v>
      </c>
      <c r="M1525" s="21">
        <f ca="1">LEFT(Music_Data[[#This Row],[Duration_minutes]],3)/60</f>
        <v>5.0666666666666664</v>
      </c>
      <c r="N1525" s="17">
        <v>2.02E-4</v>
      </c>
      <c r="O1525" s="17" t="str">
        <f ca="1">PROPER(Music_Data[[#This Row],[Playlist_subgenre2]])</f>
        <v>Alternative</v>
      </c>
    </row>
    <row r="1526" spans="1:15">
      <c r="A1526" s="17">
        <v>0.26200000000000001</v>
      </c>
      <c r="B1526" s="21">
        <v>122</v>
      </c>
      <c r="C1526" s="16">
        <v>0.48099999999999998</v>
      </c>
      <c r="D1526" s="16" t="str">
        <f ca="1">PROPER(Music_Data[[#This Row],[Playlist_genre2]])</f>
        <v>Rock</v>
      </c>
      <c r="E1526" s="17">
        <v>0.375</v>
      </c>
      <c r="F1526" t="s">
        <v>840</v>
      </c>
      <c r="G1526">
        <v>75</v>
      </c>
      <c r="H1526" t="s">
        <v>675</v>
      </c>
      <c r="I1526" t="s">
        <v>1731</v>
      </c>
      <c r="J1526" s="22">
        <v>27649</v>
      </c>
      <c r="K1526">
        <v>1</v>
      </c>
      <c r="L1526">
        <v>7</v>
      </c>
      <c r="M1526" s="21">
        <f ca="1">LEFT(Music_Data[[#This Row],[Duration_minutes]],3)/60</f>
        <v>5.5666666666666664</v>
      </c>
      <c r="N1526" s="17">
        <v>0.73499999999999999</v>
      </c>
      <c r="O1526" s="17" t="str">
        <f ca="1">PROPER(Music_Data[[#This Row],[Playlist_subgenre2]])</f>
        <v>Classic</v>
      </c>
    </row>
    <row r="1527" spans="1:15">
      <c r="A1527" s="17">
        <v>0.376</v>
      </c>
      <c r="B1527" s="21">
        <v>164</v>
      </c>
      <c r="C1527" s="16">
        <v>0.53</v>
      </c>
      <c r="D1527" s="16" t="str">
        <f ca="1">PROPER(Music_Data[[#This Row],[Playlist_genre2]])</f>
        <v>Rock</v>
      </c>
      <c r="E1527" s="17">
        <v>0.188</v>
      </c>
      <c r="F1527" t="s">
        <v>1143</v>
      </c>
      <c r="G1527">
        <v>75</v>
      </c>
      <c r="H1527" t="s">
        <v>675</v>
      </c>
      <c r="I1527" t="s">
        <v>1150</v>
      </c>
      <c r="J1527" s="22">
        <v>25472</v>
      </c>
      <c r="K1527">
        <v>0</v>
      </c>
      <c r="L1527">
        <v>9</v>
      </c>
      <c r="M1527" s="21">
        <f ca="1">LEFT(Music_Data[[#This Row],[Duration_minutes]],3)/60</f>
        <v>4.3166666666666664</v>
      </c>
      <c r="N1527" s="17">
        <v>3.04E-2</v>
      </c>
      <c r="O1527" s="17" t="str">
        <f ca="1">PROPER(Music_Data[[#This Row],[Playlist_subgenre2]])</f>
        <v>Classic</v>
      </c>
    </row>
    <row r="1528" spans="1:15">
      <c r="A1528" s="17">
        <v>0.80800000000000005</v>
      </c>
      <c r="B1528" s="21">
        <v>151</v>
      </c>
      <c r="C1528" s="16">
        <v>0.57699999999999996</v>
      </c>
      <c r="D1528" s="16" t="str">
        <f ca="1">PROPER(Music_Data[[#This Row],[Playlist_genre2]])</f>
        <v>Rock</v>
      </c>
      <c r="E1528" s="17">
        <v>0.86899999999999999</v>
      </c>
      <c r="F1528" t="s">
        <v>1290</v>
      </c>
      <c r="G1528">
        <v>75</v>
      </c>
      <c r="H1528" t="s">
        <v>675</v>
      </c>
      <c r="I1528" t="s">
        <v>1297</v>
      </c>
      <c r="J1528" s="22">
        <v>29130</v>
      </c>
      <c r="K1528">
        <v>0</v>
      </c>
      <c r="L1528">
        <v>1</v>
      </c>
      <c r="M1528" s="21">
        <f ca="1">LEFT(Music_Data[[#This Row],[Duration_minutes]],3)/60</f>
        <v>4.833333333333333</v>
      </c>
      <c r="N1528" s="17">
        <v>3.3799999999999997E-2</v>
      </c>
      <c r="O1528" s="17" t="str">
        <f ca="1">PROPER(Music_Data[[#This Row],[Playlist_subgenre2]])</f>
        <v>Classic</v>
      </c>
    </row>
    <row r="1529" spans="1:15">
      <c r="A1529" s="17">
        <v>0.44900000000000001</v>
      </c>
      <c r="B1529" s="21">
        <v>843</v>
      </c>
      <c r="C1529" s="16">
        <v>0.623</v>
      </c>
      <c r="D1529" s="16" t="str">
        <f ca="1">PROPER(Music_Data[[#This Row],[Playlist_genre2]])</f>
        <v>Rock</v>
      </c>
      <c r="E1529" s="17">
        <v>0.57299999999999995</v>
      </c>
      <c r="F1529" t="s">
        <v>1738</v>
      </c>
      <c r="G1529">
        <v>75</v>
      </c>
      <c r="H1529" t="s">
        <v>675</v>
      </c>
      <c r="I1529" t="s">
        <v>1745</v>
      </c>
      <c r="J1529" s="22">
        <v>32509</v>
      </c>
      <c r="K1529">
        <v>1</v>
      </c>
      <c r="L1529">
        <v>5</v>
      </c>
      <c r="M1529" s="21">
        <f ca="1">LEFT(Music_Data[[#This Row],[Duration_minutes]],3)/60</f>
        <v>4.2666666666666666</v>
      </c>
      <c r="N1529" s="17">
        <v>0.21199999999999999</v>
      </c>
      <c r="O1529" s="17" t="str">
        <f ca="1">PROPER(Music_Data[[#This Row],[Playlist_subgenre2]])</f>
        <v>Classic</v>
      </c>
    </row>
    <row r="1530" spans="1:15">
      <c r="A1530" s="17">
        <v>0.44900000000000001</v>
      </c>
      <c r="B1530" s="21">
        <v>843</v>
      </c>
      <c r="C1530" s="16">
        <v>0.623</v>
      </c>
      <c r="D1530" s="16" t="str">
        <f ca="1">PROPER(Music_Data[[#This Row],[Playlist_genre2]])</f>
        <v>Rock</v>
      </c>
      <c r="E1530" s="17">
        <v>0.57299999999999995</v>
      </c>
      <c r="F1530" t="s">
        <v>1738</v>
      </c>
      <c r="G1530">
        <v>75</v>
      </c>
      <c r="H1530" t="s">
        <v>5990</v>
      </c>
      <c r="I1530" t="s">
        <v>1745</v>
      </c>
      <c r="J1530" s="22">
        <v>32509</v>
      </c>
      <c r="K1530">
        <v>1</v>
      </c>
      <c r="L1530">
        <v>5</v>
      </c>
      <c r="M1530" s="21">
        <f ca="1">LEFT(Music_Data[[#This Row],[Duration_minutes]],3)/60</f>
        <v>4.2666666666666666</v>
      </c>
      <c r="N1530" s="17">
        <v>0.21199999999999999</v>
      </c>
      <c r="O1530" s="17" t="str">
        <f ca="1">PROPER(Music_Data[[#This Row],[Playlist_subgenre2]])</f>
        <v>80S</v>
      </c>
    </row>
    <row r="1531" spans="1:15">
      <c r="A1531" s="17">
        <v>0.83499999999999996</v>
      </c>
      <c r="B1531" s="21">
        <v>129</v>
      </c>
      <c r="C1531" s="16">
        <v>0.57199999999999995</v>
      </c>
      <c r="D1531" s="16" t="str">
        <f ca="1">PROPER(Music_Data[[#This Row],[Playlist_genre2]])</f>
        <v>Rock</v>
      </c>
      <c r="E1531" s="17">
        <v>0.79500000000000004</v>
      </c>
      <c r="F1531" t="s">
        <v>1240</v>
      </c>
      <c r="G1531">
        <v>75</v>
      </c>
      <c r="H1531" t="s">
        <v>5990</v>
      </c>
      <c r="I1531" t="s">
        <v>6065</v>
      </c>
      <c r="J1531" s="22">
        <v>30685</v>
      </c>
      <c r="K1531">
        <v>1</v>
      </c>
      <c r="L1531">
        <v>0</v>
      </c>
      <c r="M1531" s="21">
        <f ca="1">LEFT(Music_Data[[#This Row],[Duration_minutes]],3)/60</f>
        <v>4.0166666666666666</v>
      </c>
      <c r="N1531" s="17">
        <v>0.17100000000000001</v>
      </c>
      <c r="O1531" s="17" t="str">
        <f ca="1">PROPER(Music_Data[[#This Row],[Playlist_subgenre2]])</f>
        <v>80S</v>
      </c>
    </row>
    <row r="1532" spans="1:15">
      <c r="A1532" s="17">
        <v>0.94099999999999995</v>
      </c>
      <c r="B1532" s="21">
        <v>119</v>
      </c>
      <c r="C1532" s="16">
        <v>0.502</v>
      </c>
      <c r="D1532" s="16" t="str">
        <f ca="1">PROPER(Music_Data[[#This Row],[Playlist_genre2]])</f>
        <v>Rock</v>
      </c>
      <c r="E1532" s="17">
        <v>0.124</v>
      </c>
      <c r="F1532" t="s">
        <v>3472</v>
      </c>
      <c r="G1532">
        <v>75</v>
      </c>
      <c r="H1532" t="s">
        <v>8930</v>
      </c>
      <c r="I1532" t="s">
        <v>7252</v>
      </c>
      <c r="J1532" s="22">
        <v>37740</v>
      </c>
      <c r="K1532">
        <v>1</v>
      </c>
      <c r="L1532">
        <v>7</v>
      </c>
      <c r="M1532" s="21">
        <f ca="1">LEFT(Music_Data[[#This Row],[Duration_minutes]],3)/60</f>
        <v>3.65</v>
      </c>
      <c r="N1532" s="17">
        <v>3.4600000000000001E-4</v>
      </c>
      <c r="O1532" s="17" t="str">
        <f ca="1">PROPER(Music_Data[[#This Row],[Playlist_subgenre2]])</f>
        <v>Alternative</v>
      </c>
    </row>
    <row r="1533" spans="1:15">
      <c r="A1533" s="17">
        <v>0.73099999999999998</v>
      </c>
      <c r="B1533" s="21">
        <v>149</v>
      </c>
      <c r="C1533" s="16">
        <v>0.58299999999999996</v>
      </c>
      <c r="D1533" s="16" t="str">
        <f ca="1">PROPER(Music_Data[[#This Row],[Playlist_genre2]])</f>
        <v>Rock</v>
      </c>
      <c r="E1533" s="17">
        <v>0.44600000000000001</v>
      </c>
      <c r="F1533" t="s">
        <v>13215</v>
      </c>
      <c r="G1533">
        <v>74</v>
      </c>
      <c r="H1533" t="s">
        <v>12750</v>
      </c>
      <c r="I1533" t="s">
        <v>12753</v>
      </c>
      <c r="J1533" s="22">
        <v>37803</v>
      </c>
      <c r="K1533">
        <v>0</v>
      </c>
      <c r="L1533">
        <v>9</v>
      </c>
      <c r="M1533" s="21">
        <f ca="1">LEFT(Music_Data[[#This Row],[Duration_minutes]],3)/60</f>
        <v>4.45</v>
      </c>
      <c r="N1533" s="17">
        <v>1.0699999999999999E-2</v>
      </c>
      <c r="O1533" s="17" t="str">
        <f ca="1">PROPER(Music_Data[[#This Row],[Playlist_subgenre2]])</f>
        <v>Spanish</v>
      </c>
    </row>
    <row r="1534" spans="1:15">
      <c r="A1534" s="17">
        <v>0.58799999999999997</v>
      </c>
      <c r="B1534" s="21">
        <v>144</v>
      </c>
      <c r="C1534" s="16">
        <v>0.42399999999999999</v>
      </c>
      <c r="D1534" s="16" t="str">
        <f ca="1">PROPER(Music_Data[[#This Row],[Playlist_genre2]])</f>
        <v>Rock</v>
      </c>
      <c r="E1534" s="17">
        <v>0.193</v>
      </c>
      <c r="F1534" t="s">
        <v>6465</v>
      </c>
      <c r="G1534">
        <v>74</v>
      </c>
      <c r="H1534" t="s">
        <v>8930</v>
      </c>
      <c r="I1534" t="s">
        <v>9157</v>
      </c>
      <c r="J1534" s="22">
        <v>37495</v>
      </c>
      <c r="K1534">
        <v>1</v>
      </c>
      <c r="L1534">
        <v>9</v>
      </c>
      <c r="M1534" s="21">
        <f ca="1">LEFT(Music_Data[[#This Row],[Duration_minutes]],3)/60</f>
        <v>3.7666666666666666</v>
      </c>
      <c r="N1534" s="17">
        <v>5.5300000000000002E-2</v>
      </c>
      <c r="O1534" s="17" t="str">
        <f ca="1">PROPER(Music_Data[[#This Row],[Playlist_subgenre2]])</f>
        <v>Alternative</v>
      </c>
    </row>
    <row r="1535" spans="1:15">
      <c r="A1535" s="17">
        <v>0.58499999999999996</v>
      </c>
      <c r="B1535" s="21">
        <v>109</v>
      </c>
      <c r="C1535" s="16">
        <v>0.77500000000000002</v>
      </c>
      <c r="D1535" s="16" t="str">
        <f ca="1">PROPER(Music_Data[[#This Row],[Playlist_genre2]])</f>
        <v>Rock</v>
      </c>
      <c r="E1535" s="17">
        <v>0.51800000000000002</v>
      </c>
      <c r="F1535" t="s">
        <v>3484</v>
      </c>
      <c r="G1535">
        <v>74</v>
      </c>
      <c r="H1535" t="s">
        <v>3463</v>
      </c>
      <c r="I1535" t="s">
        <v>3491</v>
      </c>
      <c r="J1535" s="22">
        <v>41414</v>
      </c>
      <c r="K1535">
        <v>0</v>
      </c>
      <c r="L1535">
        <v>10</v>
      </c>
      <c r="M1535" s="21">
        <f ca="1">LEFT(Music_Data[[#This Row],[Duration_minutes]],3)/60</f>
        <v>5.6166666666666663</v>
      </c>
      <c r="N1535" s="17">
        <v>4.2200000000000001E-2</v>
      </c>
      <c r="O1535" s="17" t="str">
        <f ca="1">PROPER(Music_Data[[#This Row],[Playlist_subgenre2]])</f>
        <v>Indie</v>
      </c>
    </row>
    <row r="1536" spans="1:15">
      <c r="A1536" s="17">
        <v>0.48199999999999998</v>
      </c>
      <c r="B1536" s="21">
        <v>138</v>
      </c>
      <c r="C1536" s="16">
        <v>0.52900000000000003</v>
      </c>
      <c r="D1536" s="16" t="str">
        <f ca="1">PROPER(Music_Data[[#This Row],[Playlist_genre2]])</f>
        <v>Rock</v>
      </c>
      <c r="E1536" s="17">
        <v>0.49199999999999999</v>
      </c>
      <c r="F1536" t="s">
        <v>1493</v>
      </c>
      <c r="G1536">
        <v>74</v>
      </c>
      <c r="H1536" t="s">
        <v>675</v>
      </c>
      <c r="I1536" t="s">
        <v>1497</v>
      </c>
      <c r="J1536" s="22">
        <v>1971</v>
      </c>
      <c r="K1536">
        <v>0</v>
      </c>
      <c r="L1536">
        <v>4</v>
      </c>
      <c r="M1536" s="21">
        <f ca="1">LEFT(Music_Data[[#This Row],[Duration_minutes]],3)/60</f>
        <v>8.6</v>
      </c>
      <c r="N1536" s="17">
        <v>0.7</v>
      </c>
      <c r="O1536" s="17" t="str">
        <f ca="1">PROPER(Music_Data[[#This Row],[Playlist_subgenre2]])</f>
        <v>Classic</v>
      </c>
    </row>
    <row r="1537" spans="1:15">
      <c r="A1537" s="17">
        <v>0.84299999999999997</v>
      </c>
      <c r="B1537" s="21">
        <v>117</v>
      </c>
      <c r="C1537" s="16">
        <v>0.52900000000000003</v>
      </c>
      <c r="D1537" s="16" t="str">
        <f ca="1">PROPER(Music_Data[[#This Row],[Playlist_genre2]])</f>
        <v>Rock</v>
      </c>
      <c r="E1537" s="17">
        <v>0.188</v>
      </c>
      <c r="F1537" t="s">
        <v>6067</v>
      </c>
      <c r="G1537">
        <v>74</v>
      </c>
      <c r="H1537" t="s">
        <v>5990</v>
      </c>
      <c r="I1537" t="s">
        <v>6073</v>
      </c>
      <c r="J1537" s="22">
        <v>1986</v>
      </c>
      <c r="K1537">
        <v>0</v>
      </c>
      <c r="L1537">
        <v>6</v>
      </c>
      <c r="M1537" s="21">
        <f ca="1">LEFT(Music_Data[[#This Row],[Duration_minutes]],3)/60</f>
        <v>5.166666666666667</v>
      </c>
      <c r="N1537" s="17">
        <v>6.2799999999999995E-2</v>
      </c>
      <c r="O1537" s="17" t="str">
        <f ca="1">PROPER(Music_Data[[#This Row],[Playlist_subgenre2]])</f>
        <v>80S</v>
      </c>
    </row>
    <row r="1538" spans="1:15">
      <c r="A1538" s="17">
        <v>0.93899999999999995</v>
      </c>
      <c r="B1538" s="21">
        <v>106</v>
      </c>
      <c r="C1538" s="16">
        <v>0.64400000000000002</v>
      </c>
      <c r="D1538" s="16" t="str">
        <f ca="1">PROPER(Music_Data[[#This Row],[Playlist_genre2]])</f>
        <v>Rock</v>
      </c>
      <c r="E1538" s="17">
        <v>0.86099999999999999</v>
      </c>
      <c r="F1538" t="s">
        <v>9160</v>
      </c>
      <c r="G1538">
        <v>74</v>
      </c>
      <c r="H1538" t="s">
        <v>8930</v>
      </c>
      <c r="I1538" t="s">
        <v>9166</v>
      </c>
      <c r="J1538" s="22">
        <v>39083</v>
      </c>
      <c r="K1538">
        <v>0</v>
      </c>
      <c r="L1538">
        <v>11</v>
      </c>
      <c r="M1538" s="21">
        <f ca="1">LEFT(Music_Data[[#This Row],[Duration_minutes]],3)/60</f>
        <v>3.4666666666666668</v>
      </c>
      <c r="N1538" s="17">
        <v>0.157</v>
      </c>
      <c r="O1538" s="17" t="str">
        <f ca="1">PROPER(Music_Data[[#This Row],[Playlist_subgenre2]])</f>
        <v>Alternative</v>
      </c>
    </row>
    <row r="1539" spans="1:15">
      <c r="A1539" s="17">
        <v>0.74199999999999999</v>
      </c>
      <c r="B1539" s="21">
        <v>159</v>
      </c>
      <c r="C1539" s="16">
        <v>0.26800000000000002</v>
      </c>
      <c r="D1539" s="16" t="str">
        <f ca="1">PROPER(Music_Data[[#This Row],[Playlist_genre2]])</f>
        <v>Rock</v>
      </c>
      <c r="E1539" s="17">
        <v>0.41599999999999998</v>
      </c>
      <c r="F1539" t="s">
        <v>867</v>
      </c>
      <c r="G1539">
        <v>74</v>
      </c>
      <c r="H1539" t="s">
        <v>8930</v>
      </c>
      <c r="I1539" t="s">
        <v>9020</v>
      </c>
      <c r="J1539" s="22">
        <v>39948</v>
      </c>
      <c r="K1539">
        <v>1</v>
      </c>
      <c r="L1539">
        <v>5</v>
      </c>
      <c r="M1539" s="21">
        <f ca="1">LEFT(Music_Data[[#This Row],[Duration_minutes]],3)/60</f>
        <v>5.35</v>
      </c>
      <c r="N1539" s="17">
        <v>5.1799999999999999E-2</v>
      </c>
      <c r="O1539" s="17" t="str">
        <f ca="1">PROPER(Music_Data[[#This Row],[Playlist_subgenre2]])</f>
        <v>Alternative</v>
      </c>
    </row>
    <row r="1540" spans="1:15">
      <c r="A1540" s="17">
        <v>0.69099999999999995</v>
      </c>
      <c r="B1540" s="21">
        <v>137</v>
      </c>
      <c r="C1540" s="16">
        <v>0.54800000000000004</v>
      </c>
      <c r="D1540" s="16" t="str">
        <f ca="1">PROPER(Music_Data[[#This Row],[Playlist_genre2]])</f>
        <v>Rock</v>
      </c>
      <c r="E1540" s="17">
        <v>0.66700000000000004</v>
      </c>
      <c r="F1540" t="s">
        <v>1348</v>
      </c>
      <c r="G1540">
        <v>74</v>
      </c>
      <c r="H1540" t="s">
        <v>675</v>
      </c>
      <c r="I1540" t="s">
        <v>1355</v>
      </c>
      <c r="J1540" s="22">
        <v>28259</v>
      </c>
      <c r="K1540">
        <v>0</v>
      </c>
      <c r="L1540">
        <v>4</v>
      </c>
      <c r="M1540" s="21">
        <f ca="1">LEFT(Music_Data[[#This Row],[Duration_minutes]],3)/60</f>
        <v>4.3499999999999996</v>
      </c>
      <c r="N1540" s="17">
        <v>1.4999999999999999E-2</v>
      </c>
      <c r="O1540" s="17" t="str">
        <f ca="1">PROPER(Music_Data[[#This Row],[Playlist_subgenre2]])</f>
        <v>Classic</v>
      </c>
    </row>
    <row r="1541" spans="1:15">
      <c r="A1541" s="17">
        <v>0.86499999999999999</v>
      </c>
      <c r="B1541" s="21">
        <v>100</v>
      </c>
      <c r="C1541" s="16">
        <v>0.57999999999999996</v>
      </c>
      <c r="D1541" s="16" t="str">
        <f ca="1">PROPER(Music_Data[[#This Row],[Playlist_genre2]])</f>
        <v>Rock</v>
      </c>
      <c r="E1541" s="17">
        <v>0.58699999999999997</v>
      </c>
      <c r="F1541" t="s">
        <v>644</v>
      </c>
      <c r="G1541">
        <v>74</v>
      </c>
      <c r="H1541" t="s">
        <v>8930</v>
      </c>
      <c r="I1541" t="s">
        <v>8988</v>
      </c>
      <c r="J1541" s="22">
        <v>37880</v>
      </c>
      <c r="K1541">
        <v>0</v>
      </c>
      <c r="L1541">
        <v>4</v>
      </c>
      <c r="M1541" s="21">
        <f ca="1">LEFT(Music_Data[[#This Row],[Duration_minutes]],3)/60</f>
        <v>3.2666666666666666</v>
      </c>
      <c r="N1541" s="17">
        <v>0.105</v>
      </c>
      <c r="O1541" s="17" t="str">
        <f ca="1">PROPER(Music_Data[[#This Row],[Playlist_subgenre2]])</f>
        <v>Alternative</v>
      </c>
    </row>
    <row r="1542" spans="1:15">
      <c r="A1542" s="17">
        <v>0.91100000000000003</v>
      </c>
      <c r="B1542" s="21">
        <v>108</v>
      </c>
      <c r="C1542" s="16">
        <v>0.61499999999999999</v>
      </c>
      <c r="D1542" s="16" t="str">
        <f ca="1">PROPER(Music_Data[[#This Row],[Playlist_genre2]])</f>
        <v>Rock</v>
      </c>
      <c r="E1542" s="17">
        <v>0.68500000000000005</v>
      </c>
      <c r="F1542" t="s">
        <v>644</v>
      </c>
      <c r="G1542">
        <v>74</v>
      </c>
      <c r="H1542" t="s">
        <v>8930</v>
      </c>
      <c r="I1542" t="s">
        <v>9068</v>
      </c>
      <c r="J1542" s="22">
        <v>41079</v>
      </c>
      <c r="K1542">
        <v>0</v>
      </c>
      <c r="L1542">
        <v>1</v>
      </c>
      <c r="M1542" s="21">
        <f ca="1">LEFT(Music_Data[[#This Row],[Duration_minutes]],3)/60</f>
        <v>3.4166666666666665</v>
      </c>
      <c r="N1542" s="17">
        <v>6.8599999999999994E-2</v>
      </c>
      <c r="O1542" s="17" t="str">
        <f ca="1">PROPER(Music_Data[[#This Row],[Playlist_subgenre2]])</f>
        <v>Alternative</v>
      </c>
    </row>
    <row r="1543" spans="1:15">
      <c r="A1543" s="17">
        <v>0.318</v>
      </c>
      <c r="B1543" s="21">
        <v>104</v>
      </c>
      <c r="C1543" s="16">
        <v>0.57499999999999996</v>
      </c>
      <c r="D1543" s="16" t="str">
        <f ca="1">PROPER(Music_Data[[#This Row],[Playlist_genre2]])</f>
        <v>Rock</v>
      </c>
      <c r="E1543" s="17">
        <v>0.38500000000000001</v>
      </c>
      <c r="F1543" t="s">
        <v>1527</v>
      </c>
      <c r="G1543">
        <v>74</v>
      </c>
      <c r="H1543" t="s">
        <v>675</v>
      </c>
      <c r="I1543" t="s">
        <v>1534</v>
      </c>
      <c r="J1543" s="22">
        <v>26634</v>
      </c>
      <c r="K1543">
        <v>1</v>
      </c>
      <c r="L1543">
        <v>0</v>
      </c>
      <c r="M1543" s="21">
        <f ca="1">LEFT(Music_Data[[#This Row],[Duration_minutes]],3)/60</f>
        <v>4.2333333333333334</v>
      </c>
      <c r="N1543" s="17">
        <v>0.68300000000000005</v>
      </c>
      <c r="O1543" s="17" t="str">
        <f ca="1">PROPER(Music_Data[[#This Row],[Playlist_subgenre2]])</f>
        <v>Classic</v>
      </c>
    </row>
    <row r="1544" spans="1:15">
      <c r="A1544" s="17">
        <v>0.85399999999999998</v>
      </c>
      <c r="B1544" s="21">
        <v>148</v>
      </c>
      <c r="C1544" s="16">
        <v>0.63400000000000001</v>
      </c>
      <c r="D1544" s="16" t="str">
        <f ca="1">PROPER(Music_Data[[#This Row],[Playlist_genre2]])</f>
        <v>Rock</v>
      </c>
      <c r="E1544" s="17">
        <v>0.56399999999999995</v>
      </c>
      <c r="F1544" t="s">
        <v>13199</v>
      </c>
      <c r="G1544">
        <v>74</v>
      </c>
      <c r="H1544" t="s">
        <v>12750</v>
      </c>
      <c r="I1544" t="s">
        <v>12911</v>
      </c>
      <c r="J1544" s="22">
        <v>1997</v>
      </c>
      <c r="K1544">
        <v>1</v>
      </c>
      <c r="L1544">
        <v>11</v>
      </c>
      <c r="M1544" s="21">
        <f ca="1">LEFT(Music_Data[[#This Row],[Duration_minutes]],3)/60</f>
        <v>5.166666666666667</v>
      </c>
      <c r="N1544" s="17">
        <v>7.3699999999999998E-3</v>
      </c>
      <c r="O1544" s="17" t="str">
        <f ca="1">PROPER(Music_Data[[#This Row],[Playlist_subgenre2]])</f>
        <v>Spanish</v>
      </c>
    </row>
    <row r="1545" spans="1:15">
      <c r="A1545" s="17">
        <v>0.79600000000000004</v>
      </c>
      <c r="B1545" s="21">
        <v>169</v>
      </c>
      <c r="C1545" s="16">
        <v>0.28899999999999998</v>
      </c>
      <c r="D1545" s="16" t="str">
        <f ca="1">PROPER(Music_Data[[#This Row],[Playlist_genre2]])</f>
        <v>Rock</v>
      </c>
      <c r="E1545" s="17">
        <v>0.33</v>
      </c>
      <c r="F1545" t="s">
        <v>9038</v>
      </c>
      <c r="G1545">
        <v>74</v>
      </c>
      <c r="H1545" t="s">
        <v>8930</v>
      </c>
      <c r="I1545" t="s">
        <v>9045</v>
      </c>
      <c r="J1545" s="22">
        <v>39013</v>
      </c>
      <c r="K1545">
        <v>1</v>
      </c>
      <c r="L1545">
        <v>0</v>
      </c>
      <c r="M1545" s="21">
        <f ca="1">LEFT(Music_Data[[#This Row],[Duration_minutes]],3)/60</f>
        <v>3.9666666666666668</v>
      </c>
      <c r="N1545" s="17">
        <v>8.3700000000000007E-3</v>
      </c>
      <c r="O1545" s="17" t="str">
        <f ca="1">PROPER(Music_Data[[#This Row],[Playlist_subgenre2]])</f>
        <v>Alternative</v>
      </c>
    </row>
    <row r="1546" spans="1:15">
      <c r="A1546" s="17">
        <v>0.90100000000000002</v>
      </c>
      <c r="B1546" s="21">
        <v>113</v>
      </c>
      <c r="C1546" s="16">
        <v>0.621</v>
      </c>
      <c r="D1546" s="16" t="str">
        <f ca="1">PROPER(Music_Data[[#This Row],[Playlist_genre2]])</f>
        <v>Rock</v>
      </c>
      <c r="E1546" s="17">
        <v>0.74399999999999999</v>
      </c>
      <c r="F1546" t="s">
        <v>3615</v>
      </c>
      <c r="G1546">
        <v>74</v>
      </c>
      <c r="H1546" t="s">
        <v>3520</v>
      </c>
      <c r="I1546" t="s">
        <v>3621</v>
      </c>
      <c r="J1546" s="22">
        <v>35796</v>
      </c>
      <c r="K1546">
        <v>1</v>
      </c>
      <c r="L1546">
        <v>2</v>
      </c>
      <c r="M1546" s="21">
        <f ca="1">LEFT(Music_Data[[#This Row],[Duration_minutes]],3)/60</f>
        <v>5</v>
      </c>
      <c r="N1546" s="17">
        <v>0.17</v>
      </c>
      <c r="O1546" s="17" t="str">
        <f ca="1">PROPER(Music_Data[[#This Row],[Playlist_subgenre2]])</f>
        <v>Feel-Good</v>
      </c>
    </row>
    <row r="1547" spans="1:15">
      <c r="A1547" s="17">
        <v>0.90100000000000002</v>
      </c>
      <c r="B1547" s="21">
        <v>113</v>
      </c>
      <c r="C1547" s="16">
        <v>0.621</v>
      </c>
      <c r="D1547" s="16" t="str">
        <f ca="1">PROPER(Music_Data[[#This Row],[Playlist_genre2]])</f>
        <v>Rock</v>
      </c>
      <c r="E1547" s="17">
        <v>0.74399999999999999</v>
      </c>
      <c r="F1547" t="s">
        <v>3615</v>
      </c>
      <c r="G1547">
        <v>74</v>
      </c>
      <c r="H1547" t="s">
        <v>8930</v>
      </c>
      <c r="I1547" t="s">
        <v>3621</v>
      </c>
      <c r="J1547" s="22">
        <v>35796</v>
      </c>
      <c r="K1547">
        <v>1</v>
      </c>
      <c r="L1547">
        <v>2</v>
      </c>
      <c r="M1547" s="21">
        <f ca="1">LEFT(Music_Data[[#This Row],[Duration_minutes]],3)/60</f>
        <v>5</v>
      </c>
      <c r="N1547" s="17">
        <v>0.17</v>
      </c>
      <c r="O1547" s="17" t="str">
        <f ca="1">PROPER(Music_Data[[#This Row],[Playlist_subgenre2]])</f>
        <v>Alternative</v>
      </c>
    </row>
    <row r="1548" spans="1:15">
      <c r="A1548" s="17">
        <v>0.39400000000000002</v>
      </c>
      <c r="B1548" s="21">
        <v>104</v>
      </c>
      <c r="C1548" s="16">
        <v>0.69299999999999995</v>
      </c>
      <c r="D1548" s="16" t="str">
        <f ca="1">PROPER(Music_Data[[#This Row],[Playlist_genre2]])</f>
        <v>Rock</v>
      </c>
      <c r="E1548" s="17">
        <v>0.72099999999999997</v>
      </c>
      <c r="F1548" t="s">
        <v>840</v>
      </c>
      <c r="G1548">
        <v>74</v>
      </c>
      <c r="H1548" t="s">
        <v>675</v>
      </c>
      <c r="I1548" t="s">
        <v>847</v>
      </c>
      <c r="J1548" s="22">
        <v>29189</v>
      </c>
      <c r="K1548">
        <v>1</v>
      </c>
      <c r="L1548">
        <v>0</v>
      </c>
      <c r="M1548" s="21">
        <f ca="1">LEFT(Music_Data[[#This Row],[Duration_minutes]],3)/60</f>
        <v>3.9666666666666668</v>
      </c>
      <c r="N1548" s="17">
        <v>7.8200000000000006E-2</v>
      </c>
      <c r="O1548" s="17" t="str">
        <f ca="1">PROPER(Music_Data[[#This Row],[Playlist_subgenre2]])</f>
        <v>Classic</v>
      </c>
    </row>
    <row r="1549" spans="1:15">
      <c r="A1549" s="17">
        <v>0.97</v>
      </c>
      <c r="B1549" s="21">
        <v>122</v>
      </c>
      <c r="C1549" s="16">
        <v>0.45100000000000001</v>
      </c>
      <c r="D1549" s="16" t="str">
        <f ca="1">PROPER(Music_Data[[#This Row],[Playlist_genre2]])</f>
        <v>Rock</v>
      </c>
      <c r="E1549" s="17">
        <v>0.19800000000000001</v>
      </c>
      <c r="F1549" t="s">
        <v>745</v>
      </c>
      <c r="G1549">
        <v>74</v>
      </c>
      <c r="H1549" t="s">
        <v>8930</v>
      </c>
      <c r="I1549" t="s">
        <v>9212</v>
      </c>
      <c r="J1549" s="22">
        <v>37446</v>
      </c>
      <c r="K1549">
        <v>1</v>
      </c>
      <c r="L1549">
        <v>0</v>
      </c>
      <c r="M1549" s="21">
        <f ca="1">LEFT(Music_Data[[#This Row],[Duration_minutes]],3)/60</f>
        <v>3.6</v>
      </c>
      <c r="N1549" s="17">
        <v>2.64E-2</v>
      </c>
      <c r="O1549" s="17" t="str">
        <f ca="1">PROPER(Music_Data[[#This Row],[Playlist_subgenre2]])</f>
        <v>Alternative</v>
      </c>
    </row>
    <row r="1550" spans="1:15">
      <c r="A1550" s="17">
        <v>0.50900000000000001</v>
      </c>
      <c r="B1550" s="21">
        <v>119</v>
      </c>
      <c r="C1550" s="16">
        <v>0.89800000000000002</v>
      </c>
      <c r="D1550" s="16" t="str">
        <f ca="1">PROPER(Music_Data[[#This Row],[Playlist_genre2]])</f>
        <v>Rock</v>
      </c>
      <c r="E1550" s="17">
        <v>0.72699999999999998</v>
      </c>
      <c r="F1550" t="s">
        <v>3623</v>
      </c>
      <c r="G1550">
        <v>74</v>
      </c>
      <c r="H1550" t="s">
        <v>3520</v>
      </c>
      <c r="I1550" t="s">
        <v>3630</v>
      </c>
      <c r="J1550" s="22">
        <v>44631</v>
      </c>
      <c r="K1550">
        <v>1</v>
      </c>
      <c r="L1550">
        <v>5</v>
      </c>
      <c r="M1550" s="21">
        <f ca="1">LEFT(Music_Data[[#This Row],[Duration_minutes]],3)/60</f>
        <v>3.0166666666666666</v>
      </c>
      <c r="N1550" s="17">
        <v>0.39100000000000001</v>
      </c>
      <c r="O1550" s="17" t="str">
        <f ca="1">PROPER(Music_Data[[#This Row],[Playlist_subgenre2]])</f>
        <v>Feel-Good</v>
      </c>
    </row>
    <row r="1551" spans="1:15">
      <c r="A1551" s="17">
        <v>0.873</v>
      </c>
      <c r="B1551" s="21">
        <v>106</v>
      </c>
      <c r="C1551" s="16">
        <v>0.38900000000000001</v>
      </c>
      <c r="D1551" s="16" t="str">
        <f ca="1">PROPER(Music_Data[[#This Row],[Playlist_genre2]])</f>
        <v>Rock</v>
      </c>
      <c r="E1551" s="17">
        <v>0.30299999999999999</v>
      </c>
      <c r="F1551" t="s">
        <v>688</v>
      </c>
      <c r="G1551">
        <v>73</v>
      </c>
      <c r="H1551" t="s">
        <v>5990</v>
      </c>
      <c r="I1551" t="s">
        <v>6083</v>
      </c>
      <c r="J1551" s="22">
        <v>29427</v>
      </c>
      <c r="K1551">
        <v>0</v>
      </c>
      <c r="L1551">
        <v>4</v>
      </c>
      <c r="M1551" s="21">
        <f ca="1">LEFT(Music_Data[[#This Row],[Duration_minutes]],3)/60</f>
        <v>5.2</v>
      </c>
      <c r="N1551" s="17">
        <v>5.3200000000000001E-3</v>
      </c>
      <c r="O1551" s="17" t="str">
        <f ca="1">PROPER(Music_Data[[#This Row],[Playlist_subgenre2]])</f>
        <v>80S</v>
      </c>
    </row>
    <row r="1552" spans="1:15">
      <c r="A1552" s="17">
        <v>0.83899999999999997</v>
      </c>
      <c r="B1552" s="21">
        <v>143</v>
      </c>
      <c r="C1552" s="16">
        <v>0.57199999999999995</v>
      </c>
      <c r="D1552" s="16" t="str">
        <f ca="1">PROPER(Music_Data[[#This Row],[Playlist_genre2]])</f>
        <v>Rock</v>
      </c>
      <c r="E1552" s="17">
        <v>0.46500000000000002</v>
      </c>
      <c r="F1552" t="s">
        <v>9144</v>
      </c>
      <c r="G1552">
        <v>73</v>
      </c>
      <c r="H1552" t="s">
        <v>8930</v>
      </c>
      <c r="I1552" t="s">
        <v>9150</v>
      </c>
      <c r="J1552" s="22">
        <v>42678</v>
      </c>
      <c r="K1552">
        <v>0</v>
      </c>
      <c r="L1552">
        <v>4</v>
      </c>
      <c r="M1552" s="21">
        <f ca="1">LEFT(Music_Data[[#This Row],[Duration_minutes]],3)/60</f>
        <v>3.2666666666666666</v>
      </c>
      <c r="N1552" s="17">
        <v>1.2999999999999999E-2</v>
      </c>
      <c r="O1552" s="17" t="str">
        <f ca="1">PROPER(Music_Data[[#This Row],[Playlist_subgenre2]])</f>
        <v>Alternative</v>
      </c>
    </row>
    <row r="1553" spans="1:15">
      <c r="A1553" s="17">
        <v>0.57199999999999995</v>
      </c>
      <c r="B1553" s="21">
        <v>131</v>
      </c>
      <c r="C1553" s="16">
        <v>0.63600000000000001</v>
      </c>
      <c r="D1553" s="16" t="str">
        <f ca="1">PROPER(Music_Data[[#This Row],[Playlist_genre2]])</f>
        <v>Rock</v>
      </c>
      <c r="E1553" s="17">
        <v>0.66</v>
      </c>
      <c r="F1553" t="s">
        <v>3636</v>
      </c>
      <c r="G1553">
        <v>73</v>
      </c>
      <c r="H1553" t="s">
        <v>3520</v>
      </c>
      <c r="I1553" t="s">
        <v>3639</v>
      </c>
      <c r="J1553" s="22">
        <v>45126</v>
      </c>
      <c r="K1553">
        <v>1</v>
      </c>
      <c r="L1553">
        <v>9</v>
      </c>
      <c r="M1553" s="21">
        <f ca="1">LEFT(Music_Data[[#This Row],[Duration_minutes]],3)/60</f>
        <v>3.2</v>
      </c>
      <c r="N1553" s="17">
        <v>0.28699999999999998</v>
      </c>
      <c r="O1553" s="17" t="str">
        <f ca="1">PROPER(Music_Data[[#This Row],[Playlist_subgenre2]])</f>
        <v>Feel-Good</v>
      </c>
    </row>
    <row r="1554" spans="1:15">
      <c r="A1554" s="17">
        <v>0.47599999999999998</v>
      </c>
      <c r="B1554" s="21">
        <v>148</v>
      </c>
      <c r="C1554" s="16">
        <v>0.38900000000000001</v>
      </c>
      <c r="D1554" s="16" t="str">
        <f ca="1">PROPER(Music_Data[[#This Row],[Playlist_genre2]])</f>
        <v>Rock</v>
      </c>
      <c r="E1554" s="17">
        <v>0.56599999999999995</v>
      </c>
      <c r="F1554" t="s">
        <v>1751</v>
      </c>
      <c r="G1554">
        <v>73</v>
      </c>
      <c r="H1554" t="s">
        <v>675</v>
      </c>
      <c r="I1554" t="s">
        <v>1756</v>
      </c>
      <c r="J1554" s="22">
        <v>33604</v>
      </c>
      <c r="K1554">
        <v>1</v>
      </c>
      <c r="L1554">
        <v>9</v>
      </c>
      <c r="M1554" s="21">
        <f ca="1">LEFT(Music_Data[[#This Row],[Duration_minutes]],3)/60</f>
        <v>3.6166666666666667</v>
      </c>
      <c r="N1554" s="17">
        <v>0.61899999999999999</v>
      </c>
      <c r="O1554" s="17" t="str">
        <f ca="1">PROPER(Music_Data[[#This Row],[Playlist_subgenre2]])</f>
        <v>Classic</v>
      </c>
    </row>
    <row r="1555" spans="1:15">
      <c r="A1555" s="17">
        <v>0.55300000000000005</v>
      </c>
      <c r="B1555" s="21">
        <v>126</v>
      </c>
      <c r="C1555" s="16">
        <v>0.48699999999999999</v>
      </c>
      <c r="D1555" s="16" t="str">
        <f ca="1">PROPER(Music_Data[[#This Row],[Playlist_genre2]])</f>
        <v>Rock</v>
      </c>
      <c r="E1555" s="17">
        <v>0.69899999999999995</v>
      </c>
      <c r="F1555" t="s">
        <v>12844</v>
      </c>
      <c r="G1555">
        <v>73</v>
      </c>
      <c r="H1555" t="s">
        <v>12750</v>
      </c>
      <c r="I1555" t="s">
        <v>12857</v>
      </c>
      <c r="J1555" s="22">
        <v>1994</v>
      </c>
      <c r="K1555">
        <v>0</v>
      </c>
      <c r="L1555">
        <v>6</v>
      </c>
      <c r="M1555" s="21">
        <f ca="1">LEFT(Music_Data[[#This Row],[Duration_minutes]],3)/60</f>
        <v>4.8</v>
      </c>
      <c r="N1555" s="17">
        <v>0.20899999999999999</v>
      </c>
      <c r="O1555" s="17" t="str">
        <f ca="1">PROPER(Music_Data[[#This Row],[Playlist_subgenre2]])</f>
        <v>Spanish</v>
      </c>
    </row>
    <row r="1556" spans="1:15">
      <c r="A1556" s="17">
        <v>0.54900000000000004</v>
      </c>
      <c r="B1556" s="21">
        <v>176</v>
      </c>
      <c r="C1556" s="16">
        <v>0.51600000000000001</v>
      </c>
      <c r="D1556" s="16" t="str">
        <f ca="1">PROPER(Music_Data[[#This Row],[Playlist_genre2]])</f>
        <v>Rock</v>
      </c>
      <c r="E1556" s="17">
        <v>0.90700000000000003</v>
      </c>
      <c r="F1556" t="s">
        <v>1621</v>
      </c>
      <c r="G1556">
        <v>73</v>
      </c>
      <c r="H1556" t="s">
        <v>675</v>
      </c>
      <c r="I1556" t="s">
        <v>1628</v>
      </c>
      <c r="J1556" s="22">
        <v>31005</v>
      </c>
      <c r="K1556">
        <v>1</v>
      </c>
      <c r="L1556">
        <v>6</v>
      </c>
      <c r="M1556" s="21">
        <f ca="1">LEFT(Music_Data[[#This Row],[Duration_minutes]],3)/60</f>
        <v>4.8</v>
      </c>
      <c r="N1556" s="17">
        <v>0.501</v>
      </c>
      <c r="O1556" s="17" t="str">
        <f ca="1">PROPER(Music_Data[[#This Row],[Playlist_subgenre2]])</f>
        <v>Classic</v>
      </c>
    </row>
    <row r="1557" spans="1:15">
      <c r="A1557" s="17">
        <v>0.54900000000000004</v>
      </c>
      <c r="B1557" s="21">
        <v>176</v>
      </c>
      <c r="C1557" s="16">
        <v>0.51600000000000001</v>
      </c>
      <c r="D1557" s="16" t="str">
        <f ca="1">PROPER(Music_Data[[#This Row],[Playlist_genre2]])</f>
        <v>Rock</v>
      </c>
      <c r="E1557" s="17">
        <v>0.90700000000000003</v>
      </c>
      <c r="F1557" t="s">
        <v>1621</v>
      </c>
      <c r="G1557">
        <v>73</v>
      </c>
      <c r="H1557" t="s">
        <v>5990</v>
      </c>
      <c r="I1557" t="s">
        <v>1628</v>
      </c>
      <c r="J1557" s="22">
        <v>31005</v>
      </c>
      <c r="K1557">
        <v>1</v>
      </c>
      <c r="L1557">
        <v>6</v>
      </c>
      <c r="M1557" s="21">
        <f ca="1">LEFT(Music_Data[[#This Row],[Duration_minutes]],3)/60</f>
        <v>4.8</v>
      </c>
      <c r="N1557" s="17">
        <v>0.501</v>
      </c>
      <c r="O1557" s="17" t="str">
        <f ca="1">PROPER(Music_Data[[#This Row],[Playlist_subgenre2]])</f>
        <v>80S</v>
      </c>
    </row>
    <row r="1558" spans="1:15">
      <c r="A1558" s="17">
        <v>0.91900000000000004</v>
      </c>
      <c r="B1558" s="21">
        <v>135</v>
      </c>
      <c r="C1558" s="16">
        <v>0.46500000000000002</v>
      </c>
      <c r="D1558" s="16" t="str">
        <f ca="1">PROPER(Music_Data[[#This Row],[Playlist_genre2]])</f>
        <v>Rock</v>
      </c>
      <c r="E1558" s="17">
        <v>0.53700000000000003</v>
      </c>
      <c r="F1558" t="s">
        <v>802</v>
      </c>
      <c r="G1558">
        <v>73</v>
      </c>
      <c r="H1558" t="s">
        <v>675</v>
      </c>
      <c r="I1558" t="s">
        <v>1675</v>
      </c>
      <c r="J1558" s="22">
        <v>36466</v>
      </c>
      <c r="K1558">
        <v>1</v>
      </c>
      <c r="L1558">
        <v>4</v>
      </c>
      <c r="M1558" s="21">
        <f ca="1">LEFT(Music_Data[[#This Row],[Duration_minutes]],3)/60</f>
        <v>3.9166666666666665</v>
      </c>
      <c r="N1558" s="17">
        <v>1.8300000000000001E-5</v>
      </c>
      <c r="O1558" s="17" t="str">
        <f ca="1">PROPER(Music_Data[[#This Row],[Playlist_subgenre2]])</f>
        <v>Classic</v>
      </c>
    </row>
    <row r="1559" spans="1:15">
      <c r="A1559" s="17">
        <v>0.78600000000000003</v>
      </c>
      <c r="B1559" s="21">
        <v>126</v>
      </c>
      <c r="C1559" s="16">
        <v>0.48199999999999998</v>
      </c>
      <c r="D1559" s="16" t="str">
        <f ca="1">PROPER(Music_Data[[#This Row],[Playlist_genre2]])</f>
        <v>Rock</v>
      </c>
      <c r="E1559" s="17">
        <v>0.79300000000000004</v>
      </c>
      <c r="F1559" t="s">
        <v>827</v>
      </c>
      <c r="G1559">
        <v>73</v>
      </c>
      <c r="H1559" t="s">
        <v>675</v>
      </c>
      <c r="I1559" t="s">
        <v>1159</v>
      </c>
      <c r="J1559" s="22">
        <v>1976</v>
      </c>
      <c r="K1559">
        <v>1</v>
      </c>
      <c r="L1559">
        <v>7</v>
      </c>
      <c r="M1559" s="21">
        <f ca="1">LEFT(Music_Data[[#This Row],[Duration_minutes]],3)/60</f>
        <v>5.3833333333333337</v>
      </c>
      <c r="N1559" s="17">
        <v>3.2100000000000002E-3</v>
      </c>
      <c r="O1559" s="17" t="str">
        <f ca="1">PROPER(Music_Data[[#This Row],[Playlist_subgenre2]])</f>
        <v>Classic</v>
      </c>
    </row>
    <row r="1560" spans="1:15">
      <c r="A1560" s="17">
        <v>0.83899999999999997</v>
      </c>
      <c r="B1560" s="21">
        <v>940</v>
      </c>
      <c r="C1560" s="16">
        <v>0.51700000000000002</v>
      </c>
      <c r="D1560" s="16" t="str">
        <f ca="1">PROPER(Music_Data[[#This Row],[Playlist_genre2]])</f>
        <v>Rock</v>
      </c>
      <c r="E1560" s="17">
        <v>0.41599999999999998</v>
      </c>
      <c r="F1560" t="s">
        <v>9022</v>
      </c>
      <c r="G1560">
        <v>73</v>
      </c>
      <c r="H1560" t="s">
        <v>8930</v>
      </c>
      <c r="I1560" t="s">
        <v>9028</v>
      </c>
      <c r="J1560" s="22">
        <v>38117</v>
      </c>
      <c r="K1560">
        <v>1</v>
      </c>
      <c r="L1560">
        <v>0</v>
      </c>
      <c r="M1560" s="21">
        <f ca="1">LEFT(Music_Data[[#This Row],[Duration_minutes]],3)/60</f>
        <v>3.5833333333333335</v>
      </c>
      <c r="N1560" s="17">
        <v>1.4E-3</v>
      </c>
      <c r="O1560" s="17" t="str">
        <f ca="1">PROPER(Music_Data[[#This Row],[Playlist_subgenre2]])</f>
        <v>Alternative</v>
      </c>
    </row>
    <row r="1561" spans="1:15">
      <c r="A1561" s="17">
        <v>0.872</v>
      </c>
      <c r="B1561" s="21">
        <v>159</v>
      </c>
      <c r="C1561" s="16">
        <v>0.58699999999999997</v>
      </c>
      <c r="D1561" s="16" t="str">
        <f ca="1">PROPER(Music_Data[[#This Row],[Playlist_genre2]])</f>
        <v>Rock</v>
      </c>
      <c r="E1561" s="17">
        <v>0.73499999999999999</v>
      </c>
      <c r="F1561" t="s">
        <v>1063</v>
      </c>
      <c r="G1561">
        <v>73</v>
      </c>
      <c r="H1561" t="s">
        <v>675</v>
      </c>
      <c r="I1561" t="s">
        <v>1284</v>
      </c>
      <c r="J1561" s="22">
        <v>35927</v>
      </c>
      <c r="K1561">
        <v>1</v>
      </c>
      <c r="L1561">
        <v>7</v>
      </c>
      <c r="M1561" s="21">
        <f ca="1">LEFT(Music_Data[[#This Row],[Duration_minutes]],3)/60</f>
        <v>3.6833333333333331</v>
      </c>
      <c r="N1561" s="17">
        <v>1.7999999999999999E-2</v>
      </c>
      <c r="O1561" s="17" t="str">
        <f ca="1">PROPER(Music_Data[[#This Row],[Playlist_subgenre2]])</f>
        <v>Classic</v>
      </c>
    </row>
    <row r="1562" spans="1:15">
      <c r="A1562" s="17">
        <v>0.752</v>
      </c>
      <c r="B1562" s="21">
        <v>120</v>
      </c>
      <c r="C1562" s="16">
        <v>0.42199999999999999</v>
      </c>
      <c r="D1562" s="16" t="str">
        <f ca="1">PROPER(Music_Data[[#This Row],[Playlist_genre2]])</f>
        <v>Rock</v>
      </c>
      <c r="E1562" s="17">
        <v>0.40400000000000003</v>
      </c>
      <c r="F1562" t="s">
        <v>9963</v>
      </c>
      <c r="G1562">
        <v>73</v>
      </c>
      <c r="H1562" t="s">
        <v>9968</v>
      </c>
      <c r="I1562" t="s">
        <v>9991</v>
      </c>
      <c r="J1562" s="22">
        <v>26665</v>
      </c>
      <c r="K1562">
        <v>1</v>
      </c>
      <c r="L1562">
        <v>6</v>
      </c>
      <c r="M1562" s="21">
        <f ca="1">LEFT(Music_Data[[#This Row],[Duration_minutes]],3)/60</f>
        <v>5.9333333333333336</v>
      </c>
      <c r="N1562" s="17">
        <v>3.6600000000000001E-2</v>
      </c>
      <c r="O1562" s="17" t="str">
        <f ca="1">PROPER(Music_Data[[#This Row],[Playlist_subgenre2]])</f>
        <v>Southern</v>
      </c>
    </row>
    <row r="1563" spans="1:15">
      <c r="A1563" s="17">
        <v>0.94</v>
      </c>
      <c r="B1563" s="21">
        <v>100</v>
      </c>
      <c r="C1563" s="16">
        <v>0.438</v>
      </c>
      <c r="D1563" s="16" t="str">
        <f ca="1">PROPER(Music_Data[[#This Row],[Playlist_genre2]])</f>
        <v>Rock</v>
      </c>
      <c r="E1563" s="17">
        <v>0.42099999999999999</v>
      </c>
      <c r="F1563" t="s">
        <v>3504</v>
      </c>
      <c r="G1563">
        <v>73</v>
      </c>
      <c r="H1563" t="s">
        <v>3463</v>
      </c>
      <c r="I1563" t="s">
        <v>3510</v>
      </c>
      <c r="J1563" s="22">
        <v>39430</v>
      </c>
      <c r="K1563">
        <v>1</v>
      </c>
      <c r="L1563">
        <v>2</v>
      </c>
      <c r="M1563" s="21">
        <f ca="1">LEFT(Music_Data[[#This Row],[Duration_minutes]],3)/60</f>
        <v>4.3499999999999996</v>
      </c>
      <c r="N1563" s="17">
        <v>8.7399999999999997E-5</v>
      </c>
      <c r="O1563" s="17" t="str">
        <f ca="1">PROPER(Music_Data[[#This Row],[Playlist_subgenre2]])</f>
        <v>Indie</v>
      </c>
    </row>
    <row r="1564" spans="1:15">
      <c r="A1564" s="17">
        <v>0.94</v>
      </c>
      <c r="B1564" s="21">
        <v>100</v>
      </c>
      <c r="C1564" s="16">
        <v>0.438</v>
      </c>
      <c r="D1564" s="16" t="str">
        <f ca="1">PROPER(Music_Data[[#This Row],[Playlist_genre2]])</f>
        <v>Rock</v>
      </c>
      <c r="E1564" s="17">
        <v>0.42099999999999999</v>
      </c>
      <c r="F1564" t="s">
        <v>3504</v>
      </c>
      <c r="G1564">
        <v>73</v>
      </c>
      <c r="H1564" t="s">
        <v>3520</v>
      </c>
      <c r="I1564" t="s">
        <v>3510</v>
      </c>
      <c r="J1564" s="22">
        <v>39430</v>
      </c>
      <c r="K1564">
        <v>1</v>
      </c>
      <c r="L1564">
        <v>2</v>
      </c>
      <c r="M1564" s="21">
        <f ca="1">LEFT(Music_Data[[#This Row],[Duration_minutes]],3)/60</f>
        <v>4.3499999999999996</v>
      </c>
      <c r="N1564" s="17">
        <v>8.7399999999999997E-5</v>
      </c>
      <c r="O1564" s="17" t="str">
        <f ca="1">PROPER(Music_Data[[#This Row],[Playlist_subgenre2]])</f>
        <v>Feel-Good</v>
      </c>
    </row>
    <row r="1565" spans="1:15">
      <c r="A1565" s="17">
        <v>0.875</v>
      </c>
      <c r="B1565" s="21">
        <v>750</v>
      </c>
      <c r="C1565" s="16">
        <v>0.28399999999999997</v>
      </c>
      <c r="D1565" s="16" t="str">
        <f ca="1">PROPER(Music_Data[[#This Row],[Playlist_genre2]])</f>
        <v>Rock</v>
      </c>
      <c r="E1565" s="17">
        <v>0.59499999999999997</v>
      </c>
      <c r="F1565" t="s">
        <v>973</v>
      </c>
      <c r="G1565">
        <v>73</v>
      </c>
      <c r="H1565" t="s">
        <v>675</v>
      </c>
      <c r="I1565" t="s">
        <v>1580</v>
      </c>
      <c r="J1565" s="22">
        <v>33477</v>
      </c>
      <c r="K1565">
        <v>0</v>
      </c>
      <c r="L1565">
        <v>11</v>
      </c>
      <c r="M1565" s="21">
        <f ca="1">LEFT(Music_Data[[#This Row],[Duration_minutes]],3)/60</f>
        <v>5.666666666666667</v>
      </c>
      <c r="N1565" s="17">
        <v>7.5199999999999998E-3</v>
      </c>
      <c r="O1565" s="17" t="str">
        <f ca="1">PROPER(Music_Data[[#This Row],[Playlist_subgenre2]])</f>
        <v>Classic</v>
      </c>
    </row>
    <row r="1566" spans="1:15">
      <c r="A1566" s="17">
        <v>0.68400000000000005</v>
      </c>
      <c r="B1566" s="21">
        <v>771</v>
      </c>
      <c r="C1566" s="16">
        <v>0.36</v>
      </c>
      <c r="D1566" s="16" t="str">
        <f ca="1">PROPER(Music_Data[[#This Row],[Playlist_genre2]])</f>
        <v>Rock</v>
      </c>
      <c r="E1566" s="17">
        <v>0.2</v>
      </c>
      <c r="F1566" t="s">
        <v>973</v>
      </c>
      <c r="G1566">
        <v>73</v>
      </c>
      <c r="H1566" t="s">
        <v>8930</v>
      </c>
      <c r="I1566" t="s">
        <v>9083</v>
      </c>
      <c r="J1566" s="22">
        <v>33477</v>
      </c>
      <c r="K1566">
        <v>0</v>
      </c>
      <c r="L1566">
        <v>4</v>
      </c>
      <c r="M1566" s="21">
        <f ca="1">LEFT(Music_Data[[#This Row],[Duration_minutes]],3)/60</f>
        <v>5.7</v>
      </c>
      <c r="N1566" s="17">
        <v>0.32300000000000001</v>
      </c>
      <c r="O1566" s="17" t="str">
        <f ca="1">PROPER(Music_Data[[#This Row],[Playlist_subgenre2]])</f>
        <v>Alternative</v>
      </c>
    </row>
    <row r="1567" spans="1:15">
      <c r="A1567" s="17">
        <v>0.60299999999999998</v>
      </c>
      <c r="B1567" s="21">
        <v>102</v>
      </c>
      <c r="C1567" s="16">
        <v>0.66</v>
      </c>
      <c r="D1567" s="16" t="str">
        <f ca="1">PROPER(Music_Data[[#This Row],[Playlist_genre2]])</f>
        <v>Rock</v>
      </c>
      <c r="E1567" s="17">
        <v>0.52700000000000002</v>
      </c>
      <c r="F1567" t="s">
        <v>3647</v>
      </c>
      <c r="G1567">
        <v>73</v>
      </c>
      <c r="H1567" t="s">
        <v>3520</v>
      </c>
      <c r="I1567" t="s">
        <v>3651</v>
      </c>
      <c r="J1567" s="22">
        <v>45499</v>
      </c>
      <c r="K1567">
        <v>0</v>
      </c>
      <c r="L1567">
        <v>3</v>
      </c>
      <c r="M1567" s="21">
        <f ca="1">LEFT(Music_Data[[#This Row],[Duration_minutes]],3)/60</f>
        <v>3.5666666666666669</v>
      </c>
      <c r="N1567" s="17">
        <v>5.6600000000000001E-3</v>
      </c>
      <c r="O1567" s="17" t="str">
        <f ca="1">PROPER(Music_Data[[#This Row],[Playlist_subgenre2]])</f>
        <v>Feel-Good</v>
      </c>
    </row>
    <row r="1568" spans="1:15">
      <c r="A1568" s="17">
        <v>0.94</v>
      </c>
      <c r="B1568" s="21">
        <v>151</v>
      </c>
      <c r="C1568" s="16">
        <v>0.437</v>
      </c>
      <c r="D1568" s="16" t="str">
        <f ca="1">PROPER(Music_Data[[#This Row],[Playlist_genre2]])</f>
        <v>Rock</v>
      </c>
      <c r="E1568" s="17">
        <v>0.48</v>
      </c>
      <c r="F1568" t="s">
        <v>9199</v>
      </c>
      <c r="G1568">
        <v>73</v>
      </c>
      <c r="H1568" t="s">
        <v>8930</v>
      </c>
      <c r="I1568" t="s">
        <v>9205</v>
      </c>
      <c r="J1568" s="22">
        <v>31778</v>
      </c>
      <c r="K1568">
        <v>1</v>
      </c>
      <c r="L1568">
        <v>9</v>
      </c>
      <c r="M1568" s="21">
        <f ca="1">LEFT(Music_Data[[#This Row],[Duration_minutes]],3)/60</f>
        <v>3.5333333333333332</v>
      </c>
      <c r="N1568" s="17">
        <v>5.2400000000000002E-2</v>
      </c>
      <c r="O1568" s="17" t="str">
        <f ca="1">PROPER(Music_Data[[#This Row],[Playlist_subgenre2]])</f>
        <v>Alternative</v>
      </c>
    </row>
    <row r="1569" spans="1:15">
      <c r="A1569" s="17">
        <v>0.76800000000000002</v>
      </c>
      <c r="B1569" s="21">
        <v>819</v>
      </c>
      <c r="C1569" s="16">
        <v>0.55800000000000005</v>
      </c>
      <c r="D1569" s="16" t="str">
        <f ca="1">PROPER(Music_Data[[#This Row],[Playlist_genre2]])</f>
        <v>Rock</v>
      </c>
      <c r="E1569" s="17">
        <v>0.42899999999999999</v>
      </c>
      <c r="F1569" t="s">
        <v>1290</v>
      </c>
      <c r="G1569">
        <v>73</v>
      </c>
      <c r="H1569" t="s">
        <v>5990</v>
      </c>
      <c r="I1569" t="s">
        <v>6091</v>
      </c>
      <c r="J1569" s="22">
        <v>29861</v>
      </c>
      <c r="K1569">
        <v>1</v>
      </c>
      <c r="L1569">
        <v>2</v>
      </c>
      <c r="M1569" s="21">
        <f ca="1">LEFT(Music_Data[[#This Row],[Duration_minutes]],3)/60</f>
        <v>4.333333333333333</v>
      </c>
      <c r="N1569" s="17">
        <v>0.121</v>
      </c>
      <c r="O1569" s="17" t="str">
        <f ca="1">PROPER(Music_Data[[#This Row],[Playlist_subgenre2]])</f>
        <v>80S</v>
      </c>
    </row>
    <row r="1570" spans="1:15">
      <c r="A1570" s="17">
        <v>0.72</v>
      </c>
      <c r="B1570" s="21">
        <v>121</v>
      </c>
      <c r="C1570" s="16">
        <v>0.40400000000000003</v>
      </c>
      <c r="D1570" s="16" t="str">
        <f ca="1">PROPER(Music_Data[[#This Row],[Playlist_genre2]])</f>
        <v>Rock</v>
      </c>
      <c r="E1570" s="17">
        <v>0.47499999999999998</v>
      </c>
      <c r="F1570" t="s">
        <v>1423</v>
      </c>
      <c r="G1570">
        <v>73</v>
      </c>
      <c r="H1570" t="s">
        <v>675</v>
      </c>
      <c r="I1570" t="s">
        <v>1698</v>
      </c>
      <c r="J1570" s="22">
        <v>1995</v>
      </c>
      <c r="K1570">
        <v>0</v>
      </c>
      <c r="L1570">
        <v>10</v>
      </c>
      <c r="M1570" s="21">
        <f ca="1">LEFT(Music_Data[[#This Row],[Duration_minutes]],3)/60</f>
        <v>4.3</v>
      </c>
      <c r="N1570" s="17">
        <v>5.5899999999999997E-5</v>
      </c>
      <c r="O1570" s="17" t="str">
        <f ca="1">PROPER(Music_Data[[#This Row],[Playlist_subgenre2]])</f>
        <v>Classic</v>
      </c>
    </row>
    <row r="1571" spans="1:15">
      <c r="A1571" s="17">
        <v>0.47799999999999998</v>
      </c>
      <c r="B1571" s="21">
        <v>114</v>
      </c>
      <c r="C1571" s="16">
        <v>0.76600000000000001</v>
      </c>
      <c r="D1571" s="16" t="str">
        <f ca="1">PROPER(Music_Data[[#This Row],[Playlist_genre2]])</f>
        <v>Rock</v>
      </c>
      <c r="E1571" s="17">
        <v>0.96499999999999997</v>
      </c>
      <c r="F1571" t="s">
        <v>1738</v>
      </c>
      <c r="G1571">
        <v>73</v>
      </c>
      <c r="H1571" t="s">
        <v>5990</v>
      </c>
      <c r="I1571" t="s">
        <v>6099</v>
      </c>
      <c r="J1571" s="22">
        <v>32509</v>
      </c>
      <c r="K1571">
        <v>1</v>
      </c>
      <c r="L1571">
        <v>7</v>
      </c>
      <c r="M1571" s="21">
        <f ca="1">LEFT(Music_Data[[#This Row],[Duration_minutes]],3)/60</f>
        <v>2.9666666666666668</v>
      </c>
      <c r="N1571" s="17">
        <v>5.1299999999999998E-2</v>
      </c>
      <c r="O1571" s="17" t="str">
        <f ca="1">PROPER(Music_Data[[#This Row],[Playlist_subgenre2]])</f>
        <v>80S</v>
      </c>
    </row>
    <row r="1572" spans="1:15">
      <c r="A1572" s="17">
        <v>0.84199999999999997</v>
      </c>
      <c r="B1572" s="21">
        <v>100</v>
      </c>
      <c r="C1572" s="16">
        <v>0.29699999999999999</v>
      </c>
      <c r="D1572" s="16" t="str">
        <f ca="1">PROPER(Music_Data[[#This Row],[Playlist_genre2]])</f>
        <v>Rock</v>
      </c>
      <c r="E1572" s="17">
        <v>0.58599999999999997</v>
      </c>
      <c r="F1572" t="s">
        <v>1774</v>
      </c>
      <c r="G1572">
        <v>72</v>
      </c>
      <c r="H1572" t="s">
        <v>675</v>
      </c>
      <c r="I1572" t="s">
        <v>1781</v>
      </c>
      <c r="J1572" s="22">
        <v>33876</v>
      </c>
      <c r="K1572">
        <v>1</v>
      </c>
      <c r="L1572">
        <v>6</v>
      </c>
      <c r="M1572" s="21">
        <f ca="1">LEFT(Music_Data[[#This Row],[Duration_minutes]],3)/60</f>
        <v>3.4333333333333331</v>
      </c>
      <c r="N1572" s="17">
        <v>2.8600000000000001E-4</v>
      </c>
      <c r="O1572" s="17" t="str">
        <f ca="1">PROPER(Music_Data[[#This Row],[Playlist_subgenre2]])</f>
        <v>Classic</v>
      </c>
    </row>
    <row r="1573" spans="1:15">
      <c r="A1573" s="17">
        <v>0.84199999999999997</v>
      </c>
      <c r="B1573" s="21">
        <v>100</v>
      </c>
      <c r="C1573" s="16">
        <v>0.29699999999999999</v>
      </c>
      <c r="D1573" s="16" t="str">
        <f ca="1">PROPER(Music_Data[[#This Row],[Playlist_genre2]])</f>
        <v>Rock</v>
      </c>
      <c r="E1573" s="17">
        <v>0.58599999999999997</v>
      </c>
      <c r="F1573" t="s">
        <v>1774</v>
      </c>
      <c r="G1573">
        <v>72</v>
      </c>
      <c r="H1573" t="s">
        <v>8930</v>
      </c>
      <c r="I1573" t="s">
        <v>1781</v>
      </c>
      <c r="J1573" s="22">
        <v>33876</v>
      </c>
      <c r="K1573">
        <v>1</v>
      </c>
      <c r="L1573">
        <v>6</v>
      </c>
      <c r="M1573" s="21">
        <f ca="1">LEFT(Music_Data[[#This Row],[Duration_minutes]],3)/60</f>
        <v>3.4333333333333331</v>
      </c>
      <c r="N1573" s="17">
        <v>2.8600000000000001E-4</v>
      </c>
      <c r="O1573" s="17" t="str">
        <f ca="1">PROPER(Music_Data[[#This Row],[Playlist_subgenre2]])</f>
        <v>Alternative</v>
      </c>
    </row>
    <row r="1574" spans="1:15">
      <c r="A1574" s="17">
        <v>0.89900000000000002</v>
      </c>
      <c r="B1574" s="21">
        <v>152</v>
      </c>
      <c r="C1574" s="16">
        <v>0.47499999999999998</v>
      </c>
      <c r="D1574" s="16" t="str">
        <f ca="1">PROPER(Music_Data[[#This Row],[Playlist_genre2]])</f>
        <v>Rock</v>
      </c>
      <c r="E1574" s="17">
        <v>0.60299999999999998</v>
      </c>
      <c r="F1574" t="s">
        <v>853</v>
      </c>
      <c r="G1574">
        <v>72</v>
      </c>
      <c r="H1574" t="s">
        <v>675</v>
      </c>
      <c r="I1574" t="s">
        <v>859</v>
      </c>
      <c r="J1574" s="22">
        <v>30704</v>
      </c>
      <c r="K1574">
        <v>0</v>
      </c>
      <c r="L1574">
        <v>9</v>
      </c>
      <c r="M1574" s="21">
        <f ca="1">LEFT(Music_Data[[#This Row],[Duration_minutes]],3)/60</f>
        <v>3.8333333333333335</v>
      </c>
      <c r="N1574" s="17">
        <v>3.7499999999999999E-3</v>
      </c>
      <c r="O1574" s="17" t="str">
        <f ca="1">PROPER(Music_Data[[#This Row],[Playlist_subgenre2]])</f>
        <v>Classic</v>
      </c>
    </row>
    <row r="1575" spans="1:15">
      <c r="A1575" s="17">
        <v>0.80300000000000005</v>
      </c>
      <c r="B1575" s="21">
        <v>150</v>
      </c>
      <c r="C1575" s="16">
        <v>0.253</v>
      </c>
      <c r="D1575" s="16" t="str">
        <f ca="1">PROPER(Music_Data[[#This Row],[Playlist_genre2]])</f>
        <v>Rock</v>
      </c>
      <c r="E1575" s="17">
        <v>0.25800000000000001</v>
      </c>
      <c r="F1575" t="s">
        <v>853</v>
      </c>
      <c r="G1575">
        <v>72</v>
      </c>
      <c r="H1575" t="s">
        <v>5990</v>
      </c>
      <c r="I1575" t="s">
        <v>6105</v>
      </c>
      <c r="J1575" s="22">
        <v>31640</v>
      </c>
      <c r="K1575">
        <v>1</v>
      </c>
      <c r="L1575">
        <v>7</v>
      </c>
      <c r="M1575" s="21">
        <f ca="1">LEFT(Music_Data[[#This Row],[Duration_minutes]],3)/60</f>
        <v>5.1333333333333337</v>
      </c>
      <c r="N1575" s="17">
        <v>0.129</v>
      </c>
      <c r="O1575" s="17" t="str">
        <f ca="1">PROPER(Music_Data[[#This Row],[Playlist_subgenre2]])</f>
        <v>80S</v>
      </c>
    </row>
    <row r="1576" spans="1:15">
      <c r="A1576" s="17">
        <v>0.89900000000000002</v>
      </c>
      <c r="B1576" s="21">
        <v>152</v>
      </c>
      <c r="C1576" s="16">
        <v>0.47499999999999998</v>
      </c>
      <c r="D1576" s="16" t="str">
        <f ca="1">PROPER(Music_Data[[#This Row],[Playlist_genre2]])</f>
        <v>Rock</v>
      </c>
      <c r="E1576" s="17">
        <v>0.60299999999999998</v>
      </c>
      <c r="F1576" t="s">
        <v>853</v>
      </c>
      <c r="G1576">
        <v>72</v>
      </c>
      <c r="H1576" t="s">
        <v>5990</v>
      </c>
      <c r="I1576" t="s">
        <v>859</v>
      </c>
      <c r="J1576" s="22">
        <v>30704</v>
      </c>
      <c r="K1576">
        <v>0</v>
      </c>
      <c r="L1576">
        <v>9</v>
      </c>
      <c r="M1576" s="21">
        <f ca="1">LEFT(Music_Data[[#This Row],[Duration_minutes]],3)/60</f>
        <v>3.8333333333333335</v>
      </c>
      <c r="N1576" s="17">
        <v>3.7499999999999999E-3</v>
      </c>
      <c r="O1576" s="17" t="str">
        <f ca="1">PROPER(Music_Data[[#This Row],[Playlist_subgenre2]])</f>
        <v>80S</v>
      </c>
    </row>
    <row r="1577" spans="1:15">
      <c r="A1577" s="17">
        <v>0.79800000000000004</v>
      </c>
      <c r="B1577" s="21">
        <v>126</v>
      </c>
      <c r="C1577" s="16">
        <v>0.502</v>
      </c>
      <c r="D1577" s="16" t="str">
        <f ca="1">PROPER(Music_Data[[#This Row],[Playlist_genre2]])</f>
        <v>Rock</v>
      </c>
      <c r="E1577" s="17">
        <v>0.307</v>
      </c>
      <c r="F1577" t="s">
        <v>3659</v>
      </c>
      <c r="G1577">
        <v>72</v>
      </c>
      <c r="H1577" t="s">
        <v>3520</v>
      </c>
      <c r="I1577" t="s">
        <v>3665</v>
      </c>
      <c r="J1577" s="22">
        <v>45016</v>
      </c>
      <c r="K1577">
        <v>1</v>
      </c>
      <c r="L1577">
        <v>1</v>
      </c>
      <c r="M1577" s="21">
        <f ca="1">LEFT(Music_Data[[#This Row],[Duration_minutes]],3)/60</f>
        <v>3.9</v>
      </c>
      <c r="N1577" s="17">
        <v>2.9099999999999998E-3</v>
      </c>
      <c r="O1577" s="17" t="str">
        <f ca="1">PROPER(Music_Data[[#This Row],[Playlist_subgenre2]])</f>
        <v>Feel-Good</v>
      </c>
    </row>
    <row r="1578" spans="1:15">
      <c r="A1578" s="17">
        <v>0.95199999999999996</v>
      </c>
      <c r="B1578" s="21">
        <v>122</v>
      </c>
      <c r="C1578" s="16">
        <v>0.39800000000000002</v>
      </c>
      <c r="D1578" s="16" t="str">
        <f ca="1">PROPER(Music_Data[[#This Row],[Playlist_genre2]])</f>
        <v>Rock</v>
      </c>
      <c r="E1578" s="17">
        <v>0.58399999999999996</v>
      </c>
      <c r="F1578" t="s">
        <v>986</v>
      </c>
      <c r="G1578">
        <v>72</v>
      </c>
      <c r="H1578" t="s">
        <v>675</v>
      </c>
      <c r="I1578" t="s">
        <v>993</v>
      </c>
      <c r="J1578" s="22">
        <v>30837</v>
      </c>
      <c r="K1578">
        <v>1</v>
      </c>
      <c r="L1578">
        <v>4</v>
      </c>
      <c r="M1578" s="21">
        <f ca="1">LEFT(Music_Data[[#This Row],[Duration_minutes]],3)/60</f>
        <v>4.6333333333333337</v>
      </c>
      <c r="N1578" s="17">
        <v>3.7300000000000001E-4</v>
      </c>
      <c r="O1578" s="17" t="str">
        <f ca="1">PROPER(Music_Data[[#This Row],[Playlist_subgenre2]])</f>
        <v>Classic</v>
      </c>
    </row>
    <row r="1579" spans="1:15">
      <c r="A1579" s="17">
        <v>0.95199999999999996</v>
      </c>
      <c r="B1579" s="21">
        <v>122</v>
      </c>
      <c r="C1579" s="16">
        <v>0.39800000000000002</v>
      </c>
      <c r="D1579" s="16" t="str">
        <f ca="1">PROPER(Music_Data[[#This Row],[Playlist_genre2]])</f>
        <v>Rock</v>
      </c>
      <c r="E1579" s="17">
        <v>0.58399999999999996</v>
      </c>
      <c r="F1579" t="s">
        <v>986</v>
      </c>
      <c r="G1579">
        <v>72</v>
      </c>
      <c r="H1579" t="s">
        <v>5990</v>
      </c>
      <c r="I1579" t="s">
        <v>993</v>
      </c>
      <c r="J1579" s="22">
        <v>30837</v>
      </c>
      <c r="K1579">
        <v>1</v>
      </c>
      <c r="L1579">
        <v>4</v>
      </c>
      <c r="M1579" s="21">
        <f ca="1">LEFT(Music_Data[[#This Row],[Duration_minutes]],3)/60</f>
        <v>4.6333333333333337</v>
      </c>
      <c r="N1579" s="17">
        <v>3.7300000000000001E-4</v>
      </c>
      <c r="O1579" s="17" t="str">
        <f ca="1">PROPER(Music_Data[[#This Row],[Playlist_subgenre2]])</f>
        <v>80S</v>
      </c>
    </row>
    <row r="1580" spans="1:15">
      <c r="A1580" s="17">
        <v>0.47899999999999998</v>
      </c>
      <c r="B1580" s="21">
        <v>123</v>
      </c>
      <c r="C1580" s="16">
        <v>0.42499999999999999</v>
      </c>
      <c r="D1580" s="16" t="str">
        <f ca="1">PROPER(Music_Data[[#This Row],[Playlist_genre2]])</f>
        <v>Rock</v>
      </c>
      <c r="E1580" s="17">
        <v>0.27900000000000003</v>
      </c>
      <c r="F1580" t="s">
        <v>12844</v>
      </c>
      <c r="G1580">
        <v>72</v>
      </c>
      <c r="H1580" t="s">
        <v>12750</v>
      </c>
      <c r="I1580" t="s">
        <v>13238</v>
      </c>
      <c r="J1580" s="22">
        <v>33043</v>
      </c>
      <c r="K1580">
        <v>1</v>
      </c>
      <c r="L1580">
        <v>2</v>
      </c>
      <c r="M1580" s="21">
        <f ca="1">LEFT(Music_Data[[#This Row],[Duration_minutes]],3)/60</f>
        <v>3.5833333333333335</v>
      </c>
      <c r="N1580" s="17">
        <v>0.44</v>
      </c>
      <c r="O1580" s="17" t="str">
        <f ca="1">PROPER(Music_Data[[#This Row],[Playlist_subgenre2]])</f>
        <v>Spanish</v>
      </c>
    </row>
    <row r="1581" spans="1:15">
      <c r="A1581" s="17">
        <v>0.75800000000000001</v>
      </c>
      <c r="B1581" s="21">
        <v>112</v>
      </c>
      <c r="C1581" s="16">
        <v>0.48899999999999999</v>
      </c>
      <c r="D1581" s="16" t="str">
        <f ca="1">PROPER(Music_Data[[#This Row],[Playlist_genre2]])</f>
        <v>Rock</v>
      </c>
      <c r="E1581" s="17">
        <v>0.435</v>
      </c>
      <c r="F1581" t="s">
        <v>932</v>
      </c>
      <c r="G1581">
        <v>72</v>
      </c>
      <c r="H1581" t="s">
        <v>675</v>
      </c>
      <c r="I1581" t="s">
        <v>1309</v>
      </c>
      <c r="J1581" s="22">
        <v>1977</v>
      </c>
      <c r="K1581">
        <v>1</v>
      </c>
      <c r="L1581">
        <v>7</v>
      </c>
      <c r="M1581" s="21">
        <f ca="1">LEFT(Music_Data[[#This Row],[Duration_minutes]],3)/60</f>
        <v>6.1833333333333336</v>
      </c>
      <c r="N1581" s="17">
        <v>6.78E-4</v>
      </c>
      <c r="O1581" s="17" t="str">
        <f ca="1">PROPER(Music_Data[[#This Row],[Playlist_subgenre2]])</f>
        <v>Classic</v>
      </c>
    </row>
    <row r="1582" spans="1:15">
      <c r="A1582" s="17">
        <v>0.75800000000000001</v>
      </c>
      <c r="B1582" s="21">
        <v>112</v>
      </c>
      <c r="C1582" s="16">
        <v>0.48899999999999999</v>
      </c>
      <c r="D1582" s="16" t="str">
        <f ca="1">PROPER(Music_Data[[#This Row],[Playlist_genre2]])</f>
        <v>Rock</v>
      </c>
      <c r="E1582" s="17">
        <v>0.435</v>
      </c>
      <c r="F1582" t="s">
        <v>932</v>
      </c>
      <c r="G1582">
        <v>72</v>
      </c>
      <c r="H1582" t="s">
        <v>5990</v>
      </c>
      <c r="I1582" t="s">
        <v>1309</v>
      </c>
      <c r="J1582" s="22">
        <v>1977</v>
      </c>
      <c r="K1582">
        <v>1</v>
      </c>
      <c r="L1582">
        <v>7</v>
      </c>
      <c r="M1582" s="21">
        <f ca="1">LEFT(Music_Data[[#This Row],[Duration_minutes]],3)/60</f>
        <v>6.1833333333333336</v>
      </c>
      <c r="N1582" s="17">
        <v>6.78E-4</v>
      </c>
      <c r="O1582" s="17" t="str">
        <f ca="1">PROPER(Music_Data[[#This Row],[Playlist_subgenre2]])</f>
        <v>80S</v>
      </c>
    </row>
    <row r="1583" spans="1:15">
      <c r="A1583" s="17">
        <v>0.95299999999999996</v>
      </c>
      <c r="B1583" s="21">
        <v>849</v>
      </c>
      <c r="C1583" s="16">
        <v>0.26700000000000002</v>
      </c>
      <c r="D1583" s="16" t="str">
        <f ca="1">PROPER(Music_Data[[#This Row],[Playlist_genre2]])</f>
        <v>Rock</v>
      </c>
      <c r="E1583" s="17">
        <v>0.56799999999999995</v>
      </c>
      <c r="F1583" t="s">
        <v>1656</v>
      </c>
      <c r="G1583">
        <v>72</v>
      </c>
      <c r="H1583" t="s">
        <v>675</v>
      </c>
      <c r="I1583" t="s">
        <v>1663</v>
      </c>
      <c r="J1583" s="22">
        <v>31992</v>
      </c>
      <c r="K1583">
        <v>0</v>
      </c>
      <c r="L1583">
        <v>1</v>
      </c>
      <c r="M1583" s="21">
        <f ca="1">LEFT(Music_Data[[#This Row],[Duration_minutes]],3)/60</f>
        <v>4.45</v>
      </c>
      <c r="N1583" s="17">
        <v>2.1099999999999999E-3</v>
      </c>
      <c r="O1583" s="17" t="str">
        <f ca="1">PROPER(Music_Data[[#This Row],[Playlist_subgenre2]])</f>
        <v>Classic</v>
      </c>
    </row>
    <row r="1584" spans="1:15">
      <c r="A1584" s="17">
        <v>0.95299999999999996</v>
      </c>
      <c r="B1584" s="21">
        <v>849</v>
      </c>
      <c r="C1584" s="16">
        <v>0.26700000000000002</v>
      </c>
      <c r="D1584" s="16" t="str">
        <f ca="1">PROPER(Music_Data[[#This Row],[Playlist_genre2]])</f>
        <v>Rock</v>
      </c>
      <c r="E1584" s="17">
        <v>0.56799999999999995</v>
      </c>
      <c r="F1584" t="s">
        <v>1656</v>
      </c>
      <c r="G1584">
        <v>72</v>
      </c>
      <c r="H1584" t="s">
        <v>5990</v>
      </c>
      <c r="I1584" t="s">
        <v>1663</v>
      </c>
      <c r="J1584" s="22">
        <v>31992</v>
      </c>
      <c r="K1584">
        <v>0</v>
      </c>
      <c r="L1584">
        <v>1</v>
      </c>
      <c r="M1584" s="21">
        <f ca="1">LEFT(Music_Data[[#This Row],[Duration_minutes]],3)/60</f>
        <v>4.45</v>
      </c>
      <c r="N1584" s="17">
        <v>2.1099999999999999E-3</v>
      </c>
      <c r="O1584" s="17" t="str">
        <f ca="1">PROPER(Music_Data[[#This Row],[Playlist_subgenre2]])</f>
        <v>80S</v>
      </c>
    </row>
    <row r="1585" spans="1:15">
      <c r="A1585" s="17">
        <v>0.95699999999999996</v>
      </c>
      <c r="B1585" s="21">
        <v>105</v>
      </c>
      <c r="C1585" s="16">
        <v>0.60599999999999998</v>
      </c>
      <c r="D1585" s="16" t="str">
        <f ca="1">PROPER(Music_Data[[#This Row],[Playlist_genre2]])</f>
        <v>Rock</v>
      </c>
      <c r="E1585" s="17">
        <v>0.60299999999999998</v>
      </c>
      <c r="F1585" t="s">
        <v>3493</v>
      </c>
      <c r="G1585">
        <v>72</v>
      </c>
      <c r="H1585" t="s">
        <v>3463</v>
      </c>
      <c r="I1585" t="s">
        <v>3499</v>
      </c>
      <c r="J1585" s="22">
        <v>2003</v>
      </c>
      <c r="K1585">
        <v>1</v>
      </c>
      <c r="L1585">
        <v>2</v>
      </c>
      <c r="M1585" s="21">
        <f ca="1">LEFT(Music_Data[[#This Row],[Duration_minutes]],3)/60</f>
        <v>3.55</v>
      </c>
      <c r="N1585" s="17">
        <v>1.17E-3</v>
      </c>
      <c r="O1585" s="17" t="str">
        <f ca="1">PROPER(Music_Data[[#This Row],[Playlist_subgenre2]])</f>
        <v>Indie</v>
      </c>
    </row>
    <row r="1586" spans="1:15">
      <c r="A1586" s="17">
        <v>0.80500000000000005</v>
      </c>
      <c r="B1586" s="21">
        <v>113</v>
      </c>
      <c r="C1586" s="16">
        <v>0.438</v>
      </c>
      <c r="D1586" s="16" t="str">
        <f ca="1">PROPER(Music_Data[[#This Row],[Playlist_genre2]])</f>
        <v>Rock</v>
      </c>
      <c r="E1586" s="17">
        <v>0.56399999999999995</v>
      </c>
      <c r="F1586" t="s">
        <v>1026</v>
      </c>
      <c r="G1586">
        <v>72</v>
      </c>
      <c r="H1586" t="s">
        <v>675</v>
      </c>
      <c r="I1586" t="s">
        <v>1033</v>
      </c>
      <c r="J1586" s="22">
        <v>25136</v>
      </c>
      <c r="K1586">
        <v>1</v>
      </c>
      <c r="L1586">
        <v>8</v>
      </c>
      <c r="M1586" s="21">
        <f ca="1">LEFT(Music_Data[[#This Row],[Duration_minutes]],3)/60</f>
        <v>4</v>
      </c>
      <c r="N1586" s="17">
        <v>2.5500000000000002E-3</v>
      </c>
      <c r="O1586" s="17" t="str">
        <f ca="1">PROPER(Music_Data[[#This Row],[Playlist_subgenre2]])</f>
        <v>Classic</v>
      </c>
    </row>
    <row r="1587" spans="1:15">
      <c r="A1587" s="17">
        <v>0.80200000000000005</v>
      </c>
      <c r="B1587" s="21">
        <v>119</v>
      </c>
      <c r="C1587" s="16">
        <v>0.49099999999999999</v>
      </c>
      <c r="D1587" s="16" t="str">
        <f ca="1">PROPER(Music_Data[[#This Row],[Playlist_genre2]])</f>
        <v>Rock</v>
      </c>
      <c r="E1587" s="17">
        <v>0.47199999999999998</v>
      </c>
      <c r="F1587" t="s">
        <v>6003</v>
      </c>
      <c r="G1587">
        <v>72</v>
      </c>
      <c r="H1587" t="s">
        <v>5990</v>
      </c>
      <c r="I1587" t="s">
        <v>6010</v>
      </c>
      <c r="J1587" s="22">
        <v>37180</v>
      </c>
      <c r="K1587">
        <v>1</v>
      </c>
      <c r="L1587">
        <v>4</v>
      </c>
      <c r="M1587" s="21">
        <f ca="1">LEFT(Music_Data[[#This Row],[Duration_minutes]],3)/60</f>
        <v>4.1333333333333337</v>
      </c>
      <c r="N1587" s="17">
        <v>0.25</v>
      </c>
      <c r="O1587" s="17" t="str">
        <f ca="1">PROPER(Music_Data[[#This Row],[Playlist_subgenre2]])</f>
        <v>80S</v>
      </c>
    </row>
    <row r="1588" spans="1:15">
      <c r="A1588" s="17">
        <v>0.73099999999999998</v>
      </c>
      <c r="B1588" s="21">
        <v>970</v>
      </c>
      <c r="C1588" s="16">
        <v>0.751</v>
      </c>
      <c r="D1588" s="16" t="str">
        <f ca="1">PROPER(Music_Data[[#This Row],[Playlist_genre2]])</f>
        <v>Rock</v>
      </c>
      <c r="E1588" s="17">
        <v>0.97299999999999998</v>
      </c>
      <c r="F1588" t="s">
        <v>12760</v>
      </c>
      <c r="G1588">
        <v>72</v>
      </c>
      <c r="H1588" t="s">
        <v>12750</v>
      </c>
      <c r="I1588" t="s">
        <v>12766</v>
      </c>
      <c r="J1588" s="22">
        <v>37987</v>
      </c>
      <c r="K1588">
        <v>0</v>
      </c>
      <c r="L1588">
        <v>6</v>
      </c>
      <c r="M1588" s="21">
        <f ca="1">LEFT(Music_Data[[#This Row],[Duration_minutes]],3)/60</f>
        <v>3.6</v>
      </c>
      <c r="N1588" s="17">
        <v>8.3799999999999999E-2</v>
      </c>
      <c r="O1588" s="17" t="str">
        <f ca="1">PROPER(Music_Data[[#This Row],[Playlist_subgenre2]])</f>
        <v>Spanish</v>
      </c>
    </row>
    <row r="1589" spans="1:15">
      <c r="A1589" s="17">
        <v>0.84</v>
      </c>
      <c r="B1589" s="21">
        <v>970</v>
      </c>
      <c r="C1589" s="16">
        <v>0.67300000000000004</v>
      </c>
      <c r="D1589" s="16" t="str">
        <f ca="1">PROPER(Music_Data[[#This Row],[Playlist_genre2]])</f>
        <v>Rock</v>
      </c>
      <c r="E1589" s="17">
        <v>0.94</v>
      </c>
      <c r="F1589" t="s">
        <v>12760</v>
      </c>
      <c r="G1589">
        <v>72</v>
      </c>
      <c r="H1589" t="s">
        <v>12750</v>
      </c>
      <c r="I1589" t="s">
        <v>12774</v>
      </c>
      <c r="J1589" s="22">
        <v>37257</v>
      </c>
      <c r="K1589">
        <v>1</v>
      </c>
      <c r="L1589">
        <v>7</v>
      </c>
      <c r="M1589" s="21">
        <f ca="1">LEFT(Music_Data[[#This Row],[Duration_minutes]],3)/60</f>
        <v>3.4166666666666665</v>
      </c>
      <c r="N1589" s="17">
        <v>6.83E-2</v>
      </c>
      <c r="O1589" s="17" t="str">
        <f ca="1">PROPER(Music_Data[[#This Row],[Playlist_subgenre2]])</f>
        <v>Spanish</v>
      </c>
    </row>
    <row r="1590" spans="1:15">
      <c r="A1590" s="17">
        <v>0.90200000000000002</v>
      </c>
      <c r="B1590" s="21">
        <v>897</v>
      </c>
      <c r="C1590" s="16">
        <v>0.41199999999999998</v>
      </c>
      <c r="D1590" s="16" t="str">
        <f ca="1">PROPER(Music_Data[[#This Row],[Playlist_genre2]])</f>
        <v>Rock</v>
      </c>
      <c r="E1590" s="17">
        <v>0.42199999999999999</v>
      </c>
      <c r="F1590" t="s">
        <v>949</v>
      </c>
      <c r="G1590">
        <v>72</v>
      </c>
      <c r="H1590" t="s">
        <v>675</v>
      </c>
      <c r="I1590" t="s">
        <v>955</v>
      </c>
      <c r="J1590" s="22">
        <v>25498</v>
      </c>
      <c r="K1590">
        <v>1</v>
      </c>
      <c r="L1590">
        <v>9</v>
      </c>
      <c r="M1590" s="21">
        <f ca="1">LEFT(Music_Data[[#This Row],[Duration_minutes]],3)/60</f>
        <v>5.55</v>
      </c>
      <c r="N1590" s="17">
        <v>4.8399999999999999E-2</v>
      </c>
      <c r="O1590" s="17" t="str">
        <f ca="1">PROPER(Music_Data[[#This Row],[Playlist_subgenre2]])</f>
        <v>Classic</v>
      </c>
    </row>
    <row r="1591" spans="1:15">
      <c r="A1591" s="17">
        <v>0.442</v>
      </c>
      <c r="B1591" s="21">
        <v>812</v>
      </c>
      <c r="C1591" s="16">
        <v>0.51300000000000001</v>
      </c>
      <c r="D1591" s="16" t="str">
        <f ca="1">PROPER(Music_Data[[#This Row],[Playlist_genre2]])</f>
        <v>Rock</v>
      </c>
      <c r="E1591" s="17">
        <v>0.24299999999999999</v>
      </c>
      <c r="F1591" t="s">
        <v>1179</v>
      </c>
      <c r="G1591">
        <v>72</v>
      </c>
      <c r="H1591" t="s">
        <v>8930</v>
      </c>
      <c r="I1591" t="s">
        <v>9059</v>
      </c>
      <c r="J1591" s="22">
        <v>35709</v>
      </c>
      <c r="K1591">
        <v>1</v>
      </c>
      <c r="L1591">
        <v>4</v>
      </c>
      <c r="M1591" s="21">
        <f ca="1">LEFT(Music_Data[[#This Row],[Duration_minutes]],3)/60</f>
        <v>3.8166666666666669</v>
      </c>
      <c r="N1591" s="17">
        <v>7.3099999999999997E-3</v>
      </c>
      <c r="O1591" s="17" t="str">
        <f ca="1">PROPER(Music_Data[[#This Row],[Playlist_subgenre2]])</f>
        <v>Alternative</v>
      </c>
    </row>
    <row r="1592" spans="1:15">
      <c r="A1592" s="17">
        <v>0.93600000000000005</v>
      </c>
      <c r="B1592" s="21">
        <v>915</v>
      </c>
      <c r="C1592" s="16">
        <v>0.66600000000000004</v>
      </c>
      <c r="D1592" s="16" t="str">
        <f ca="1">PROPER(Music_Data[[#This Row],[Playlist_genre2]])</f>
        <v>Rock</v>
      </c>
      <c r="E1592" s="17">
        <v>0.77600000000000002</v>
      </c>
      <c r="F1592" t="s">
        <v>745</v>
      </c>
      <c r="G1592">
        <v>72</v>
      </c>
      <c r="H1592" t="s">
        <v>675</v>
      </c>
      <c r="I1592" t="s">
        <v>1605</v>
      </c>
      <c r="J1592" s="22">
        <v>33505</v>
      </c>
      <c r="K1592">
        <v>1</v>
      </c>
      <c r="L1592">
        <v>7</v>
      </c>
      <c r="M1592" s="21">
        <f ca="1">LEFT(Music_Data[[#This Row],[Duration_minutes]],3)/60</f>
        <v>4.7</v>
      </c>
      <c r="N1592" s="17">
        <v>2.4399999999999999E-3</v>
      </c>
      <c r="O1592" s="17" t="str">
        <f ca="1">PROPER(Music_Data[[#This Row],[Playlist_subgenre2]])</f>
        <v>Classic</v>
      </c>
    </row>
    <row r="1593" spans="1:15">
      <c r="A1593" s="17">
        <v>0.92700000000000005</v>
      </c>
      <c r="B1593" s="21">
        <v>170</v>
      </c>
      <c r="C1593" s="16">
        <v>0.215</v>
      </c>
      <c r="D1593" s="16" t="str">
        <f ca="1">PROPER(Music_Data[[#This Row],[Playlist_genre2]])</f>
        <v>Rock</v>
      </c>
      <c r="E1593" s="17">
        <v>0.49</v>
      </c>
      <c r="F1593" t="s">
        <v>1701</v>
      </c>
      <c r="G1593">
        <v>72</v>
      </c>
      <c r="H1593" t="s">
        <v>675</v>
      </c>
      <c r="I1593" t="s">
        <v>1708</v>
      </c>
      <c r="J1593" s="22">
        <v>34492</v>
      </c>
      <c r="K1593">
        <v>1</v>
      </c>
      <c r="L1593">
        <v>9</v>
      </c>
      <c r="M1593" s="21">
        <f ca="1">LEFT(Music_Data[[#This Row],[Duration_minutes]],3)/60</f>
        <v>3.2333333333333334</v>
      </c>
      <c r="N1593" s="17">
        <v>2.7300000000000002E-4</v>
      </c>
      <c r="O1593" s="17" t="str">
        <f ca="1">PROPER(Music_Data[[#This Row],[Playlist_subgenre2]])</f>
        <v>Classic</v>
      </c>
    </row>
    <row r="1594" spans="1:15">
      <c r="A1594" s="17">
        <v>0.751</v>
      </c>
      <c r="B1594" s="21">
        <v>898</v>
      </c>
      <c r="C1594" s="16">
        <v>0.42099999999999999</v>
      </c>
      <c r="D1594" s="16" t="str">
        <f ca="1">PROPER(Music_Data[[#This Row],[Playlist_genre2]])</f>
        <v>Rock</v>
      </c>
      <c r="E1594" s="17">
        <v>0.78900000000000003</v>
      </c>
      <c r="F1594" t="s">
        <v>960</v>
      </c>
      <c r="G1594">
        <v>72</v>
      </c>
      <c r="H1594" t="s">
        <v>675</v>
      </c>
      <c r="I1594" t="s">
        <v>1637</v>
      </c>
      <c r="J1594" s="22">
        <v>24476</v>
      </c>
      <c r="K1594">
        <v>1</v>
      </c>
      <c r="L1594">
        <v>9</v>
      </c>
      <c r="M1594" s="21">
        <f ca="1">LEFT(Music_Data[[#This Row],[Duration_minutes]],3)/60</f>
        <v>2.4166666666666665</v>
      </c>
      <c r="N1594" s="17">
        <v>0.2</v>
      </c>
      <c r="O1594" s="17" t="str">
        <f ca="1">PROPER(Music_Data[[#This Row],[Playlist_subgenre2]])</f>
        <v>Classic</v>
      </c>
    </row>
    <row r="1595" spans="1:15">
      <c r="A1595" s="17">
        <v>0.97799999999999998</v>
      </c>
      <c r="B1595" s="21">
        <v>141</v>
      </c>
      <c r="C1595" s="16">
        <v>0.52600000000000002</v>
      </c>
      <c r="D1595" s="16" t="str">
        <f ca="1">PROPER(Music_Data[[#This Row],[Playlist_genre2]])</f>
        <v>Rock</v>
      </c>
      <c r="E1595" s="17">
        <v>0.45100000000000001</v>
      </c>
      <c r="F1595" t="s">
        <v>1240</v>
      </c>
      <c r="G1595">
        <v>72</v>
      </c>
      <c r="H1595" t="s">
        <v>675</v>
      </c>
      <c r="I1595" t="s">
        <v>1768</v>
      </c>
      <c r="J1595" s="22">
        <v>30685</v>
      </c>
      <c r="K1595">
        <v>1</v>
      </c>
      <c r="L1595">
        <v>8</v>
      </c>
      <c r="M1595" s="21">
        <f ca="1">LEFT(Music_Data[[#This Row],[Duration_minutes]],3)/60</f>
        <v>3.5</v>
      </c>
      <c r="N1595" s="17">
        <v>1.2199999999999999E-3</v>
      </c>
      <c r="O1595" s="17" t="str">
        <f ca="1">PROPER(Music_Data[[#This Row],[Playlist_subgenre2]])</f>
        <v>Classic</v>
      </c>
    </row>
    <row r="1596" spans="1:15">
      <c r="A1596" s="17">
        <v>0.97799999999999998</v>
      </c>
      <c r="B1596" s="21">
        <v>141</v>
      </c>
      <c r="C1596" s="16">
        <v>0.52600000000000002</v>
      </c>
      <c r="D1596" s="16" t="str">
        <f ca="1">PROPER(Music_Data[[#This Row],[Playlist_genre2]])</f>
        <v>Rock</v>
      </c>
      <c r="E1596" s="17">
        <v>0.45100000000000001</v>
      </c>
      <c r="F1596" t="s">
        <v>1240</v>
      </c>
      <c r="G1596">
        <v>72</v>
      </c>
      <c r="H1596" t="s">
        <v>5990</v>
      </c>
      <c r="I1596" t="s">
        <v>1768</v>
      </c>
      <c r="J1596" s="22">
        <v>30685</v>
      </c>
      <c r="K1596">
        <v>1</v>
      </c>
      <c r="L1596">
        <v>8</v>
      </c>
      <c r="M1596" s="21">
        <f ca="1">LEFT(Music_Data[[#This Row],[Duration_minutes]],3)/60</f>
        <v>3.5</v>
      </c>
      <c r="N1596" s="17">
        <v>1.2199999999999999E-3</v>
      </c>
      <c r="O1596" s="17" t="str">
        <f ca="1">PROPER(Music_Data[[#This Row],[Playlist_subgenre2]])</f>
        <v>80S</v>
      </c>
    </row>
    <row r="1597" spans="1:15">
      <c r="A1597" s="17">
        <v>0.68400000000000005</v>
      </c>
      <c r="B1597" s="21">
        <v>209</v>
      </c>
      <c r="C1597" s="16">
        <v>0.63300000000000001</v>
      </c>
      <c r="D1597" s="16" t="str">
        <f ca="1">PROPER(Music_Data[[#This Row],[Playlist_genre2]])</f>
        <v>Rock</v>
      </c>
      <c r="E1597" s="17">
        <v>0.72499999999999998</v>
      </c>
      <c r="F1597" t="s">
        <v>3669</v>
      </c>
      <c r="G1597">
        <v>71</v>
      </c>
      <c r="H1597" t="s">
        <v>3520</v>
      </c>
      <c r="I1597" t="s">
        <v>3673</v>
      </c>
      <c r="J1597" s="22">
        <v>43692</v>
      </c>
      <c r="K1597">
        <v>0</v>
      </c>
      <c r="L1597">
        <v>10</v>
      </c>
      <c r="M1597" s="21">
        <f ca="1">LEFT(Music_Data[[#This Row],[Duration_minutes]],3)/60</f>
        <v>3.55</v>
      </c>
      <c r="N1597" s="17">
        <v>0.314</v>
      </c>
      <c r="O1597" s="17" t="str">
        <f ca="1">PROPER(Music_Data[[#This Row],[Playlist_subgenre2]])</f>
        <v>Feel-Good</v>
      </c>
    </row>
    <row r="1598" spans="1:15">
      <c r="A1598" s="17">
        <v>0.93799999999999994</v>
      </c>
      <c r="B1598" s="21">
        <v>168</v>
      </c>
      <c r="C1598" s="16">
        <v>0.32400000000000001</v>
      </c>
      <c r="D1598" s="16" t="str">
        <f ca="1">PROPER(Music_Data[[#This Row],[Playlist_genre2]])</f>
        <v>Rock</v>
      </c>
      <c r="E1598" s="17">
        <v>0.54300000000000004</v>
      </c>
      <c r="F1598" t="s">
        <v>1642</v>
      </c>
      <c r="G1598">
        <v>71</v>
      </c>
      <c r="H1598" t="s">
        <v>675</v>
      </c>
      <c r="I1598" t="s">
        <v>1649</v>
      </c>
      <c r="J1598" s="22">
        <v>34477</v>
      </c>
      <c r="K1598">
        <v>0</v>
      </c>
      <c r="L1598">
        <v>6</v>
      </c>
      <c r="M1598" s="21">
        <f ca="1">LEFT(Music_Data[[#This Row],[Duration_minutes]],3)/60</f>
        <v>2.9666666666666668</v>
      </c>
      <c r="N1598" s="17">
        <v>3.2000000000000001E-2</v>
      </c>
      <c r="O1598" s="17" t="str">
        <f ca="1">PROPER(Music_Data[[#This Row],[Playlist_subgenre2]])</f>
        <v>Classic</v>
      </c>
    </row>
    <row r="1599" spans="1:15">
      <c r="A1599" s="17">
        <v>0.81100000000000005</v>
      </c>
      <c r="B1599" s="21">
        <v>126</v>
      </c>
      <c r="C1599" s="16">
        <v>0.56100000000000005</v>
      </c>
      <c r="D1599" s="16" t="str">
        <f ca="1">PROPER(Music_Data[[#This Row],[Playlist_genre2]])</f>
        <v>Rock</v>
      </c>
      <c r="E1599" s="17">
        <v>0.63500000000000001</v>
      </c>
      <c r="F1599" t="s">
        <v>6031</v>
      </c>
      <c r="G1599">
        <v>71</v>
      </c>
      <c r="H1599" t="s">
        <v>5990</v>
      </c>
      <c r="I1599" t="s">
        <v>6112</v>
      </c>
      <c r="J1599" s="22">
        <v>30991</v>
      </c>
      <c r="K1599">
        <v>1</v>
      </c>
      <c r="L1599">
        <v>4</v>
      </c>
      <c r="M1599" s="21">
        <f ca="1">LEFT(Music_Data[[#This Row],[Duration_minutes]],3)/60</f>
        <v>3.8833333333333333</v>
      </c>
      <c r="N1599" s="17">
        <v>5.1500000000000001E-3</v>
      </c>
      <c r="O1599" s="17" t="str">
        <f ca="1">PROPER(Music_Data[[#This Row],[Playlist_subgenre2]])</f>
        <v>80S</v>
      </c>
    </row>
    <row r="1600" spans="1:15">
      <c r="A1600" s="17">
        <v>0.35099999999999998</v>
      </c>
      <c r="B1600" s="21">
        <v>870</v>
      </c>
      <c r="C1600" s="16">
        <v>0.66500000000000004</v>
      </c>
      <c r="D1600" s="16" t="str">
        <f ca="1">PROPER(Music_Data[[#This Row],[Playlist_genre2]])</f>
        <v>Rock</v>
      </c>
      <c r="E1600" s="17">
        <v>0.45100000000000001</v>
      </c>
      <c r="F1600" t="s">
        <v>3678</v>
      </c>
      <c r="G1600">
        <v>71</v>
      </c>
      <c r="H1600" t="s">
        <v>3520</v>
      </c>
      <c r="I1600" t="s">
        <v>3684</v>
      </c>
      <c r="J1600" s="22">
        <v>43630</v>
      </c>
      <c r="K1600">
        <v>1</v>
      </c>
      <c r="L1600">
        <v>2</v>
      </c>
      <c r="M1600" s="21">
        <f ca="1">LEFT(Music_Data[[#This Row],[Duration_minutes]],3)/60</f>
        <v>2.1</v>
      </c>
      <c r="N1600" s="17">
        <v>0.51600000000000001</v>
      </c>
      <c r="O1600" s="17" t="str">
        <f ca="1">PROPER(Music_Data[[#This Row],[Playlist_subgenre2]])</f>
        <v>Feel-Good</v>
      </c>
    </row>
    <row r="1601" spans="1:15">
      <c r="A1601" s="17">
        <v>0.81200000000000006</v>
      </c>
      <c r="B1601" s="21">
        <v>127</v>
      </c>
      <c r="C1601" s="16">
        <v>0.69099999999999995</v>
      </c>
      <c r="D1601" s="16" t="str">
        <f ca="1">PROPER(Music_Data[[#This Row],[Playlist_genre2]])</f>
        <v>Rock</v>
      </c>
      <c r="E1601" s="17">
        <v>0.68500000000000005</v>
      </c>
      <c r="F1601" t="s">
        <v>6121</v>
      </c>
      <c r="G1601">
        <v>71</v>
      </c>
      <c r="H1601" t="s">
        <v>5990</v>
      </c>
      <c r="I1601" t="s">
        <v>6127</v>
      </c>
      <c r="J1601" s="22">
        <v>30081</v>
      </c>
      <c r="K1601">
        <v>1</v>
      </c>
      <c r="L1601">
        <v>0</v>
      </c>
      <c r="M1601" s="21">
        <f ca="1">LEFT(Music_Data[[#This Row],[Duration_minutes]],3)/60</f>
        <v>3.6666666666666665</v>
      </c>
      <c r="N1601" s="17">
        <v>4.3299999999999998E-2</v>
      </c>
      <c r="O1601" s="17" t="str">
        <f ca="1">PROPER(Music_Data[[#This Row],[Playlist_subgenre2]])</f>
        <v>80S</v>
      </c>
    </row>
    <row r="1602" spans="1:15">
      <c r="A1602" s="17">
        <v>0.90800000000000003</v>
      </c>
      <c r="B1602" s="21">
        <v>159</v>
      </c>
      <c r="C1602" s="16">
        <v>0.28499999999999998</v>
      </c>
      <c r="D1602" s="16" t="str">
        <f ca="1">PROPER(Music_Data[[#This Row],[Playlist_genre2]])</f>
        <v>Rock</v>
      </c>
      <c r="E1602" s="17">
        <v>0.66900000000000004</v>
      </c>
      <c r="F1602" t="s">
        <v>5643</v>
      </c>
      <c r="G1602">
        <v>71</v>
      </c>
      <c r="H1602" t="s">
        <v>5990</v>
      </c>
      <c r="I1602" t="s">
        <v>5650</v>
      </c>
      <c r="J1602" s="22">
        <v>1983</v>
      </c>
      <c r="K1602">
        <v>0</v>
      </c>
      <c r="L1602">
        <v>4</v>
      </c>
      <c r="M1602" s="21">
        <f ca="1">LEFT(Music_Data[[#This Row],[Duration_minutes]],3)/60</f>
        <v>4.2</v>
      </c>
      <c r="N1602" s="17">
        <v>3.1800000000000002E-2</v>
      </c>
      <c r="O1602" s="17" t="str">
        <f ca="1">PROPER(Music_Data[[#This Row],[Playlist_subgenre2]])</f>
        <v>80S</v>
      </c>
    </row>
    <row r="1603" spans="1:15">
      <c r="A1603" s="17">
        <v>0.67</v>
      </c>
      <c r="B1603" s="21">
        <v>129</v>
      </c>
      <c r="C1603" s="16">
        <v>0.61899999999999999</v>
      </c>
      <c r="D1603" s="16" t="str">
        <f ca="1">PROPER(Music_Data[[#This Row],[Playlist_genre2]])</f>
        <v>Rock</v>
      </c>
      <c r="E1603" s="17">
        <v>0.77700000000000002</v>
      </c>
      <c r="F1603" t="s">
        <v>1063</v>
      </c>
      <c r="G1603">
        <v>71</v>
      </c>
      <c r="H1603" t="s">
        <v>675</v>
      </c>
      <c r="I1603" t="s">
        <v>1067</v>
      </c>
      <c r="J1603" s="22">
        <v>34037</v>
      </c>
      <c r="K1603">
        <v>0</v>
      </c>
      <c r="L1603">
        <v>11</v>
      </c>
      <c r="M1603" s="21">
        <f ca="1">LEFT(Music_Data[[#This Row],[Duration_minutes]],3)/60</f>
        <v>3.5166666666666666</v>
      </c>
      <c r="N1603" s="17">
        <v>1.65E-3</v>
      </c>
      <c r="O1603" s="17" t="str">
        <f ca="1">PROPER(Music_Data[[#This Row],[Playlist_subgenre2]])</f>
        <v>Classic</v>
      </c>
    </row>
    <row r="1604" spans="1:15">
      <c r="A1604" s="17">
        <v>0.63700000000000001</v>
      </c>
      <c r="B1604" s="21">
        <v>804</v>
      </c>
      <c r="C1604" s="16">
        <v>0.51400000000000001</v>
      </c>
      <c r="D1604" s="16" t="str">
        <f ca="1">PROPER(Music_Data[[#This Row],[Playlist_genre2]])</f>
        <v>Rock</v>
      </c>
      <c r="E1604" s="17">
        <v>0.18</v>
      </c>
      <c r="F1604" t="s">
        <v>644</v>
      </c>
      <c r="G1604">
        <v>71</v>
      </c>
      <c r="H1604" t="s">
        <v>8930</v>
      </c>
      <c r="I1604" t="s">
        <v>9036</v>
      </c>
      <c r="J1604" s="22">
        <v>39216</v>
      </c>
      <c r="K1604">
        <v>1</v>
      </c>
      <c r="L1604">
        <v>0</v>
      </c>
      <c r="M1604" s="21">
        <f ca="1">LEFT(Music_Data[[#This Row],[Duration_minutes]],3)/60</f>
        <v>3.4833333333333334</v>
      </c>
      <c r="N1604" s="17">
        <v>0.21299999999999999</v>
      </c>
      <c r="O1604" s="17" t="str">
        <f ca="1">PROPER(Music_Data[[#This Row],[Playlist_subgenre2]])</f>
        <v>Alternative</v>
      </c>
    </row>
    <row r="1605" spans="1:15">
      <c r="A1605" s="17">
        <v>0.87</v>
      </c>
      <c r="B1605" s="21">
        <v>164</v>
      </c>
      <c r="C1605" s="16">
        <v>0.28000000000000003</v>
      </c>
      <c r="D1605" s="16" t="str">
        <f ca="1">PROPER(Music_Data[[#This Row],[Playlist_genre2]])</f>
        <v>Rock</v>
      </c>
      <c r="E1605" s="17">
        <v>0.28399999999999997</v>
      </c>
      <c r="F1605" t="s">
        <v>8973</v>
      </c>
      <c r="G1605">
        <v>71</v>
      </c>
      <c r="H1605" t="s">
        <v>8930</v>
      </c>
      <c r="I1605" t="s">
        <v>8976</v>
      </c>
      <c r="J1605" s="22">
        <v>39756</v>
      </c>
      <c r="K1605">
        <v>0</v>
      </c>
      <c r="L1605">
        <v>10</v>
      </c>
      <c r="M1605" s="21">
        <f ca="1">LEFT(Music_Data[[#This Row],[Duration_minutes]],3)/60</f>
        <v>4.3499999999999996</v>
      </c>
      <c r="N1605" s="17">
        <v>6.8599999999999998E-4</v>
      </c>
      <c r="O1605" s="17" t="str">
        <f ca="1">PROPER(Music_Data[[#This Row],[Playlist_subgenre2]])</f>
        <v>Alternative</v>
      </c>
    </row>
    <row r="1606" spans="1:15">
      <c r="A1606" s="17">
        <v>0.36599999999999999</v>
      </c>
      <c r="B1606" s="21">
        <v>127</v>
      </c>
      <c r="C1606" s="16">
        <v>0.47199999999999998</v>
      </c>
      <c r="D1606" s="16" t="str">
        <f ca="1">PROPER(Music_Data[[#This Row],[Playlist_genre2]])</f>
        <v>Rock</v>
      </c>
      <c r="E1606" s="17">
        <v>0.17100000000000001</v>
      </c>
      <c r="F1606" t="s">
        <v>840</v>
      </c>
      <c r="G1606">
        <v>71</v>
      </c>
      <c r="H1606" t="s">
        <v>675</v>
      </c>
      <c r="I1606" t="s">
        <v>1441</v>
      </c>
      <c r="J1606" s="22">
        <v>29189</v>
      </c>
      <c r="K1606">
        <v>0</v>
      </c>
      <c r="L1606">
        <v>11</v>
      </c>
      <c r="M1606" s="21">
        <f ca="1">LEFT(Music_Data[[#This Row],[Duration_minutes]],3)/60</f>
        <v>6.3666666666666663</v>
      </c>
      <c r="N1606" s="17">
        <v>0.15</v>
      </c>
      <c r="O1606" s="17" t="str">
        <f ca="1">PROPER(Music_Data[[#This Row],[Playlist_subgenre2]])</f>
        <v>Classic</v>
      </c>
    </row>
    <row r="1607" spans="1:15">
      <c r="A1607" s="17">
        <v>0.52800000000000002</v>
      </c>
      <c r="B1607" s="21">
        <v>109</v>
      </c>
      <c r="C1607" s="16">
        <v>0.93200000000000005</v>
      </c>
      <c r="D1607" s="16" t="str">
        <f ca="1">PROPER(Music_Data[[#This Row],[Playlist_genre2]])</f>
        <v>Rock</v>
      </c>
      <c r="E1607" s="17">
        <v>0.75700000000000001</v>
      </c>
      <c r="F1607" t="s">
        <v>1201</v>
      </c>
      <c r="G1607">
        <v>71</v>
      </c>
      <c r="H1607" t="s">
        <v>675</v>
      </c>
      <c r="I1607" t="s">
        <v>1208</v>
      </c>
      <c r="J1607" s="22">
        <v>29399</v>
      </c>
      <c r="K1607">
        <v>0</v>
      </c>
      <c r="L1607">
        <v>5</v>
      </c>
      <c r="M1607" s="21">
        <f ca="1">LEFT(Music_Data[[#This Row],[Duration_minutes]],3)/60</f>
        <v>3.5666666666666669</v>
      </c>
      <c r="N1607" s="17">
        <v>0.115</v>
      </c>
      <c r="O1607" s="17" t="str">
        <f ca="1">PROPER(Music_Data[[#This Row],[Playlist_subgenre2]])</f>
        <v>Classic</v>
      </c>
    </row>
    <row r="1608" spans="1:15">
      <c r="A1608" s="17">
        <v>0.52800000000000002</v>
      </c>
      <c r="B1608" s="21">
        <v>109</v>
      </c>
      <c r="C1608" s="16">
        <v>0.93200000000000005</v>
      </c>
      <c r="D1608" s="16" t="str">
        <f ca="1">PROPER(Music_Data[[#This Row],[Playlist_genre2]])</f>
        <v>Rock</v>
      </c>
      <c r="E1608" s="17">
        <v>0.75700000000000001</v>
      </c>
      <c r="F1608" t="s">
        <v>1201</v>
      </c>
      <c r="G1608">
        <v>71</v>
      </c>
      <c r="H1608" t="s">
        <v>5990</v>
      </c>
      <c r="I1608" t="s">
        <v>1208</v>
      </c>
      <c r="J1608" s="22">
        <v>29399</v>
      </c>
      <c r="K1608">
        <v>0</v>
      </c>
      <c r="L1608">
        <v>5</v>
      </c>
      <c r="M1608" s="21">
        <f ca="1">LEFT(Music_Data[[#This Row],[Duration_minutes]],3)/60</f>
        <v>3.5666666666666669</v>
      </c>
      <c r="N1608" s="17">
        <v>0.115</v>
      </c>
      <c r="O1608" s="17" t="str">
        <f ca="1">PROPER(Music_Data[[#This Row],[Playlist_subgenre2]])</f>
        <v>80S</v>
      </c>
    </row>
    <row r="1609" spans="1:15">
      <c r="A1609" s="17">
        <v>0.94199999999999995</v>
      </c>
      <c r="B1609" s="21">
        <v>979</v>
      </c>
      <c r="C1609" s="16">
        <v>0.51100000000000001</v>
      </c>
      <c r="D1609" s="16" t="str">
        <f ca="1">PROPER(Music_Data[[#This Row],[Playlist_genre2]])</f>
        <v>Rock</v>
      </c>
      <c r="E1609" s="17">
        <v>0.498</v>
      </c>
      <c r="F1609" t="s">
        <v>5993</v>
      </c>
      <c r="G1609">
        <v>71</v>
      </c>
      <c r="H1609" t="s">
        <v>5990</v>
      </c>
      <c r="I1609" t="s">
        <v>6144</v>
      </c>
      <c r="J1609" s="22">
        <v>31103</v>
      </c>
      <c r="K1609">
        <v>1</v>
      </c>
      <c r="L1609">
        <v>0</v>
      </c>
      <c r="M1609" s="21">
        <f ca="1">LEFT(Music_Data[[#This Row],[Duration_minutes]],3)/60</f>
        <v>6.55</v>
      </c>
      <c r="N1609" s="17">
        <v>0.17399999999999999</v>
      </c>
      <c r="O1609" s="17" t="str">
        <f ca="1">PROPER(Music_Data[[#This Row],[Playlist_subgenre2]])</f>
        <v>80S</v>
      </c>
    </row>
    <row r="1610" spans="1:15">
      <c r="A1610" s="17">
        <v>0.872</v>
      </c>
      <c r="B1610" s="21">
        <v>129</v>
      </c>
      <c r="C1610" s="16">
        <v>0.79700000000000004</v>
      </c>
      <c r="D1610" s="16" t="str">
        <f ca="1">PROPER(Music_Data[[#This Row],[Playlist_genre2]])</f>
        <v>Rock</v>
      </c>
      <c r="E1610" s="17">
        <v>0.86599999999999999</v>
      </c>
      <c r="F1610" t="s">
        <v>1191</v>
      </c>
      <c r="G1610">
        <v>71</v>
      </c>
      <c r="H1610" t="s">
        <v>5990</v>
      </c>
      <c r="I1610" t="s">
        <v>6119</v>
      </c>
      <c r="J1610" s="22">
        <v>1982</v>
      </c>
      <c r="K1610">
        <v>0</v>
      </c>
      <c r="L1610">
        <v>9</v>
      </c>
      <c r="M1610" s="21">
        <f ca="1">LEFT(Music_Data[[#This Row],[Duration_minutes]],3)/60</f>
        <v>3.7</v>
      </c>
      <c r="N1610" s="17">
        <v>0.29099999999999998</v>
      </c>
      <c r="O1610" s="17" t="str">
        <f ca="1">PROPER(Music_Data[[#This Row],[Playlist_subgenre2]])</f>
        <v>80S</v>
      </c>
    </row>
    <row r="1611" spans="1:15">
      <c r="A1611" s="17">
        <v>0.79600000000000004</v>
      </c>
      <c r="B1611" s="21">
        <v>105</v>
      </c>
      <c r="C1611" s="16">
        <v>0.6</v>
      </c>
      <c r="D1611" s="16" t="str">
        <f ca="1">PROPER(Music_Data[[#This Row],[Playlist_genre2]])</f>
        <v>Rock</v>
      </c>
      <c r="E1611" s="17">
        <v>0.75</v>
      </c>
      <c r="F1611" t="s">
        <v>9173</v>
      </c>
      <c r="G1611">
        <v>71</v>
      </c>
      <c r="H1611" t="s">
        <v>8930</v>
      </c>
      <c r="I1611" t="s">
        <v>9179</v>
      </c>
      <c r="J1611" s="22">
        <v>37704</v>
      </c>
      <c r="K1611">
        <v>1</v>
      </c>
      <c r="L1611">
        <v>2</v>
      </c>
      <c r="M1611" s="21">
        <f ca="1">LEFT(Music_Data[[#This Row],[Duration_minutes]],3)/60</f>
        <v>4.2833333333333332</v>
      </c>
      <c r="N1611" s="17">
        <v>1.0900000000000001E-4</v>
      </c>
      <c r="O1611" s="17" t="str">
        <f ca="1">PROPER(Music_Data[[#This Row],[Playlist_subgenre2]])</f>
        <v>Alternative</v>
      </c>
    </row>
    <row r="1612" spans="1:15">
      <c r="A1612" s="17">
        <v>0.93</v>
      </c>
      <c r="B1612" s="21">
        <v>190</v>
      </c>
      <c r="C1612" s="16">
        <v>0.39800000000000002</v>
      </c>
      <c r="D1612" s="16" t="str">
        <f ca="1">PROPER(Music_Data[[#This Row],[Playlist_genre2]])</f>
        <v>Rock</v>
      </c>
      <c r="E1612" s="17">
        <v>0.72499999999999998</v>
      </c>
      <c r="F1612" t="s">
        <v>3588</v>
      </c>
      <c r="G1612">
        <v>71</v>
      </c>
      <c r="H1612" t="s">
        <v>5990</v>
      </c>
      <c r="I1612" t="s">
        <v>6135</v>
      </c>
      <c r="J1612" s="22">
        <v>1984</v>
      </c>
      <c r="K1612">
        <v>1</v>
      </c>
      <c r="L1612">
        <v>11</v>
      </c>
      <c r="M1612" s="21">
        <f ca="1">LEFT(Music_Data[[#This Row],[Duration_minutes]],3)/60</f>
        <v>6.8</v>
      </c>
      <c r="N1612" s="17">
        <v>8.5400000000000005E-4</v>
      </c>
      <c r="O1612" s="17" t="str">
        <f ca="1">PROPER(Music_Data[[#This Row],[Playlist_subgenre2]])</f>
        <v>80S</v>
      </c>
    </row>
    <row r="1613" spans="1:15">
      <c r="A1613" s="17">
        <v>0.81399999999999995</v>
      </c>
      <c r="B1613" s="21">
        <v>147</v>
      </c>
      <c r="C1613" s="16">
        <v>0.67300000000000004</v>
      </c>
      <c r="D1613" s="16" t="str">
        <f ca="1">PROPER(Music_Data[[#This Row],[Playlist_genre2]])</f>
        <v>Rock</v>
      </c>
      <c r="E1613" s="17">
        <v>0.72799999999999998</v>
      </c>
      <c r="F1613" t="s">
        <v>894</v>
      </c>
      <c r="G1613">
        <v>70</v>
      </c>
      <c r="H1613" t="s">
        <v>675</v>
      </c>
      <c r="I1613" t="s">
        <v>899</v>
      </c>
      <c r="J1613" s="22">
        <v>29952</v>
      </c>
      <c r="K1613">
        <v>1</v>
      </c>
      <c r="L1613">
        <v>9</v>
      </c>
      <c r="M1613" s="21">
        <f ca="1">LEFT(Music_Data[[#This Row],[Duration_minutes]],3)/60</f>
        <v>4.2</v>
      </c>
      <c r="N1613" s="17">
        <v>1.34E-2</v>
      </c>
      <c r="O1613" s="17" t="str">
        <f ca="1">PROPER(Music_Data[[#This Row],[Playlist_subgenre2]])</f>
        <v>Classic</v>
      </c>
    </row>
    <row r="1614" spans="1:15">
      <c r="A1614" s="17">
        <v>0.94399999999999995</v>
      </c>
      <c r="B1614" s="21">
        <v>146</v>
      </c>
      <c r="C1614" s="16">
        <v>0.27</v>
      </c>
      <c r="D1614" s="16" t="str">
        <f ca="1">PROPER(Music_Data[[#This Row],[Playlist_genre2]])</f>
        <v>Rock</v>
      </c>
      <c r="E1614" s="17">
        <v>0.60599999999999998</v>
      </c>
      <c r="F1614" t="s">
        <v>986</v>
      </c>
      <c r="G1614">
        <v>70</v>
      </c>
      <c r="H1614" t="s">
        <v>675</v>
      </c>
      <c r="I1614" t="s">
        <v>1793</v>
      </c>
      <c r="J1614" s="22">
        <v>27631</v>
      </c>
      <c r="K1614">
        <v>1</v>
      </c>
      <c r="L1614">
        <v>4</v>
      </c>
      <c r="M1614" s="21">
        <f ca="1">LEFT(Music_Data[[#This Row],[Duration_minutes]],3)/60</f>
        <v>4.4833333333333334</v>
      </c>
      <c r="N1614" s="17">
        <v>5.0099999999999997E-3</v>
      </c>
      <c r="O1614" s="17" t="str">
        <f ca="1">PROPER(Music_Data[[#This Row],[Playlist_subgenre2]])</f>
        <v>Classic</v>
      </c>
    </row>
    <row r="1615" spans="1:15">
      <c r="A1615" s="17">
        <v>0.96</v>
      </c>
      <c r="B1615" s="21">
        <v>117</v>
      </c>
      <c r="C1615" s="16">
        <v>0.57399999999999995</v>
      </c>
      <c r="D1615" s="16" t="str">
        <f ca="1">PROPER(Music_Data[[#This Row],[Playlist_genre2]])</f>
        <v>Rock</v>
      </c>
      <c r="E1615" s="17">
        <v>0.97799999999999998</v>
      </c>
      <c r="F1615" t="s">
        <v>986</v>
      </c>
      <c r="G1615">
        <v>70</v>
      </c>
      <c r="H1615" t="s">
        <v>5990</v>
      </c>
      <c r="I1615" t="s">
        <v>6160</v>
      </c>
      <c r="J1615" s="22">
        <v>30837</v>
      </c>
      <c r="K1615">
        <v>1</v>
      </c>
      <c r="L1615">
        <v>9</v>
      </c>
      <c r="M1615" s="21">
        <f ca="1">LEFT(Music_Data[[#This Row],[Duration_minutes]],3)/60</f>
        <v>4.2333333333333334</v>
      </c>
      <c r="N1615" s="17">
        <v>4.5699999999999998E-2</v>
      </c>
      <c r="O1615" s="17" t="str">
        <f ca="1">PROPER(Music_Data[[#This Row],[Playlist_subgenre2]])</f>
        <v>80S</v>
      </c>
    </row>
    <row r="1616" spans="1:15">
      <c r="A1616" s="17">
        <v>0.96</v>
      </c>
      <c r="B1616" s="21">
        <v>131</v>
      </c>
      <c r="C1616" s="16">
        <v>0.46899999999999997</v>
      </c>
      <c r="D1616" s="16" t="str">
        <f ca="1">PROPER(Music_Data[[#This Row],[Playlist_genre2]])</f>
        <v>Rock</v>
      </c>
      <c r="E1616" s="17">
        <v>0.37</v>
      </c>
      <c r="F1616" t="s">
        <v>6003</v>
      </c>
      <c r="G1616">
        <v>70</v>
      </c>
      <c r="H1616" t="s">
        <v>5990</v>
      </c>
      <c r="I1616" t="s">
        <v>6153</v>
      </c>
      <c r="J1616" s="22">
        <v>30348</v>
      </c>
      <c r="K1616">
        <v>0</v>
      </c>
      <c r="L1616">
        <v>4</v>
      </c>
      <c r="M1616" s="21">
        <f ca="1">LEFT(Music_Data[[#This Row],[Duration_minutes]],3)/60</f>
        <v>5.3833333333333337</v>
      </c>
      <c r="N1616" s="17">
        <v>0.14099999999999999</v>
      </c>
      <c r="O1616" s="17" t="str">
        <f ca="1">PROPER(Music_Data[[#This Row],[Playlist_subgenre2]])</f>
        <v>80S</v>
      </c>
    </row>
    <row r="1617" spans="1:15">
      <c r="A1617" s="17">
        <v>0.64300000000000002</v>
      </c>
      <c r="B1617" s="21">
        <v>769</v>
      </c>
      <c r="C1617" s="16">
        <v>0.60099999999999998</v>
      </c>
      <c r="D1617" s="16" t="str">
        <f ca="1">PROPER(Music_Data[[#This Row],[Playlist_genre2]])</f>
        <v>Rock</v>
      </c>
      <c r="E1617" s="17">
        <v>0.38700000000000001</v>
      </c>
      <c r="F1617" t="s">
        <v>12760</v>
      </c>
      <c r="G1617">
        <v>70</v>
      </c>
      <c r="H1617" t="s">
        <v>12750</v>
      </c>
      <c r="I1617" t="s">
        <v>12842</v>
      </c>
      <c r="J1617" s="22">
        <v>37987</v>
      </c>
      <c r="K1617">
        <v>1</v>
      </c>
      <c r="L1617">
        <v>0</v>
      </c>
      <c r="M1617" s="21">
        <f ca="1">LEFT(Music_Data[[#This Row],[Duration_minutes]],3)/60</f>
        <v>3.2666666666666666</v>
      </c>
      <c r="N1617" s="17">
        <v>0.155</v>
      </c>
      <c r="O1617" s="17" t="str">
        <f ca="1">PROPER(Music_Data[[#This Row],[Playlist_subgenre2]])</f>
        <v>Spanish</v>
      </c>
    </row>
    <row r="1618" spans="1:15">
      <c r="A1618" s="17">
        <v>0.80800000000000005</v>
      </c>
      <c r="B1618" s="21">
        <v>117</v>
      </c>
      <c r="C1618" s="16">
        <v>0.49299999999999999</v>
      </c>
      <c r="D1618" s="16" t="str">
        <f ca="1">PROPER(Music_Data[[#This Row],[Playlist_genre2]])</f>
        <v>Rock</v>
      </c>
      <c r="E1618" s="17">
        <v>0.38</v>
      </c>
      <c r="F1618" t="s">
        <v>644</v>
      </c>
      <c r="G1618">
        <v>70</v>
      </c>
      <c r="H1618" t="s">
        <v>8930</v>
      </c>
      <c r="I1618" t="s">
        <v>9012</v>
      </c>
      <c r="J1618" s="22">
        <v>39976</v>
      </c>
      <c r="K1618">
        <v>0</v>
      </c>
      <c r="L1618">
        <v>5</v>
      </c>
      <c r="M1618" s="21">
        <f ca="1">LEFT(Music_Data[[#This Row],[Duration_minutes]],3)/60</f>
        <v>4.4666666666666668</v>
      </c>
      <c r="N1618" s="17">
        <v>2.3499999999999999E-4</v>
      </c>
      <c r="O1618" s="17" t="str">
        <f ca="1">PROPER(Music_Data[[#This Row],[Playlist_subgenre2]])</f>
        <v>Alternative</v>
      </c>
    </row>
    <row r="1619" spans="1:15">
      <c r="A1619" s="17">
        <v>0.44700000000000001</v>
      </c>
      <c r="B1619" s="21">
        <v>121</v>
      </c>
      <c r="C1619" s="16">
        <v>0.65700000000000003</v>
      </c>
      <c r="D1619" s="16" t="str">
        <f ca="1">PROPER(Music_Data[[#This Row],[Playlist_genre2]])</f>
        <v>Rock</v>
      </c>
      <c r="E1619" s="17">
        <v>0.52300000000000002</v>
      </c>
      <c r="F1619" t="s">
        <v>12783</v>
      </c>
      <c r="G1619">
        <v>70</v>
      </c>
      <c r="H1619" t="s">
        <v>12750</v>
      </c>
      <c r="I1619" t="s">
        <v>12789</v>
      </c>
      <c r="J1619" s="22">
        <v>36161</v>
      </c>
      <c r="K1619">
        <v>1</v>
      </c>
      <c r="L1619">
        <v>0</v>
      </c>
      <c r="M1619" s="21">
        <f ca="1">LEFT(Music_Data[[#This Row],[Duration_minutes]],3)/60</f>
        <v>4.4666666666666668</v>
      </c>
      <c r="N1619" s="17">
        <v>0.47799999999999998</v>
      </c>
      <c r="O1619" s="17" t="str">
        <f ca="1">PROPER(Music_Data[[#This Row],[Playlist_subgenre2]])</f>
        <v>Spanish</v>
      </c>
    </row>
    <row r="1620" spans="1:15">
      <c r="A1620" s="17">
        <v>0.82799999999999996</v>
      </c>
      <c r="B1620" s="21">
        <v>105</v>
      </c>
      <c r="C1620" s="16">
        <v>0.53900000000000003</v>
      </c>
      <c r="D1620" s="16" t="str">
        <f ca="1">PROPER(Music_Data[[#This Row],[Playlist_genre2]])</f>
        <v>Rock</v>
      </c>
      <c r="E1620" s="17">
        <v>0.56200000000000006</v>
      </c>
      <c r="F1620" t="s">
        <v>1074</v>
      </c>
      <c r="G1620">
        <v>70</v>
      </c>
      <c r="H1620" t="s">
        <v>675</v>
      </c>
      <c r="I1620" t="s">
        <v>1081</v>
      </c>
      <c r="J1620" s="22">
        <v>31474</v>
      </c>
      <c r="K1620">
        <v>0</v>
      </c>
      <c r="L1620">
        <v>4</v>
      </c>
      <c r="M1620" s="21">
        <f ca="1">LEFT(Music_Data[[#This Row],[Duration_minutes]],3)/60</f>
        <v>8.5833333333333339</v>
      </c>
      <c r="N1620" s="17">
        <v>6.7000000000000002E-4</v>
      </c>
      <c r="O1620" s="17" t="str">
        <f ca="1">PROPER(Music_Data[[#This Row],[Playlist_subgenre2]])</f>
        <v>Classic</v>
      </c>
    </row>
    <row r="1621" spans="1:15">
      <c r="A1621" s="17">
        <v>0.57999999999999996</v>
      </c>
      <c r="B1621" s="21">
        <v>127</v>
      </c>
      <c r="C1621" s="16">
        <v>0.74099999999999999</v>
      </c>
      <c r="D1621" s="16" t="str">
        <f ca="1">PROPER(Music_Data[[#This Row],[Playlist_genre2]])</f>
        <v>Rock</v>
      </c>
      <c r="E1621" s="17">
        <v>0.94399999999999995</v>
      </c>
      <c r="F1621" t="s">
        <v>1681</v>
      </c>
      <c r="G1621">
        <v>70</v>
      </c>
      <c r="H1621" t="s">
        <v>675</v>
      </c>
      <c r="I1621" t="s">
        <v>1687</v>
      </c>
      <c r="J1621" s="22">
        <v>29438</v>
      </c>
      <c r="K1621">
        <v>1</v>
      </c>
      <c r="L1621">
        <v>4</v>
      </c>
      <c r="M1621" s="21">
        <f ca="1">LEFT(Music_Data[[#This Row],[Duration_minutes]],3)/60</f>
        <v>2.85</v>
      </c>
      <c r="N1621" s="17">
        <v>0.11700000000000001</v>
      </c>
      <c r="O1621" s="17" t="str">
        <f ca="1">PROPER(Music_Data[[#This Row],[Playlist_subgenre2]])</f>
        <v>Classic</v>
      </c>
    </row>
    <row r="1622" spans="1:15">
      <c r="A1622" s="17">
        <v>0.57999999999999996</v>
      </c>
      <c r="B1622" s="21">
        <v>127</v>
      </c>
      <c r="C1622" s="16">
        <v>0.74099999999999999</v>
      </c>
      <c r="D1622" s="16" t="str">
        <f ca="1">PROPER(Music_Data[[#This Row],[Playlist_genre2]])</f>
        <v>Rock</v>
      </c>
      <c r="E1622" s="17">
        <v>0.94399999999999995</v>
      </c>
      <c r="F1622" t="s">
        <v>1681</v>
      </c>
      <c r="G1622">
        <v>70</v>
      </c>
      <c r="H1622" t="s">
        <v>5990</v>
      </c>
      <c r="I1622" t="s">
        <v>1687</v>
      </c>
      <c r="J1622" s="22">
        <v>29438</v>
      </c>
      <c r="K1622">
        <v>1</v>
      </c>
      <c r="L1622">
        <v>4</v>
      </c>
      <c r="M1622" s="21">
        <f ca="1">LEFT(Music_Data[[#This Row],[Duration_minutes]],3)/60</f>
        <v>2.85</v>
      </c>
      <c r="N1622" s="17">
        <v>0.11700000000000001</v>
      </c>
      <c r="O1622" s="17" t="str">
        <f ca="1">PROPER(Music_Data[[#This Row],[Playlist_subgenre2]])</f>
        <v>80S</v>
      </c>
    </row>
    <row r="1623" spans="1:15">
      <c r="A1623" s="17">
        <v>0.77700000000000002</v>
      </c>
      <c r="B1623" s="21">
        <v>123</v>
      </c>
      <c r="C1623" s="16">
        <v>0.64900000000000002</v>
      </c>
      <c r="D1623" s="16" t="str">
        <f ca="1">PROPER(Music_Data[[#This Row],[Playlist_genre2]])</f>
        <v>Rock</v>
      </c>
      <c r="E1623" s="17">
        <v>0.66700000000000004</v>
      </c>
      <c r="F1623" t="s">
        <v>12792</v>
      </c>
      <c r="G1623">
        <v>70</v>
      </c>
      <c r="H1623" t="s">
        <v>12750</v>
      </c>
      <c r="I1623" t="s">
        <v>6769</v>
      </c>
      <c r="J1623" s="22">
        <v>2008</v>
      </c>
      <c r="K1623">
        <v>1</v>
      </c>
      <c r="L1623">
        <v>7</v>
      </c>
      <c r="M1623" s="21">
        <f ca="1">LEFT(Music_Data[[#This Row],[Duration_minutes]],3)/60</f>
        <v>3.7</v>
      </c>
      <c r="N1623" s="17">
        <v>7.3800000000000003E-3</v>
      </c>
      <c r="O1623" s="17" t="str">
        <f ca="1">PROPER(Music_Data[[#This Row],[Playlist_subgenre2]])</f>
        <v>Spanish</v>
      </c>
    </row>
    <row r="1624" spans="1:15">
      <c r="A1624" s="17">
        <v>0.34899999999999998</v>
      </c>
      <c r="B1624" s="21">
        <v>124</v>
      </c>
      <c r="C1624" s="16">
        <v>0.48899999999999999</v>
      </c>
      <c r="D1624" s="16" t="str">
        <f ca="1">PROPER(Music_Data[[#This Row],[Playlist_genre2]])</f>
        <v>Rock</v>
      </c>
      <c r="E1624" s="17">
        <v>0.622</v>
      </c>
      <c r="F1624" t="s">
        <v>1268</v>
      </c>
      <c r="G1624">
        <v>70</v>
      </c>
      <c r="H1624" t="s">
        <v>675</v>
      </c>
      <c r="I1624" t="s">
        <v>1275</v>
      </c>
      <c r="J1624" s="22">
        <v>34516</v>
      </c>
      <c r="K1624">
        <v>0</v>
      </c>
      <c r="L1624">
        <v>2</v>
      </c>
      <c r="M1624" s="21">
        <f ca="1">LEFT(Music_Data[[#This Row],[Duration_minutes]],3)/60</f>
        <v>3.2666666666666666</v>
      </c>
      <c r="N1624" s="17">
        <v>0.67600000000000005</v>
      </c>
      <c r="O1624" s="17" t="str">
        <f ca="1">PROPER(Music_Data[[#This Row],[Playlist_subgenre2]])</f>
        <v>Classic</v>
      </c>
    </row>
    <row r="1625" spans="1:15">
      <c r="A1625" s="17">
        <v>0.65200000000000002</v>
      </c>
      <c r="B1625" s="21">
        <v>173</v>
      </c>
      <c r="C1625" s="16">
        <v>0.27400000000000002</v>
      </c>
      <c r="D1625" s="16" t="str">
        <f ca="1">PROPER(Music_Data[[#This Row],[Playlist_genre2]])</f>
        <v>Rock</v>
      </c>
      <c r="E1625" s="17">
        <v>0.1</v>
      </c>
      <c r="F1625" t="s">
        <v>9118</v>
      </c>
      <c r="G1625">
        <v>70</v>
      </c>
      <c r="H1625" t="s">
        <v>8930</v>
      </c>
      <c r="I1625" t="s">
        <v>9124</v>
      </c>
      <c r="J1625" s="22">
        <v>2014</v>
      </c>
      <c r="K1625">
        <v>0</v>
      </c>
      <c r="L1625">
        <v>5</v>
      </c>
      <c r="M1625" s="21">
        <f ca="1">LEFT(Music_Data[[#This Row],[Duration_minutes]],3)/60</f>
        <v>4.8</v>
      </c>
      <c r="N1625" s="17">
        <v>7.6800000000000002E-3</v>
      </c>
      <c r="O1625" s="17" t="str">
        <f ca="1">PROPER(Music_Data[[#This Row],[Playlist_subgenre2]])</f>
        <v>Alternative</v>
      </c>
    </row>
    <row r="1626" spans="1:15">
      <c r="A1626" s="17">
        <v>0.80100000000000005</v>
      </c>
      <c r="B1626" s="21">
        <v>133</v>
      </c>
      <c r="C1626" s="16">
        <v>0.65100000000000002</v>
      </c>
      <c r="D1626" s="16" t="str">
        <f ca="1">PROPER(Music_Data[[#This Row],[Playlist_genre2]])</f>
        <v>Rock</v>
      </c>
      <c r="E1626" s="17">
        <v>0.77600000000000002</v>
      </c>
      <c r="F1626" t="s">
        <v>1191</v>
      </c>
      <c r="G1626">
        <v>70</v>
      </c>
      <c r="H1626" t="s">
        <v>675</v>
      </c>
      <c r="I1626" t="s">
        <v>1721</v>
      </c>
      <c r="J1626" s="22">
        <v>1979</v>
      </c>
      <c r="K1626">
        <v>1</v>
      </c>
      <c r="L1626">
        <v>0</v>
      </c>
      <c r="M1626" s="21">
        <f ca="1">LEFT(Music_Data[[#This Row],[Duration_minutes]],3)/60</f>
        <v>3.3333333333333335</v>
      </c>
      <c r="N1626" s="17">
        <v>0.123</v>
      </c>
      <c r="O1626" s="17" t="str">
        <f ca="1">PROPER(Music_Data[[#This Row],[Playlist_subgenre2]])</f>
        <v>Classic</v>
      </c>
    </row>
    <row r="1627" spans="1:15">
      <c r="A1627" s="17">
        <v>0.72199999999999998</v>
      </c>
      <c r="B1627" s="21">
        <v>103</v>
      </c>
      <c r="C1627" s="16">
        <v>0.55000000000000004</v>
      </c>
      <c r="D1627" s="16" t="str">
        <f ca="1">PROPER(Music_Data[[#This Row],[Playlist_genre2]])</f>
        <v>Rock</v>
      </c>
      <c r="E1627" s="17">
        <v>0.71599999999999997</v>
      </c>
      <c r="F1627" t="s">
        <v>960</v>
      </c>
      <c r="G1627">
        <v>70</v>
      </c>
      <c r="H1627" t="s">
        <v>675</v>
      </c>
      <c r="I1627" t="s">
        <v>966</v>
      </c>
      <c r="J1627" s="22">
        <v>26042</v>
      </c>
      <c r="K1627">
        <v>0</v>
      </c>
      <c r="L1627">
        <v>11</v>
      </c>
      <c r="M1627" s="21">
        <f ca="1">LEFT(Music_Data[[#This Row],[Duration_minutes]],3)/60</f>
        <v>7.2333333333333334</v>
      </c>
      <c r="N1627" s="17">
        <v>0.25</v>
      </c>
      <c r="O1627" s="17" t="str">
        <f ca="1">PROPER(Music_Data[[#This Row],[Playlist_subgenre2]])</f>
        <v>Classic</v>
      </c>
    </row>
    <row r="1628" spans="1:15">
      <c r="A1628" s="17">
        <v>0.70599999999999996</v>
      </c>
      <c r="B1628" s="21">
        <v>808</v>
      </c>
      <c r="C1628" s="16">
        <v>0.44500000000000001</v>
      </c>
      <c r="D1628" s="16" t="str">
        <f ca="1">PROPER(Music_Data[[#This Row],[Playlist_genre2]])</f>
        <v>Rock</v>
      </c>
      <c r="E1628" s="17">
        <v>0.76800000000000002</v>
      </c>
      <c r="F1628" t="s">
        <v>1540</v>
      </c>
      <c r="G1628">
        <v>70</v>
      </c>
      <c r="H1628" t="s">
        <v>675</v>
      </c>
      <c r="I1628" t="s">
        <v>1547</v>
      </c>
      <c r="J1628" s="22">
        <v>1976</v>
      </c>
      <c r="K1628">
        <v>1</v>
      </c>
      <c r="L1628">
        <v>8</v>
      </c>
      <c r="M1628" s="21">
        <f ca="1">LEFT(Music_Data[[#This Row],[Duration_minutes]],3)/60</f>
        <v>4.4333333333333336</v>
      </c>
      <c r="N1628" s="17">
        <v>0.23400000000000001</v>
      </c>
      <c r="O1628" s="17" t="str">
        <f ca="1">PROPER(Music_Data[[#This Row],[Playlist_subgenre2]])</f>
        <v>Classic</v>
      </c>
    </row>
    <row r="1629" spans="1:15">
      <c r="A1629" s="17">
        <v>0.81200000000000006</v>
      </c>
      <c r="B1629" s="21">
        <v>820</v>
      </c>
      <c r="C1629" s="16">
        <v>0.41699999999999998</v>
      </c>
      <c r="D1629" s="16" t="str">
        <f ca="1">PROPER(Music_Data[[#This Row],[Playlist_genre2]])</f>
        <v>Rock</v>
      </c>
      <c r="E1629" s="17">
        <v>0.41899999999999998</v>
      </c>
      <c r="F1629" t="s">
        <v>8854</v>
      </c>
      <c r="G1629">
        <v>69</v>
      </c>
      <c r="H1629" t="s">
        <v>9217</v>
      </c>
      <c r="I1629" t="s">
        <v>9240</v>
      </c>
      <c r="J1629" s="22">
        <v>45513</v>
      </c>
      <c r="K1629">
        <v>1</v>
      </c>
      <c r="L1629">
        <v>10</v>
      </c>
      <c r="M1629" s="21">
        <f ca="1">LEFT(Music_Data[[#This Row],[Duration_minutes]],3)/60</f>
        <v>3.8333333333333335</v>
      </c>
      <c r="N1629" s="17">
        <v>1.54E-2</v>
      </c>
      <c r="O1629" s="17" t="str">
        <f ca="1">PROPER(Music_Data[[#This Row],[Playlist_subgenre2]])</f>
        <v>Modern</v>
      </c>
    </row>
    <row r="1630" spans="1:15">
      <c r="A1630" s="17">
        <v>0.61099999999999999</v>
      </c>
      <c r="B1630" s="21">
        <v>853</v>
      </c>
      <c r="C1630" s="16">
        <v>0.65400000000000003</v>
      </c>
      <c r="D1630" s="16" t="str">
        <f ca="1">PROPER(Music_Data[[#This Row],[Playlist_genre2]])</f>
        <v>Rock</v>
      </c>
      <c r="E1630" s="17">
        <v>0.78600000000000003</v>
      </c>
      <c r="F1630" t="s">
        <v>1482</v>
      </c>
      <c r="G1630">
        <v>69</v>
      </c>
      <c r="H1630" t="s">
        <v>675</v>
      </c>
      <c r="I1630" t="s">
        <v>1489</v>
      </c>
      <c r="J1630" s="22">
        <v>34394</v>
      </c>
      <c r="K1630">
        <v>1</v>
      </c>
      <c r="L1630">
        <v>2</v>
      </c>
      <c r="M1630" s="21">
        <f ca="1">LEFT(Music_Data[[#This Row],[Duration_minutes]],3)/60</f>
        <v>3.9166666666666665</v>
      </c>
      <c r="N1630" s="17">
        <v>3.3700000000000001E-2</v>
      </c>
      <c r="O1630" s="17" t="str">
        <f ca="1">PROPER(Music_Data[[#This Row],[Playlist_subgenre2]])</f>
        <v>Classic</v>
      </c>
    </row>
    <row r="1631" spans="1:15">
      <c r="A1631" s="17">
        <v>0.83299999999999996</v>
      </c>
      <c r="B1631" s="21">
        <v>142</v>
      </c>
      <c r="C1631" s="16">
        <v>0.55300000000000005</v>
      </c>
      <c r="D1631" s="16" t="str">
        <f ca="1">PROPER(Music_Data[[#This Row],[Playlist_genre2]])</f>
        <v>Rock</v>
      </c>
      <c r="E1631" s="17">
        <v>0.77300000000000002</v>
      </c>
      <c r="F1631" t="s">
        <v>6214</v>
      </c>
      <c r="G1631">
        <v>69</v>
      </c>
      <c r="H1631" t="s">
        <v>5990</v>
      </c>
      <c r="I1631" t="s">
        <v>6218</v>
      </c>
      <c r="J1631" s="22">
        <v>37987</v>
      </c>
      <c r="K1631">
        <v>0</v>
      </c>
      <c r="L1631">
        <v>2</v>
      </c>
      <c r="M1631" s="21">
        <f ca="1">LEFT(Music_Data[[#This Row],[Duration_minutes]],3)/60</f>
        <v>3.5333333333333332</v>
      </c>
      <c r="N1631" s="17">
        <v>6.4599999999999998E-4</v>
      </c>
      <c r="O1631" s="17" t="str">
        <f ca="1">PROPER(Music_Data[[#This Row],[Playlist_subgenre2]])</f>
        <v>80S</v>
      </c>
    </row>
    <row r="1632" spans="1:15">
      <c r="A1632" s="17">
        <v>0.75900000000000001</v>
      </c>
      <c r="B1632" s="21">
        <v>124</v>
      </c>
      <c r="C1632" s="16">
        <v>0.79100000000000004</v>
      </c>
      <c r="D1632" s="16" t="str">
        <f ca="1">PROPER(Music_Data[[#This Row],[Playlist_genre2]])</f>
        <v>Rock</v>
      </c>
      <c r="E1632" s="17">
        <v>0.91700000000000004</v>
      </c>
      <c r="F1632" t="s">
        <v>13215</v>
      </c>
      <c r="G1632">
        <v>69</v>
      </c>
      <c r="H1632" t="s">
        <v>12750</v>
      </c>
      <c r="I1632" t="s">
        <v>12874</v>
      </c>
      <c r="J1632" s="22">
        <v>1996</v>
      </c>
      <c r="K1632">
        <v>1</v>
      </c>
      <c r="L1632">
        <v>9</v>
      </c>
      <c r="M1632" s="21">
        <f ca="1">LEFT(Music_Data[[#This Row],[Duration_minutes]],3)/60</f>
        <v>3.5666666666666669</v>
      </c>
      <c r="N1632" s="17">
        <v>8.2299999999999998E-2</v>
      </c>
      <c r="O1632" s="17" t="str">
        <f ca="1">PROPER(Music_Data[[#This Row],[Playlist_subgenre2]])</f>
        <v>Spanish</v>
      </c>
    </row>
    <row r="1633" spans="1:15">
      <c r="A1633" s="17">
        <v>0.76300000000000001</v>
      </c>
      <c r="B1633" s="21">
        <v>148</v>
      </c>
      <c r="C1633" s="16">
        <v>0.36499999999999999</v>
      </c>
      <c r="D1633" s="16" t="str">
        <f ca="1">PROPER(Music_Data[[#This Row],[Playlist_genre2]])</f>
        <v>Rock</v>
      </c>
      <c r="E1633" s="17">
        <v>0.34200000000000003</v>
      </c>
      <c r="F1633" t="s">
        <v>5694</v>
      </c>
      <c r="G1633">
        <v>69</v>
      </c>
      <c r="H1633" t="s">
        <v>5990</v>
      </c>
      <c r="I1633" t="s">
        <v>5699</v>
      </c>
      <c r="J1633" s="22">
        <v>32143</v>
      </c>
      <c r="K1633">
        <v>0</v>
      </c>
      <c r="L1633">
        <v>11</v>
      </c>
      <c r="M1633" s="21">
        <f ca="1">LEFT(Music_Data[[#This Row],[Duration_minutes]],3)/60</f>
        <v>3.4</v>
      </c>
      <c r="N1633" s="17">
        <v>7.26E-3</v>
      </c>
      <c r="O1633" s="17" t="str">
        <f ca="1">PROPER(Music_Data[[#This Row],[Playlist_subgenre2]])</f>
        <v>80S</v>
      </c>
    </row>
    <row r="1634" spans="1:15">
      <c r="A1634" s="17">
        <v>0.84599999999999997</v>
      </c>
      <c r="B1634" s="21">
        <v>107</v>
      </c>
      <c r="C1634" s="16">
        <v>0.65900000000000003</v>
      </c>
      <c r="D1634" s="16" t="str">
        <f ca="1">PROPER(Music_Data[[#This Row],[Playlist_genre2]])</f>
        <v>Rock</v>
      </c>
      <c r="E1634" s="17">
        <v>0.65900000000000003</v>
      </c>
      <c r="F1634" t="s">
        <v>1656</v>
      </c>
      <c r="G1634">
        <v>69</v>
      </c>
      <c r="H1634" t="s">
        <v>5990</v>
      </c>
      <c r="I1634" t="s">
        <v>6208</v>
      </c>
      <c r="J1634" s="22">
        <v>31992</v>
      </c>
      <c r="K1634">
        <v>1</v>
      </c>
      <c r="L1634">
        <v>7</v>
      </c>
      <c r="M1634" s="21">
        <f ca="1">LEFT(Music_Data[[#This Row],[Duration_minutes]],3)/60</f>
        <v>5.9</v>
      </c>
      <c r="N1634" s="17">
        <v>3.1800000000000002E-2</v>
      </c>
      <c r="O1634" s="17" t="str">
        <f ca="1">PROPER(Music_Data[[#This Row],[Playlist_subgenre2]])</f>
        <v>80S</v>
      </c>
    </row>
    <row r="1635" spans="1:15">
      <c r="A1635" s="17">
        <v>0.86199999999999999</v>
      </c>
      <c r="B1635" s="21">
        <v>980</v>
      </c>
      <c r="C1635" s="16">
        <v>0.51100000000000001</v>
      </c>
      <c r="D1635" s="16" t="str">
        <f ca="1">PROPER(Music_Data[[#This Row],[Playlist_genre2]])</f>
        <v>Rock</v>
      </c>
      <c r="E1635" s="17">
        <v>0.36099999999999999</v>
      </c>
      <c r="F1635" t="s">
        <v>9224</v>
      </c>
      <c r="G1635">
        <v>69</v>
      </c>
      <c r="H1635" t="s">
        <v>9217</v>
      </c>
      <c r="I1635" t="s">
        <v>9231</v>
      </c>
      <c r="J1635" s="22">
        <v>45527</v>
      </c>
      <c r="K1635">
        <v>1</v>
      </c>
      <c r="L1635">
        <v>10</v>
      </c>
      <c r="M1635" s="21">
        <f ca="1">LEFT(Music_Data[[#This Row],[Duration_minutes]],3)/60</f>
        <v>3.6833333333333331</v>
      </c>
      <c r="N1635" s="17">
        <v>6.5600000000000006E-2</v>
      </c>
      <c r="O1635" s="17" t="str">
        <f ca="1">PROPER(Music_Data[[#This Row],[Playlist_subgenre2]])</f>
        <v>Modern</v>
      </c>
    </row>
    <row r="1636" spans="1:15">
      <c r="A1636" s="17">
        <v>0.73699999999999999</v>
      </c>
      <c r="B1636" s="21">
        <v>125</v>
      </c>
      <c r="C1636" s="16">
        <v>0.78500000000000003</v>
      </c>
      <c r="D1636" s="16" t="str">
        <f ca="1">PROPER(Music_Data[[#This Row],[Playlist_genre2]])</f>
        <v>Rock</v>
      </c>
      <c r="E1636" s="17">
        <v>0.97099999999999997</v>
      </c>
      <c r="F1636" t="s">
        <v>6196</v>
      </c>
      <c r="G1636">
        <v>69</v>
      </c>
      <c r="H1636" t="s">
        <v>5990</v>
      </c>
      <c r="I1636" t="s">
        <v>6202</v>
      </c>
      <c r="J1636" s="22">
        <v>1982</v>
      </c>
      <c r="K1636">
        <v>1</v>
      </c>
      <c r="L1636">
        <v>9</v>
      </c>
      <c r="M1636" s="21">
        <f ca="1">LEFT(Music_Data[[#This Row],[Duration_minutes]],3)/60</f>
        <v>3.6333333333333333</v>
      </c>
      <c r="N1636" s="17">
        <v>4.2000000000000003E-2</v>
      </c>
      <c r="O1636" s="17" t="str">
        <f ca="1">PROPER(Music_Data[[#This Row],[Playlist_subgenre2]])</f>
        <v>80S</v>
      </c>
    </row>
    <row r="1637" spans="1:15">
      <c r="A1637" s="17">
        <v>0.86399999999999999</v>
      </c>
      <c r="B1637" s="21">
        <v>813</v>
      </c>
      <c r="C1637" s="16">
        <v>0.437</v>
      </c>
      <c r="D1637" s="16" t="str">
        <f ca="1">PROPER(Music_Data[[#This Row],[Playlist_genre2]])</f>
        <v>Rock</v>
      </c>
      <c r="E1637" s="17">
        <v>0.749</v>
      </c>
      <c r="F1637" t="s">
        <v>949</v>
      </c>
      <c r="G1637">
        <v>69</v>
      </c>
      <c r="H1637" t="s">
        <v>675</v>
      </c>
      <c r="I1637" t="s">
        <v>1452</v>
      </c>
      <c r="J1637" s="22">
        <v>26245</v>
      </c>
      <c r="K1637">
        <v>0</v>
      </c>
      <c r="L1637">
        <v>4</v>
      </c>
      <c r="M1637" s="21">
        <f ca="1">LEFT(Music_Data[[#This Row],[Duration_minutes]],3)/60</f>
        <v>4.916666666666667</v>
      </c>
      <c r="N1637" s="17">
        <v>0.39600000000000002</v>
      </c>
      <c r="O1637" s="17" t="str">
        <f ca="1">PROPER(Music_Data[[#This Row],[Playlist_subgenre2]])</f>
        <v>Classic</v>
      </c>
    </row>
    <row r="1638" spans="1:15">
      <c r="A1638" s="17">
        <v>0.42699999999999999</v>
      </c>
      <c r="B1638" s="21">
        <v>119</v>
      </c>
      <c r="C1638" s="16">
        <v>0.753</v>
      </c>
      <c r="D1638" s="16" t="str">
        <f ca="1">PROPER(Music_Data[[#This Row],[Playlist_genre2]])</f>
        <v>Rock</v>
      </c>
      <c r="E1638" s="17">
        <v>0.29499999999999998</v>
      </c>
      <c r="F1638" t="s">
        <v>6175</v>
      </c>
      <c r="G1638">
        <v>69</v>
      </c>
      <c r="H1638" t="s">
        <v>5990</v>
      </c>
      <c r="I1638" t="s">
        <v>6181</v>
      </c>
      <c r="J1638" s="22">
        <v>32052</v>
      </c>
      <c r="K1638">
        <v>1</v>
      </c>
      <c r="L1638">
        <v>0</v>
      </c>
      <c r="M1638" s="21">
        <f ca="1">LEFT(Music_Data[[#This Row],[Duration_minutes]],3)/60</f>
        <v>4.25</v>
      </c>
      <c r="N1638" s="17">
        <v>7.8700000000000003E-3</v>
      </c>
      <c r="O1638" s="17" t="str">
        <f ca="1">PROPER(Music_Data[[#This Row],[Playlist_subgenre2]])</f>
        <v>80S</v>
      </c>
    </row>
    <row r="1639" spans="1:15">
      <c r="A1639" s="17">
        <v>0.58399999999999996</v>
      </c>
      <c r="B1639" s="21">
        <v>170</v>
      </c>
      <c r="C1639" s="16">
        <v>0.50900000000000001</v>
      </c>
      <c r="D1639" s="16" t="str">
        <f ca="1">PROPER(Music_Data[[#This Row],[Playlist_genre2]])</f>
        <v>Rock</v>
      </c>
      <c r="E1639" s="17">
        <v>0.68500000000000005</v>
      </c>
      <c r="F1639" t="s">
        <v>1458</v>
      </c>
      <c r="G1639">
        <v>69</v>
      </c>
      <c r="H1639" t="s">
        <v>675</v>
      </c>
      <c r="I1639" t="s">
        <v>1464</v>
      </c>
      <c r="J1639" s="22">
        <v>37257</v>
      </c>
      <c r="K1639">
        <v>1</v>
      </c>
      <c r="L1639">
        <v>0</v>
      </c>
      <c r="M1639" s="21">
        <f ca="1">LEFT(Music_Data[[#This Row],[Duration_minutes]],3)/60</f>
        <v>4.6333333333333337</v>
      </c>
      <c r="N1639" s="17">
        <v>3.6799999999999999E-2</v>
      </c>
      <c r="O1639" s="17" t="str">
        <f ca="1">PROPER(Music_Data[[#This Row],[Playlist_subgenre2]])</f>
        <v>Classic</v>
      </c>
    </row>
    <row r="1640" spans="1:15">
      <c r="A1640" s="17">
        <v>0.58399999999999996</v>
      </c>
      <c r="B1640" s="21">
        <v>170</v>
      </c>
      <c r="C1640" s="16">
        <v>0.50900000000000001</v>
      </c>
      <c r="D1640" s="16" t="str">
        <f ca="1">PROPER(Music_Data[[#This Row],[Playlist_genre2]])</f>
        <v>Rock</v>
      </c>
      <c r="E1640" s="17">
        <v>0.68500000000000005</v>
      </c>
      <c r="F1640" t="s">
        <v>1458</v>
      </c>
      <c r="G1640">
        <v>69</v>
      </c>
      <c r="H1640" t="s">
        <v>8930</v>
      </c>
      <c r="I1640" t="s">
        <v>1464</v>
      </c>
      <c r="J1640" s="22">
        <v>37257</v>
      </c>
      <c r="K1640">
        <v>1</v>
      </c>
      <c r="L1640">
        <v>0</v>
      </c>
      <c r="M1640" s="21">
        <f ca="1">LEFT(Music_Data[[#This Row],[Duration_minutes]],3)/60</f>
        <v>4.6333333333333337</v>
      </c>
      <c r="N1640" s="17">
        <v>3.6799999999999999E-2</v>
      </c>
      <c r="O1640" s="17" t="str">
        <f ca="1">PROPER(Music_Data[[#This Row],[Playlist_subgenre2]])</f>
        <v>Alternative</v>
      </c>
    </row>
    <row r="1641" spans="1:15">
      <c r="A1641" s="17">
        <v>0.80400000000000005</v>
      </c>
      <c r="B1641" s="21">
        <v>111</v>
      </c>
      <c r="C1641" s="16">
        <v>0.59099999999999997</v>
      </c>
      <c r="D1641" s="16" t="str">
        <f ca="1">PROPER(Music_Data[[#This Row],[Playlist_genre2]])</f>
        <v>Rock</v>
      </c>
      <c r="E1641" s="17">
        <v>0.65800000000000003</v>
      </c>
      <c r="F1641" t="s">
        <v>6163</v>
      </c>
      <c r="G1641">
        <v>69</v>
      </c>
      <c r="H1641" t="s">
        <v>5990</v>
      </c>
      <c r="I1641" t="s">
        <v>6170</v>
      </c>
      <c r="J1641" s="22">
        <v>29794</v>
      </c>
      <c r="K1641">
        <v>1</v>
      </c>
      <c r="L1641">
        <v>0</v>
      </c>
      <c r="M1641" s="21">
        <f ca="1">LEFT(Music_Data[[#This Row],[Duration_minutes]],3)/60</f>
        <v>5.4833333333333334</v>
      </c>
      <c r="N1641" s="17">
        <v>0.32700000000000001</v>
      </c>
      <c r="O1641" s="17" t="str">
        <f ca="1">PROPER(Music_Data[[#This Row],[Playlist_subgenre2]])</f>
        <v>80S</v>
      </c>
    </row>
    <row r="1642" spans="1:15">
      <c r="A1642" s="17">
        <v>0.57899999999999996</v>
      </c>
      <c r="B1642" s="21">
        <v>127</v>
      </c>
      <c r="C1642" s="16">
        <v>0.62</v>
      </c>
      <c r="D1642" s="16" t="str">
        <f ca="1">PROPER(Music_Data[[#This Row],[Playlist_genre2]])</f>
        <v>Rock</v>
      </c>
      <c r="E1642" s="17">
        <v>0.69099999999999995</v>
      </c>
      <c r="F1642" t="s">
        <v>1111</v>
      </c>
      <c r="G1642">
        <v>69</v>
      </c>
      <c r="H1642" t="s">
        <v>675</v>
      </c>
      <c r="I1642" t="s">
        <v>1117</v>
      </c>
      <c r="J1642" s="22">
        <v>28647</v>
      </c>
      <c r="K1642">
        <v>1</v>
      </c>
      <c r="L1642">
        <v>4</v>
      </c>
      <c r="M1642" s="21">
        <f ca="1">LEFT(Music_Data[[#This Row],[Duration_minutes]],3)/60</f>
        <v>3.75</v>
      </c>
      <c r="N1642" s="17">
        <v>1.52E-2</v>
      </c>
      <c r="O1642" s="17" t="str">
        <f ca="1">PROPER(Music_Data[[#This Row],[Playlist_subgenre2]])</f>
        <v>Classic</v>
      </c>
    </row>
    <row r="1643" spans="1:15">
      <c r="A1643" s="17">
        <v>0.91200000000000003</v>
      </c>
      <c r="B1643" s="21">
        <v>117</v>
      </c>
      <c r="C1643" s="16">
        <v>0.57499999999999996</v>
      </c>
      <c r="D1643" s="16" t="str">
        <f ca="1">PROPER(Music_Data[[#This Row],[Playlist_genre2]])</f>
        <v>Rock</v>
      </c>
      <c r="E1643" s="17">
        <v>0.84299999999999997</v>
      </c>
      <c r="F1643" t="s">
        <v>1469</v>
      </c>
      <c r="G1643">
        <v>69</v>
      </c>
      <c r="H1643" t="s">
        <v>675</v>
      </c>
      <c r="I1643" t="s">
        <v>1476</v>
      </c>
      <c r="J1643" s="22">
        <v>1973</v>
      </c>
      <c r="K1643">
        <v>0</v>
      </c>
      <c r="L1643">
        <v>7</v>
      </c>
      <c r="M1643" s="21">
        <f ca="1">LEFT(Music_Data[[#This Row],[Duration_minutes]],3)/60</f>
        <v>3.45</v>
      </c>
      <c r="N1643" s="17">
        <v>9.1600000000000001E-2</v>
      </c>
      <c r="O1643" s="17" t="str">
        <f ca="1">PROPER(Music_Data[[#This Row],[Playlist_subgenre2]])</f>
        <v>Classic</v>
      </c>
    </row>
    <row r="1644" spans="1:15">
      <c r="A1644" s="17">
        <v>0.7</v>
      </c>
      <c r="B1644" s="21">
        <v>147</v>
      </c>
      <c r="C1644" s="16">
        <v>0.58599999999999997</v>
      </c>
      <c r="D1644" s="16" t="str">
        <f ca="1">PROPER(Music_Data[[#This Row],[Playlist_genre2]])</f>
        <v>Rock</v>
      </c>
      <c r="E1644" s="17">
        <v>0.89700000000000002</v>
      </c>
      <c r="F1644" t="s">
        <v>1514</v>
      </c>
      <c r="G1644">
        <v>69</v>
      </c>
      <c r="H1644" t="s">
        <v>675</v>
      </c>
      <c r="I1644" t="s">
        <v>1521</v>
      </c>
      <c r="J1644" s="22">
        <v>28856</v>
      </c>
      <c r="K1644">
        <v>1</v>
      </c>
      <c r="L1644">
        <v>0</v>
      </c>
      <c r="M1644" s="21">
        <f ca="1">LEFT(Music_Data[[#This Row],[Duration_minutes]],3)/60</f>
        <v>4.916666666666667</v>
      </c>
      <c r="N1644" s="17">
        <v>5.8900000000000001E-2</v>
      </c>
      <c r="O1644" s="17" t="str">
        <f ca="1">PROPER(Music_Data[[#This Row],[Playlist_subgenre2]])</f>
        <v>Classic</v>
      </c>
    </row>
    <row r="1645" spans="1:15">
      <c r="A1645" s="17">
        <v>0.50600000000000001</v>
      </c>
      <c r="B1645" s="21">
        <v>140</v>
      </c>
      <c r="C1645" s="16">
        <v>0.79900000000000004</v>
      </c>
      <c r="D1645" s="16" t="str">
        <f ca="1">PROPER(Music_Data[[#This Row],[Playlist_genre2]])</f>
        <v>Rock</v>
      </c>
      <c r="E1645" s="17">
        <v>0.51800000000000002</v>
      </c>
      <c r="F1645" t="s">
        <v>1290</v>
      </c>
      <c r="G1645">
        <v>69</v>
      </c>
      <c r="H1645" t="s">
        <v>5990</v>
      </c>
      <c r="I1645" t="s">
        <v>6192</v>
      </c>
      <c r="J1645" s="22">
        <v>29497</v>
      </c>
      <c r="K1645">
        <v>1</v>
      </c>
      <c r="L1645">
        <v>2</v>
      </c>
      <c r="M1645" s="21">
        <f ca="1">LEFT(Music_Data[[#This Row],[Duration_minutes]],3)/60</f>
        <v>4.0333333333333332</v>
      </c>
      <c r="N1645" s="17">
        <v>4.53E-2</v>
      </c>
      <c r="O1645" s="17" t="str">
        <f ca="1">PROPER(Music_Data[[#This Row],[Playlist_subgenre2]])</f>
        <v>80S</v>
      </c>
    </row>
    <row r="1646" spans="1:15">
      <c r="A1646" s="17">
        <v>0.52100000000000002</v>
      </c>
      <c r="B1646" s="21">
        <v>106</v>
      </c>
      <c r="C1646" s="16">
        <v>0.53900000000000003</v>
      </c>
      <c r="D1646" s="16" t="str">
        <f ca="1">PROPER(Music_Data[[#This Row],[Playlist_genre2]])</f>
        <v>Rock</v>
      </c>
      <c r="E1646" s="17">
        <v>0.67900000000000005</v>
      </c>
      <c r="F1646" t="s">
        <v>3568</v>
      </c>
      <c r="G1646">
        <v>69</v>
      </c>
      <c r="H1646" t="s">
        <v>3520</v>
      </c>
      <c r="I1646" t="s">
        <v>3694</v>
      </c>
      <c r="J1646" s="22">
        <v>37102</v>
      </c>
      <c r="K1646">
        <v>1</v>
      </c>
      <c r="L1646">
        <v>9</v>
      </c>
      <c r="M1646" s="21">
        <f ca="1">LEFT(Music_Data[[#This Row],[Duration_minutes]],3)/60</f>
        <v>3.05</v>
      </c>
      <c r="N1646" s="17">
        <v>4.2500000000000003E-3</v>
      </c>
      <c r="O1646" s="17" t="str">
        <f ca="1">PROPER(Music_Data[[#This Row],[Playlist_subgenre2]])</f>
        <v>Feel-Good</v>
      </c>
    </row>
    <row r="1647" spans="1:15">
      <c r="A1647" s="17">
        <v>0.73699999999999999</v>
      </c>
      <c r="B1647" s="21">
        <v>103</v>
      </c>
      <c r="C1647" s="16">
        <v>0.66200000000000003</v>
      </c>
      <c r="D1647" s="16" t="str">
        <f ca="1">PROPER(Music_Data[[#This Row],[Playlist_genre2]])</f>
        <v>Rock</v>
      </c>
      <c r="E1647" s="17">
        <v>0.74399999999999999</v>
      </c>
      <c r="F1647" t="s">
        <v>1586</v>
      </c>
      <c r="G1647">
        <v>69</v>
      </c>
      <c r="H1647" t="s">
        <v>675</v>
      </c>
      <c r="I1647" t="s">
        <v>1593</v>
      </c>
      <c r="J1647" s="22">
        <v>32764</v>
      </c>
      <c r="K1647">
        <v>1</v>
      </c>
      <c r="L1647">
        <v>0</v>
      </c>
      <c r="M1647" s="21">
        <f ca="1">LEFT(Music_Data[[#This Row],[Duration_minutes]],3)/60</f>
        <v>5.4833333333333334</v>
      </c>
      <c r="N1647" s="17">
        <v>0.108</v>
      </c>
      <c r="O1647" s="17" t="str">
        <f ca="1">PROPER(Music_Data[[#This Row],[Playlist_subgenre2]])</f>
        <v>Classic</v>
      </c>
    </row>
    <row r="1648" spans="1:15">
      <c r="A1648" s="17">
        <v>0.54400000000000004</v>
      </c>
      <c r="B1648" s="21">
        <v>121</v>
      </c>
      <c r="C1648" s="16">
        <v>0.82299999999999995</v>
      </c>
      <c r="D1648" s="16" t="str">
        <f ca="1">PROPER(Music_Data[[#This Row],[Playlist_genre2]])</f>
        <v>Rock</v>
      </c>
      <c r="E1648" s="17">
        <v>0.82599999999999996</v>
      </c>
      <c r="F1648" t="s">
        <v>3697</v>
      </c>
      <c r="G1648">
        <v>69</v>
      </c>
      <c r="H1648" t="s">
        <v>3520</v>
      </c>
      <c r="I1648" t="s">
        <v>3700</v>
      </c>
      <c r="J1648" s="22">
        <v>43627</v>
      </c>
      <c r="K1648">
        <v>1</v>
      </c>
      <c r="L1648">
        <v>5</v>
      </c>
      <c r="M1648" s="21">
        <f ca="1">LEFT(Music_Data[[#This Row],[Duration_minutes]],3)/60</f>
        <v>2.7</v>
      </c>
      <c r="N1648" s="17">
        <v>0.38900000000000001</v>
      </c>
      <c r="O1648" s="17" t="str">
        <f ca="1">PROPER(Music_Data[[#This Row],[Playlist_subgenre2]])</f>
        <v>Feel-Good</v>
      </c>
    </row>
    <row r="1649" spans="1:15">
      <c r="A1649" s="17">
        <v>0.65800000000000003</v>
      </c>
      <c r="B1649" s="21">
        <v>150</v>
      </c>
      <c r="C1649" s="16">
        <v>0.61499999999999999</v>
      </c>
      <c r="D1649" s="16" t="str">
        <f ca="1">PROPER(Music_Data[[#This Row],[Playlist_genre2]])</f>
        <v>Rock</v>
      </c>
      <c r="E1649" s="17">
        <v>0.29299999999999998</v>
      </c>
      <c r="F1649" t="s">
        <v>3704</v>
      </c>
      <c r="G1649">
        <v>68</v>
      </c>
      <c r="H1649" t="s">
        <v>3520</v>
      </c>
      <c r="I1649" t="s">
        <v>3710</v>
      </c>
      <c r="J1649" s="22">
        <v>41170</v>
      </c>
      <c r="K1649">
        <v>1</v>
      </c>
      <c r="L1649">
        <v>5</v>
      </c>
      <c r="M1649" s="21">
        <f ca="1">LEFT(Music_Data[[#This Row],[Duration_minutes]],3)/60</f>
        <v>3.7833333333333332</v>
      </c>
      <c r="N1649" s="17">
        <v>9.6000000000000002E-2</v>
      </c>
      <c r="O1649" s="17" t="str">
        <f ca="1">PROPER(Music_Data[[#This Row],[Playlist_subgenre2]])</f>
        <v>Feel-Good</v>
      </c>
    </row>
    <row r="1650" spans="1:15">
      <c r="A1650" s="17">
        <v>0.85799999999999998</v>
      </c>
      <c r="B1650" s="21">
        <v>133</v>
      </c>
      <c r="C1650" s="16">
        <v>0.503</v>
      </c>
      <c r="D1650" s="16" t="str">
        <f ca="1">PROPER(Music_Data[[#This Row],[Playlist_genre2]])</f>
        <v>Rock</v>
      </c>
      <c r="E1650" s="17">
        <v>0.41899999999999998</v>
      </c>
      <c r="F1650" t="s">
        <v>1642</v>
      </c>
      <c r="G1650">
        <v>68</v>
      </c>
      <c r="H1650" t="s">
        <v>5990</v>
      </c>
      <c r="I1650" t="s">
        <v>6231</v>
      </c>
      <c r="J1650" s="22">
        <v>31731</v>
      </c>
      <c r="K1650">
        <v>1</v>
      </c>
      <c r="L1650">
        <v>8</v>
      </c>
      <c r="M1650" s="21">
        <f ca="1">LEFT(Music_Data[[#This Row],[Duration_minutes]],3)/60</f>
        <v>3.4666666666666668</v>
      </c>
      <c r="N1650" s="17">
        <v>7.5700000000000003E-3</v>
      </c>
      <c r="O1650" s="17" t="str">
        <f ca="1">PROPER(Music_Data[[#This Row],[Playlist_subgenre2]])</f>
        <v>80S</v>
      </c>
    </row>
    <row r="1651" spans="1:15">
      <c r="A1651" s="17">
        <v>0.64500000000000002</v>
      </c>
      <c r="B1651" s="21">
        <v>895</v>
      </c>
      <c r="C1651" s="16">
        <v>0.55200000000000005</v>
      </c>
      <c r="D1651" s="16" t="str">
        <f ca="1">PROPER(Music_Data[[#This Row],[Playlist_genre2]])</f>
        <v>Rock</v>
      </c>
      <c r="E1651" s="17">
        <v>0.58799999999999997</v>
      </c>
      <c r="F1651" t="s">
        <v>9191</v>
      </c>
      <c r="G1651">
        <v>68</v>
      </c>
      <c r="H1651" t="s">
        <v>8930</v>
      </c>
      <c r="I1651" t="s">
        <v>9196</v>
      </c>
      <c r="J1651" s="22">
        <v>34166</v>
      </c>
      <c r="K1651">
        <v>1</v>
      </c>
      <c r="L1651">
        <v>7</v>
      </c>
      <c r="M1651" s="21">
        <f ca="1">LEFT(Music_Data[[#This Row],[Duration_minutes]],3)/60</f>
        <v>4.9833333333333334</v>
      </c>
      <c r="N1651" s="17">
        <v>1.8699999999999999E-3</v>
      </c>
      <c r="O1651" s="17" t="str">
        <f ca="1">PROPER(Music_Data[[#This Row],[Playlist_subgenre2]])</f>
        <v>Alternative</v>
      </c>
    </row>
    <row r="1652" spans="1:15">
      <c r="A1652" s="17">
        <v>0.755</v>
      </c>
      <c r="B1652" s="21">
        <v>109</v>
      </c>
      <c r="C1652" s="16">
        <v>0.66700000000000004</v>
      </c>
      <c r="D1652" s="16" t="str">
        <f ca="1">PROPER(Music_Data[[#This Row],[Playlist_genre2]])</f>
        <v>Rock</v>
      </c>
      <c r="E1652" s="17">
        <v>0.88300000000000001</v>
      </c>
      <c r="F1652" t="s">
        <v>670</v>
      </c>
      <c r="G1652">
        <v>68</v>
      </c>
      <c r="H1652" t="s">
        <v>675</v>
      </c>
      <c r="I1652" t="s">
        <v>1390</v>
      </c>
      <c r="J1652" s="22">
        <v>28102</v>
      </c>
      <c r="K1652">
        <v>1</v>
      </c>
      <c r="L1652">
        <v>9</v>
      </c>
      <c r="M1652" s="21">
        <f ca="1">LEFT(Music_Data[[#This Row],[Duration_minutes]],3)/60</f>
        <v>4.7666666666666666</v>
      </c>
      <c r="N1652" s="17">
        <v>9.6600000000000005E-2</v>
      </c>
      <c r="O1652" s="17" t="str">
        <f ca="1">PROPER(Music_Data[[#This Row],[Playlist_subgenre2]])</f>
        <v>Classic</v>
      </c>
    </row>
    <row r="1653" spans="1:15">
      <c r="A1653" s="17">
        <v>0.48599999999999999</v>
      </c>
      <c r="B1653" s="21">
        <v>119</v>
      </c>
      <c r="C1653" s="16">
        <v>0.55600000000000005</v>
      </c>
      <c r="D1653" s="16" t="str">
        <f ca="1">PROPER(Music_Data[[#This Row],[Playlist_genre2]])</f>
        <v>Rock</v>
      </c>
      <c r="E1653" s="17">
        <v>0.24299999999999999</v>
      </c>
      <c r="F1653" t="s">
        <v>867</v>
      </c>
      <c r="G1653">
        <v>68</v>
      </c>
      <c r="H1653" t="s">
        <v>8930</v>
      </c>
      <c r="I1653" t="s">
        <v>9172</v>
      </c>
      <c r="J1653" s="22">
        <v>39948</v>
      </c>
      <c r="K1653">
        <v>1</v>
      </c>
      <c r="L1653">
        <v>2</v>
      </c>
      <c r="M1653" s="21">
        <f ca="1">LEFT(Music_Data[[#This Row],[Duration_minutes]],3)/60</f>
        <v>3.9333333333333331</v>
      </c>
      <c r="N1653" s="17">
        <v>3.7100000000000001E-2</v>
      </c>
      <c r="O1653" s="17" t="str">
        <f ca="1">PROPER(Music_Data[[#This Row],[Playlist_subgenre2]])</f>
        <v>Alternative</v>
      </c>
    </row>
    <row r="1654" spans="1:15">
      <c r="A1654" s="17">
        <v>0.85</v>
      </c>
      <c r="B1654" s="21">
        <v>125</v>
      </c>
      <c r="C1654" s="16">
        <v>0.374</v>
      </c>
      <c r="D1654" s="16" t="str">
        <f ca="1">PROPER(Music_Data[[#This Row],[Playlist_genre2]])</f>
        <v>Rock</v>
      </c>
      <c r="E1654" s="17">
        <v>0.34799999999999998</v>
      </c>
      <c r="F1654" t="s">
        <v>12830</v>
      </c>
      <c r="G1654">
        <v>68</v>
      </c>
      <c r="H1654" t="s">
        <v>12750</v>
      </c>
      <c r="I1654" t="s">
        <v>12836</v>
      </c>
      <c r="J1654" s="22">
        <v>1990</v>
      </c>
      <c r="K1654">
        <v>0</v>
      </c>
      <c r="L1654">
        <v>4</v>
      </c>
      <c r="M1654" s="21">
        <f ca="1">LEFT(Music_Data[[#This Row],[Duration_minutes]],3)/60</f>
        <v>4.2166666666666668</v>
      </c>
      <c r="N1654" s="17">
        <v>9.0399999999999994E-2</v>
      </c>
      <c r="O1654" s="17" t="str">
        <f ca="1">PROPER(Music_Data[[#This Row],[Playlist_subgenre2]])</f>
        <v>Spanish</v>
      </c>
    </row>
    <row r="1655" spans="1:15">
      <c r="A1655" s="17">
        <v>0.63100000000000001</v>
      </c>
      <c r="B1655" s="21">
        <v>112</v>
      </c>
      <c r="C1655" s="16">
        <v>0.78100000000000003</v>
      </c>
      <c r="D1655" s="16" t="str">
        <f ca="1">PROPER(Music_Data[[#This Row],[Playlist_genre2]])</f>
        <v>Rock</v>
      </c>
      <c r="E1655" s="17">
        <v>0.90900000000000003</v>
      </c>
      <c r="F1655" t="s">
        <v>12877</v>
      </c>
      <c r="G1655">
        <v>68</v>
      </c>
      <c r="H1655" t="s">
        <v>12750</v>
      </c>
      <c r="I1655" t="s">
        <v>12902</v>
      </c>
      <c r="J1655" s="22">
        <v>1996</v>
      </c>
      <c r="K1655">
        <v>1</v>
      </c>
      <c r="L1655">
        <v>2</v>
      </c>
      <c r="M1655" s="21">
        <f ca="1">LEFT(Music_Data[[#This Row],[Duration_minutes]],3)/60</f>
        <v>3.75</v>
      </c>
      <c r="N1655" s="17">
        <v>5.33E-2</v>
      </c>
      <c r="O1655" s="17" t="str">
        <f ca="1">PROPER(Music_Data[[#This Row],[Playlist_subgenre2]])</f>
        <v>Spanish</v>
      </c>
    </row>
    <row r="1656" spans="1:15">
      <c r="A1656" s="17">
        <v>0.65900000000000003</v>
      </c>
      <c r="B1656" s="21">
        <v>106</v>
      </c>
      <c r="C1656" s="16">
        <v>0.64800000000000002</v>
      </c>
      <c r="D1656" s="16" t="str">
        <f ca="1">PROPER(Music_Data[[#This Row],[Playlist_genre2]])</f>
        <v>Rock</v>
      </c>
      <c r="E1656" s="17">
        <v>0.53200000000000003</v>
      </c>
      <c r="F1656" t="s">
        <v>12822</v>
      </c>
      <c r="G1656">
        <v>68</v>
      </c>
      <c r="H1656" t="s">
        <v>12750</v>
      </c>
      <c r="I1656" t="s">
        <v>12828</v>
      </c>
      <c r="J1656" s="22">
        <v>37551</v>
      </c>
      <c r="K1656">
        <v>1</v>
      </c>
      <c r="L1656">
        <v>2</v>
      </c>
      <c r="M1656" s="21">
        <f ca="1">LEFT(Music_Data[[#This Row],[Duration_minutes]],3)/60</f>
        <v>3.4333333333333331</v>
      </c>
      <c r="N1656" s="17">
        <v>0.115</v>
      </c>
      <c r="O1656" s="17" t="str">
        <f ca="1">PROPER(Music_Data[[#This Row],[Playlist_subgenre2]])</f>
        <v>Spanish</v>
      </c>
    </row>
    <row r="1657" spans="1:15">
      <c r="A1657" s="17">
        <v>0.35799999999999998</v>
      </c>
      <c r="B1657" s="21">
        <v>145</v>
      </c>
      <c r="C1657" s="16">
        <v>0.71499999999999997</v>
      </c>
      <c r="D1657" s="16" t="str">
        <f ca="1">PROPER(Music_Data[[#This Row],[Playlist_genre2]])</f>
        <v>Rock</v>
      </c>
      <c r="E1657" s="17">
        <v>0.74199999999999999</v>
      </c>
      <c r="F1657" t="s">
        <v>12860</v>
      </c>
      <c r="G1657">
        <v>68</v>
      </c>
      <c r="H1657" t="s">
        <v>12750</v>
      </c>
      <c r="I1657" t="s">
        <v>12866</v>
      </c>
      <c r="J1657" s="22">
        <v>1998</v>
      </c>
      <c r="K1657">
        <v>1</v>
      </c>
      <c r="L1657">
        <v>5</v>
      </c>
      <c r="M1657" s="21">
        <f ca="1">LEFT(Music_Data[[#This Row],[Duration_minutes]],3)/60</f>
        <v>4.2333333333333334</v>
      </c>
      <c r="N1657" s="17">
        <v>0.74299999999999999</v>
      </c>
      <c r="O1657" s="17" t="str">
        <f ca="1">PROPER(Music_Data[[#This Row],[Playlist_subgenre2]])</f>
        <v>Spanish</v>
      </c>
    </row>
    <row r="1658" spans="1:15">
      <c r="A1658" s="17">
        <v>0.71499999999999997</v>
      </c>
      <c r="B1658" s="21">
        <v>840</v>
      </c>
      <c r="C1658" s="16">
        <v>0.48699999999999999</v>
      </c>
      <c r="D1658" s="16" t="str">
        <f ca="1">PROPER(Music_Data[[#This Row],[Playlist_genre2]])</f>
        <v>Rock</v>
      </c>
      <c r="E1658" s="17">
        <v>0.63800000000000001</v>
      </c>
      <c r="F1658" t="s">
        <v>12816</v>
      </c>
      <c r="G1658">
        <v>68</v>
      </c>
      <c r="H1658" t="s">
        <v>12750</v>
      </c>
      <c r="I1658" t="s">
        <v>13245</v>
      </c>
      <c r="J1658" s="22">
        <v>37257</v>
      </c>
      <c r="K1658">
        <v>1</v>
      </c>
      <c r="L1658">
        <v>7</v>
      </c>
      <c r="M1658" s="21">
        <f ca="1">LEFT(Music_Data[[#This Row],[Duration_minutes]],3)/60</f>
        <v>3.9666666666666668</v>
      </c>
      <c r="N1658" s="17">
        <v>0.29399999999999998</v>
      </c>
      <c r="O1658" s="17" t="str">
        <f ca="1">PROPER(Music_Data[[#This Row],[Playlist_subgenre2]])</f>
        <v>Spanish</v>
      </c>
    </row>
    <row r="1659" spans="1:15">
      <c r="A1659" s="17">
        <v>0.59499999999999997</v>
      </c>
      <c r="B1659" s="21">
        <v>129</v>
      </c>
      <c r="C1659" s="16">
        <v>0.51900000000000002</v>
      </c>
      <c r="D1659" s="16" t="str">
        <f ca="1">PROPER(Music_Data[[#This Row],[Playlist_genre2]])</f>
        <v>Rock</v>
      </c>
      <c r="E1659" s="17">
        <v>0.23699999999999999</v>
      </c>
      <c r="F1659" t="s">
        <v>13183</v>
      </c>
      <c r="G1659">
        <v>68</v>
      </c>
      <c r="H1659" t="s">
        <v>8930</v>
      </c>
      <c r="I1659" t="s">
        <v>9088</v>
      </c>
      <c r="J1659" s="22">
        <v>44841</v>
      </c>
      <c r="K1659">
        <v>1</v>
      </c>
      <c r="L1659">
        <v>2</v>
      </c>
      <c r="M1659" s="21">
        <f ca="1">LEFT(Music_Data[[#This Row],[Duration_minutes]],3)/60</f>
        <v>4.1166666666666663</v>
      </c>
      <c r="N1659" s="17">
        <v>1.5100000000000001E-3</v>
      </c>
      <c r="O1659" s="17" t="str">
        <f ca="1">PROPER(Music_Data[[#This Row],[Playlist_subgenre2]])</f>
        <v>Alternative</v>
      </c>
    </row>
    <row r="1660" spans="1:15">
      <c r="A1660" s="17">
        <v>0.501</v>
      </c>
      <c r="B1660" s="21">
        <v>134</v>
      </c>
      <c r="C1660" s="16">
        <v>0.78100000000000003</v>
      </c>
      <c r="D1660" s="16" t="str">
        <f ca="1">PROPER(Music_Data[[#This Row],[Playlist_genre2]])</f>
        <v>Rock</v>
      </c>
      <c r="E1660" s="17">
        <v>0.96099999999999997</v>
      </c>
      <c r="F1660" t="s">
        <v>3714</v>
      </c>
      <c r="G1660">
        <v>68</v>
      </c>
      <c r="H1660" t="s">
        <v>3520</v>
      </c>
      <c r="I1660" t="s">
        <v>3718</v>
      </c>
      <c r="J1660" s="22">
        <v>45583</v>
      </c>
      <c r="K1660">
        <v>1</v>
      </c>
      <c r="L1660">
        <v>3</v>
      </c>
      <c r="M1660" s="21">
        <f ca="1">LEFT(Music_Data[[#This Row],[Duration_minutes]],3)/60</f>
        <v>2.95</v>
      </c>
      <c r="N1660" s="17">
        <v>0.66</v>
      </c>
      <c r="O1660" s="17" t="str">
        <f ca="1">PROPER(Music_Data[[#This Row],[Playlist_subgenre2]])</f>
        <v>Feel-Good</v>
      </c>
    </row>
    <row r="1661" spans="1:15">
      <c r="A1661" s="17">
        <v>0.63200000000000001</v>
      </c>
      <c r="B1661" s="21">
        <v>140</v>
      </c>
      <c r="C1661" s="16">
        <v>0.53100000000000003</v>
      </c>
      <c r="D1661" s="16" t="str">
        <f ca="1">PROPER(Music_Data[[#This Row],[Playlist_genre2]])</f>
        <v>Rock</v>
      </c>
      <c r="E1661" s="17">
        <v>0.29399999999999998</v>
      </c>
      <c r="F1661" t="s">
        <v>3829</v>
      </c>
      <c r="G1661">
        <v>68</v>
      </c>
      <c r="H1661" t="s">
        <v>5990</v>
      </c>
      <c r="I1661" t="s">
        <v>6239</v>
      </c>
      <c r="J1661" s="22">
        <v>32223</v>
      </c>
      <c r="K1661">
        <v>1</v>
      </c>
      <c r="L1661">
        <v>6</v>
      </c>
      <c r="M1661" s="21">
        <f ca="1">LEFT(Music_Data[[#This Row],[Duration_minutes]],3)/60</f>
        <v>4.333333333333333</v>
      </c>
      <c r="N1661" s="17">
        <v>0.16</v>
      </c>
      <c r="O1661" s="17" t="str">
        <f ca="1">PROPER(Music_Data[[#This Row],[Playlist_subgenre2]])</f>
        <v>80S</v>
      </c>
    </row>
    <row r="1662" spans="1:15">
      <c r="A1662" s="17">
        <v>0.94599999999999995</v>
      </c>
      <c r="B1662" s="21">
        <v>138</v>
      </c>
      <c r="C1662" s="16">
        <v>0.45400000000000001</v>
      </c>
      <c r="D1662" s="16" t="str">
        <f ca="1">PROPER(Music_Data[[#This Row],[Playlist_genre2]])</f>
        <v>Rock</v>
      </c>
      <c r="E1662" s="17">
        <v>0.64700000000000002</v>
      </c>
      <c r="F1662" t="s">
        <v>1240</v>
      </c>
      <c r="G1662">
        <v>68</v>
      </c>
      <c r="H1662" t="s">
        <v>675</v>
      </c>
      <c r="I1662" t="s">
        <v>1247</v>
      </c>
      <c r="J1662" s="22">
        <v>28531</v>
      </c>
      <c r="K1662">
        <v>0</v>
      </c>
      <c r="L1662">
        <v>1</v>
      </c>
      <c r="M1662" s="21">
        <f ca="1">LEFT(Music_Data[[#This Row],[Duration_minutes]],3)/60</f>
        <v>2.6</v>
      </c>
      <c r="N1662" s="17">
        <v>2.23E-2</v>
      </c>
      <c r="O1662" s="17" t="str">
        <f ca="1">PROPER(Music_Data[[#This Row],[Playlist_subgenre2]])</f>
        <v>Classic</v>
      </c>
    </row>
    <row r="1663" spans="1:15">
      <c r="A1663" s="17">
        <v>0.90300000000000002</v>
      </c>
      <c r="B1663" s="21">
        <v>132</v>
      </c>
      <c r="C1663" s="16">
        <v>0.56200000000000006</v>
      </c>
      <c r="D1663" s="16" t="str">
        <f ca="1">PROPER(Music_Data[[#This Row],[Playlist_genre2]])</f>
        <v>Rock</v>
      </c>
      <c r="E1663" s="17">
        <v>0.79100000000000004</v>
      </c>
      <c r="F1663" t="s">
        <v>3472</v>
      </c>
      <c r="G1663">
        <v>68</v>
      </c>
      <c r="H1663" t="s">
        <v>3463</v>
      </c>
      <c r="I1663" t="s">
        <v>3478</v>
      </c>
      <c r="J1663" s="22">
        <v>39814</v>
      </c>
      <c r="K1663">
        <v>0</v>
      </c>
      <c r="L1663">
        <v>8</v>
      </c>
      <c r="M1663" s="21">
        <f ca="1">LEFT(Music_Data[[#This Row],[Duration_minutes]],3)/60</f>
        <v>3.6833333333333331</v>
      </c>
      <c r="N1663" s="17">
        <v>1.8699999999999999E-4</v>
      </c>
      <c r="O1663" s="17" t="str">
        <f ca="1">PROPER(Music_Data[[#This Row],[Playlist_subgenre2]])</f>
        <v>Indie</v>
      </c>
    </row>
    <row r="1664" spans="1:15">
      <c r="A1664" s="17">
        <v>0.60399999999999998</v>
      </c>
      <c r="B1664" s="21">
        <v>159</v>
      </c>
      <c r="C1664" s="16">
        <v>0.56100000000000005</v>
      </c>
      <c r="D1664" s="16" t="str">
        <f ca="1">PROPER(Music_Data[[#This Row],[Playlist_genre2]])</f>
        <v>Soul</v>
      </c>
      <c r="E1664" s="17">
        <v>0.24199999999999999</v>
      </c>
      <c r="F1664" t="s">
        <v>516</v>
      </c>
      <c r="G1664">
        <v>81</v>
      </c>
      <c r="H1664" t="s">
        <v>4795</v>
      </c>
      <c r="I1664" t="s">
        <v>523</v>
      </c>
      <c r="J1664" s="22">
        <v>45100</v>
      </c>
      <c r="K1664">
        <v>1</v>
      </c>
      <c r="L1664">
        <v>9</v>
      </c>
      <c r="M1664" s="21">
        <f ca="1">LEFT(Music_Data[[#This Row],[Duration_minutes]],3)/60</f>
        <v>3.5</v>
      </c>
      <c r="N1664" s="17">
        <v>0.19900000000000001</v>
      </c>
      <c r="O1664" s="17" t="str">
        <f ca="1">PROPER(Music_Data[[#This Row],[Playlist_subgenre2]])</f>
        <v>Classic</v>
      </c>
    </row>
    <row r="1665" spans="1:15">
      <c r="A1665" s="17">
        <v>0.47299999999999998</v>
      </c>
      <c r="B1665" s="21">
        <v>152</v>
      </c>
      <c r="C1665" s="16">
        <v>0.59099999999999997</v>
      </c>
      <c r="D1665" s="16" t="str">
        <f ca="1">PROPER(Music_Data[[#This Row],[Playlist_genre2]])</f>
        <v>Soul</v>
      </c>
      <c r="E1665" s="17">
        <v>0.45100000000000001</v>
      </c>
      <c r="F1665" t="s">
        <v>4801</v>
      </c>
      <c r="G1665">
        <v>70</v>
      </c>
      <c r="H1665" t="s">
        <v>4795</v>
      </c>
      <c r="I1665" t="s">
        <v>4807</v>
      </c>
      <c r="J1665" s="22">
        <v>45023</v>
      </c>
      <c r="K1665">
        <v>0</v>
      </c>
      <c r="L1665">
        <v>7</v>
      </c>
      <c r="M1665" s="21">
        <f ca="1">LEFT(Music_Data[[#This Row],[Duration_minutes]],3)/60</f>
        <v>3.6</v>
      </c>
      <c r="N1665" s="17">
        <v>0.69399999999999995</v>
      </c>
      <c r="O1665" s="17" t="str">
        <f ca="1">PROPER(Music_Data[[#This Row],[Playlist_subgenre2]])</f>
        <v>Classic</v>
      </c>
    </row>
    <row r="1666" spans="1:15">
      <c r="A1666" s="17">
        <v>0.32700000000000001</v>
      </c>
      <c r="B1666" s="21">
        <v>900</v>
      </c>
      <c r="C1666" s="16">
        <v>0.70699999999999996</v>
      </c>
      <c r="D1666" s="16" t="str">
        <f ca="1">PROPER(Music_Data[[#This Row],[Playlist_genre2]])</f>
        <v>Turkish</v>
      </c>
      <c r="E1666" s="17">
        <v>0.18099999999999999</v>
      </c>
      <c r="F1666" t="s">
        <v>11431</v>
      </c>
      <c r="G1666">
        <v>75</v>
      </c>
      <c r="H1666" t="s">
        <v>11435</v>
      </c>
      <c r="I1666" t="s">
        <v>11438</v>
      </c>
      <c r="J1666" s="22">
        <v>45513</v>
      </c>
      <c r="K1666">
        <v>0</v>
      </c>
      <c r="L1666">
        <v>0</v>
      </c>
      <c r="M1666" s="21">
        <f ca="1">LEFT(Music_Data[[#This Row],[Duration_minutes]],3)/60</f>
        <v>2.9333333333333331</v>
      </c>
      <c r="N1666" s="17">
        <v>0.185</v>
      </c>
      <c r="O1666" s="17" t="str">
        <f ca="1">PROPER(Music_Data[[#This Row],[Playlist_subgenre2]])</f>
        <v>Pop</v>
      </c>
    </row>
    <row r="1667" spans="1:15">
      <c r="A1667" s="17">
        <v>0.72899999999999998</v>
      </c>
      <c r="B1667" s="21">
        <v>980</v>
      </c>
      <c r="C1667" s="16">
        <v>0.629</v>
      </c>
      <c r="D1667" s="16" t="str">
        <f ca="1">PROPER(Music_Data[[#This Row],[Playlist_genre2]])</f>
        <v>Turkish</v>
      </c>
      <c r="E1667" s="17">
        <v>0.42699999999999999</v>
      </c>
      <c r="F1667" t="s">
        <v>11431</v>
      </c>
      <c r="G1667">
        <v>75</v>
      </c>
      <c r="H1667" t="s">
        <v>11435</v>
      </c>
      <c r="I1667" t="s">
        <v>11434</v>
      </c>
      <c r="J1667" s="22">
        <v>45513</v>
      </c>
      <c r="K1667">
        <v>0</v>
      </c>
      <c r="L1667">
        <v>7</v>
      </c>
      <c r="M1667" s="21">
        <f ca="1">LEFT(Music_Data[[#This Row],[Duration_minutes]],3)/60</f>
        <v>2.5666666666666669</v>
      </c>
      <c r="N1667" s="17">
        <v>0.43099999999999999</v>
      </c>
      <c r="O1667" s="17" t="str">
        <f ca="1">PROPER(Music_Data[[#This Row],[Playlist_subgenre2]])</f>
        <v>Pop</v>
      </c>
    </row>
    <row r="1668" spans="1:15">
      <c r="A1668" s="17">
        <v>0.91400000000000003</v>
      </c>
      <c r="B1668" s="21">
        <v>108</v>
      </c>
      <c r="C1668" s="16">
        <v>0.72599999999999998</v>
      </c>
      <c r="D1668" s="16" t="str">
        <f ca="1">PROPER(Music_Data[[#This Row],[Playlist_genre2]])</f>
        <v>Turkish</v>
      </c>
      <c r="E1668" s="17">
        <v>0.83899999999999997</v>
      </c>
      <c r="F1668" t="s">
        <v>11460</v>
      </c>
      <c r="G1668">
        <v>74</v>
      </c>
      <c r="H1668" t="s">
        <v>11435</v>
      </c>
      <c r="I1668" t="s">
        <v>11463</v>
      </c>
      <c r="J1668" s="22">
        <v>45464</v>
      </c>
      <c r="K1668">
        <v>1</v>
      </c>
      <c r="L1668">
        <v>7</v>
      </c>
      <c r="M1668" s="21">
        <f ca="1">LEFT(Music_Data[[#This Row],[Duration_minutes]],3)/60</f>
        <v>3.0166666666666666</v>
      </c>
      <c r="N1668" s="17">
        <v>7.5800000000000006E-2</v>
      </c>
      <c r="O1668" s="17" t="str">
        <f ca="1">PROPER(Music_Data[[#This Row],[Playlist_subgenre2]])</f>
        <v>Pop</v>
      </c>
    </row>
    <row r="1669" spans="1:15">
      <c r="A1669" s="17">
        <v>0.60599999999999998</v>
      </c>
      <c r="B1669" s="21">
        <v>950</v>
      </c>
      <c r="C1669" s="16">
        <v>0.83099999999999996</v>
      </c>
      <c r="D1669" s="16" t="str">
        <f ca="1">PROPER(Music_Data[[#This Row],[Playlist_genre2]])</f>
        <v>Turkish</v>
      </c>
      <c r="E1669" s="17">
        <v>0.88300000000000001</v>
      </c>
      <c r="F1669" t="s">
        <v>11452</v>
      </c>
      <c r="G1669">
        <v>72</v>
      </c>
      <c r="H1669" t="s">
        <v>11435</v>
      </c>
      <c r="I1669" t="s">
        <v>11455</v>
      </c>
      <c r="J1669" s="22">
        <v>45457</v>
      </c>
      <c r="K1669">
        <v>0</v>
      </c>
      <c r="L1669">
        <v>8</v>
      </c>
      <c r="M1669" s="21">
        <f ca="1">LEFT(Music_Data[[#This Row],[Duration_minutes]],3)/60</f>
        <v>2.4333333333333331</v>
      </c>
      <c r="N1669" s="17">
        <v>0.68400000000000005</v>
      </c>
      <c r="O1669" s="17" t="str">
        <f ca="1">PROPER(Music_Data[[#This Row],[Playlist_subgenre2]])</f>
        <v>Pop</v>
      </c>
    </row>
    <row r="1670" spans="1:15">
      <c r="A1670" s="17">
        <v>0.65600000000000003</v>
      </c>
      <c r="B1670" s="21">
        <v>120</v>
      </c>
      <c r="C1670" s="16">
        <v>0.68500000000000005</v>
      </c>
      <c r="D1670" s="16" t="str">
        <f ca="1">PROPER(Music_Data[[#This Row],[Playlist_genre2]])</f>
        <v>Turkish</v>
      </c>
      <c r="E1670" s="17">
        <v>0.55600000000000005</v>
      </c>
      <c r="F1670" t="s">
        <v>11431</v>
      </c>
      <c r="G1670">
        <v>70</v>
      </c>
      <c r="H1670" t="s">
        <v>11435</v>
      </c>
      <c r="I1670" t="s">
        <v>11450</v>
      </c>
      <c r="J1670" s="22">
        <v>45513</v>
      </c>
      <c r="K1670">
        <v>0</v>
      </c>
      <c r="L1670">
        <v>7</v>
      </c>
      <c r="M1670" s="21">
        <f ca="1">LEFT(Music_Data[[#This Row],[Duration_minutes]],3)/60</f>
        <v>2.8666666666666667</v>
      </c>
      <c r="N1670" s="17">
        <v>0.70199999999999996</v>
      </c>
      <c r="O1670" s="17" t="str">
        <f ca="1">PROPER(Music_Data[[#This Row],[Playlist_subgenre2]])</f>
        <v>Pop</v>
      </c>
    </row>
    <row r="1671" spans="1:15">
      <c r="A1671" s="17">
        <v>0.622</v>
      </c>
      <c r="B1671" s="21">
        <v>204</v>
      </c>
      <c r="C1671" s="16">
        <v>0.40600000000000003</v>
      </c>
      <c r="D1671" s="16" t="str">
        <f ca="1">PROPER(Music_Data[[#This Row],[Playlist_genre2]])</f>
        <v>Turkish</v>
      </c>
      <c r="E1671" s="17">
        <v>0.56699999999999995</v>
      </c>
      <c r="F1671" t="s">
        <v>11476</v>
      </c>
      <c r="G1671">
        <v>69</v>
      </c>
      <c r="H1671" t="s">
        <v>11435</v>
      </c>
      <c r="I1671" t="s">
        <v>11479</v>
      </c>
      <c r="J1671" s="22">
        <v>45359</v>
      </c>
      <c r="K1671">
        <v>0</v>
      </c>
      <c r="L1671">
        <v>3</v>
      </c>
      <c r="M1671" s="21">
        <f ca="1">LEFT(Music_Data[[#This Row],[Duration_minutes]],3)/60</f>
        <v>3.2666666666666666</v>
      </c>
      <c r="N1671" s="17">
        <v>0.497</v>
      </c>
      <c r="O1671" s="17" t="str">
        <f ca="1">PROPER(Music_Data[[#This Row],[Playlist_subgenre2]])</f>
        <v>Pop</v>
      </c>
    </row>
    <row r="1672" spans="1:15">
      <c r="A1672" s="17">
        <v>0.32100000000000001</v>
      </c>
      <c r="B1672" s="21">
        <v>110</v>
      </c>
      <c r="C1672" s="16">
        <v>0.68</v>
      </c>
      <c r="D1672" s="16" t="str">
        <f ca="1">PROPER(Music_Data[[#This Row],[Playlist_genre2]])</f>
        <v>World</v>
      </c>
      <c r="E1672" s="17">
        <v>0.41599999999999998</v>
      </c>
      <c r="F1672" t="s">
        <v>13196</v>
      </c>
      <c r="G1672">
        <v>77</v>
      </c>
      <c r="H1672" t="s">
        <v>12362</v>
      </c>
      <c r="I1672" t="s">
        <v>12375</v>
      </c>
      <c r="J1672" s="22">
        <v>42657</v>
      </c>
      <c r="K1672">
        <v>1</v>
      </c>
      <c r="L1672">
        <v>5</v>
      </c>
      <c r="M1672" s="21">
        <f ca="1">LEFT(Music_Data[[#This Row],[Duration_minutes]],3)/60</f>
        <v>3.5833333333333335</v>
      </c>
      <c r="N1672" s="17">
        <v>0.79100000000000004</v>
      </c>
      <c r="O1672" s="17" t="str">
        <f ca="1">PROPER(Music_Data[[#This Row],[Playlist_subgenre2]])</f>
        <v>Throat Singing</v>
      </c>
    </row>
    <row r="1673" spans="1:15">
      <c r="A1673" s="17">
        <v>0.499</v>
      </c>
      <c r="B1673" s="21">
        <v>939</v>
      </c>
      <c r="C1673" s="16">
        <v>0.79600000000000004</v>
      </c>
      <c r="D1673" s="16" t="str">
        <f ca="1">PROPER(Music_Data[[#This Row],[Playlist_genre2]])</f>
        <v>World</v>
      </c>
      <c r="E1673" s="17">
        <v>0.79800000000000004</v>
      </c>
      <c r="F1673" t="s">
        <v>13197</v>
      </c>
      <c r="G1673">
        <v>71</v>
      </c>
      <c r="H1673" t="s">
        <v>12362</v>
      </c>
      <c r="I1673" t="s">
        <v>12385</v>
      </c>
      <c r="J1673" s="22">
        <v>43259</v>
      </c>
      <c r="K1673">
        <v>0</v>
      </c>
      <c r="L1673">
        <v>2</v>
      </c>
      <c r="M1673" s="21">
        <f ca="1">LEFT(Music_Data[[#This Row],[Duration_minutes]],3)/60</f>
        <v>4.4333333333333336</v>
      </c>
      <c r="N1673" s="17">
        <v>0.39200000000000002</v>
      </c>
      <c r="O1673" s="17" t="str">
        <f ca="1">PROPER(Music_Data[[#This Row],[Playlist_subgenre2]])</f>
        <v>Throat Singing</v>
      </c>
    </row>
    <row r="1674" spans="1:15">
      <c r="A1674" s="17">
        <v>0.64500000000000002</v>
      </c>
      <c r="B1674" s="21">
        <v>850</v>
      </c>
      <c r="C1674" s="16">
        <v>0.71399999999999997</v>
      </c>
      <c r="D1674" s="16" t="str">
        <f ca="1">PROPER(Music_Data[[#This Row],[Playlist_genre2]])</f>
        <v>World</v>
      </c>
      <c r="E1674" s="17">
        <v>0.434</v>
      </c>
      <c r="F1674" t="s">
        <v>2907</v>
      </c>
      <c r="G1674">
        <v>70</v>
      </c>
      <c r="H1674" t="s">
        <v>12362</v>
      </c>
      <c r="I1674" t="s">
        <v>12365</v>
      </c>
      <c r="J1674" s="22">
        <v>44687</v>
      </c>
      <c r="K1674">
        <v>1</v>
      </c>
      <c r="L1674">
        <v>10</v>
      </c>
      <c r="M1674" s="21">
        <f ca="1">LEFT(Music_Data[[#This Row],[Duration_minutes]],3)/60</f>
        <v>3</v>
      </c>
      <c r="N1674" s="17">
        <v>0.22900000000000001</v>
      </c>
      <c r="O1674" s="17" t="str">
        <f ca="1">PROPER(Music_Data[[#This Row],[Playlist_subgenre2]])</f>
        <v>Throat Singing</v>
      </c>
    </row>
    <row r="1675" spans="1:15">
      <c r="A1675" s="17">
        <v>0.58799999999999997</v>
      </c>
      <c r="B1675" s="21">
        <v>799</v>
      </c>
      <c r="C1675" s="16">
        <v>0.67500000000000004</v>
      </c>
      <c r="D1675" s="16" t="str">
        <f ca="1">PROPER(Music_Data[[#This Row],[Playlist_genre2]])</f>
        <v>World</v>
      </c>
      <c r="E1675" s="17">
        <v>0.879</v>
      </c>
      <c r="F1675" t="s">
        <v>12387</v>
      </c>
      <c r="G1675">
        <v>69</v>
      </c>
      <c r="H1675" t="s">
        <v>12362</v>
      </c>
      <c r="I1675" t="s">
        <v>12393</v>
      </c>
      <c r="J1675" s="22">
        <v>40504</v>
      </c>
      <c r="K1675">
        <v>1</v>
      </c>
      <c r="L1675">
        <v>3</v>
      </c>
      <c r="M1675" s="21">
        <f ca="1">LEFT(Music_Data[[#This Row],[Duration_minutes]],3)/60</f>
        <v>3.15</v>
      </c>
      <c r="N1675" s="17">
        <v>0.78900000000000003</v>
      </c>
      <c r="O1675" s="17" t="str">
        <f ca="1">PROPER(Music_Data[[#This Row],[Playlist_subgenre2]])</f>
        <v>Throat Singing</v>
      </c>
    </row>
    <row r="1676" spans="1:15"/>
    <row r="1677" spans="1:15"/>
    <row r="1678" spans="1:15"/>
    <row r="1679" spans="1:15"/>
    <row r="1680" spans="1:15"/>
    <row r="1681"/>
    <row r="1682"/>
    <row r="1683"/>
    <row r="1685"/>
    <row r="1686"/>
    <row r="1687"/>
    <row r="1688"/>
  </sheetData>
  <phoneticPr fontId="10" type="noConversion"/>
  <dataValidations count="6">
    <dataValidation type="whole" allowBlank="1" showInputMessage="1" showErrorMessage="1" sqref="A2:A1675 C2:C1675 E2:E1675 G2:G1675 N2:N1675" xr:uid="{63C6E1AF-3C16-F844-A1FE-59097A481AEC}">
      <formula1>0</formula1>
      <formula2>100</formula2>
    </dataValidation>
    <dataValidation type="whole" allowBlank="1" showInputMessage="1" showErrorMessage="1" sqref="B2:B1675" xr:uid="{14991A28-EE96-0840-8F83-29C83B70D216}">
      <formula1>50</formula1>
      <formula2>300</formula2>
    </dataValidation>
    <dataValidation type="date" allowBlank="1" showInputMessage="1" showErrorMessage="1" sqref="J2:J1675" xr:uid="{81280461-F708-D941-B3CA-A5A5417732A1}">
      <formula1>1</formula1>
      <formula2>45658</formula2>
    </dataValidation>
    <dataValidation type="whole" allowBlank="1" showInputMessage="1" showErrorMessage="1" sqref="K2:K1675" xr:uid="{8C2C740D-2DD7-B449-BDC8-E44CEB5EB747}">
      <formula1>0</formula1>
      <formula2>1</formula2>
    </dataValidation>
    <dataValidation type="whole" allowBlank="1" showInputMessage="1" showErrorMessage="1" sqref="L2:L1675" xr:uid="{293C1B39-F18A-4944-802D-6DE1CF2FE256}">
      <formula1>0</formula1>
      <formula2>11</formula2>
    </dataValidation>
    <dataValidation type="whole" allowBlank="1" showInputMessage="1" showErrorMessage="1" sqref="M2:M1675" xr:uid="{DF5CA75C-6768-8C4D-A108-446C4EF316AC}">
      <formula1>0</formula1>
      <formula2>10</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B2F2245D-CEFB-7D47-9899-C5BD2E320A37}">
          <x14:formula1>
            <xm:f>Anexas!$B$2:$B$54</xm:f>
          </x14:formula1>
          <xm:sqref>O2:O1675</xm:sqref>
        </x14:dataValidation>
        <x14:dataValidation type="list" allowBlank="1" showInputMessage="1" showErrorMessage="1" xr:uid="{F62627BD-9E59-4343-AA80-B1FFA6CDC4C5}">
          <x14:formula1>
            <xm:f>Anexas!$J$2:$J$74</xm:f>
          </x14:formula1>
          <xm:sqref>H2:H1675</xm:sqref>
        </x14:dataValidation>
        <x14:dataValidation type="list" allowBlank="1" showInputMessage="1" showErrorMessage="1" xr:uid="{98FF934D-5545-2C40-9F42-61A8FD8D2D39}">
          <x14:formula1>
            <xm:f>Anexas!$O$7:$O$34</xm:f>
          </x14:formula1>
          <xm:sqref>D2:D1675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BBE1A-C29D-5F43-98D5-F05F2F84B303}">
  <dimension ref="A1:AB92"/>
  <sheetViews>
    <sheetView tabSelected="1" zoomScale="82" zoomScaleNormal="100" workbookViewId="0">
      <selection activeCell="T2" sqref="T2:U2"/>
    </sheetView>
  </sheetViews>
  <sheetFormatPr baseColWidth="10" defaultRowHeight="16"/>
  <cols>
    <col min="1" max="2" width="10.83203125" style="62"/>
    <col min="3" max="3" width="33.83203125" style="62" customWidth="1"/>
    <col min="4" max="4" width="18" style="62" customWidth="1"/>
    <col min="5" max="18" width="10.83203125" style="62"/>
    <col min="19" max="19" width="34.33203125" style="62" customWidth="1"/>
    <col min="20" max="20" width="20.1640625" style="62" customWidth="1"/>
    <col min="21" max="16384" width="10.83203125" style="62"/>
  </cols>
  <sheetData>
    <row r="1" spans="1:27" ht="27">
      <c r="A1" s="73" t="s">
        <v>13272</v>
      </c>
      <c r="B1" s="73"/>
      <c r="C1" s="73"/>
      <c r="D1" s="73"/>
      <c r="E1" s="73"/>
      <c r="F1" s="73"/>
      <c r="G1" s="73"/>
      <c r="H1" s="73"/>
      <c r="I1" s="73"/>
      <c r="J1" s="73"/>
      <c r="K1" s="73"/>
      <c r="L1" s="73"/>
      <c r="M1" s="73"/>
      <c r="N1" s="73"/>
      <c r="O1" s="73"/>
      <c r="P1" s="73"/>
      <c r="Q1" s="73"/>
      <c r="R1" s="73"/>
      <c r="S1" s="61"/>
      <c r="T1" s="61"/>
      <c r="U1" s="61"/>
      <c r="V1" s="61"/>
      <c r="W1" s="61"/>
      <c r="X1" s="61"/>
      <c r="Y1" s="61"/>
      <c r="Z1" s="61"/>
      <c r="AA1" s="61"/>
    </row>
    <row r="2" spans="1:27" ht="27" customHeight="1">
      <c r="A2" s="74" t="s">
        <v>13274</v>
      </c>
      <c r="B2" s="74"/>
      <c r="C2" s="74"/>
      <c r="D2" s="74"/>
      <c r="E2" s="74"/>
      <c r="F2" s="74"/>
      <c r="G2" s="74"/>
      <c r="H2" s="74"/>
      <c r="I2" s="74"/>
      <c r="J2" s="74"/>
      <c r="K2" s="74"/>
      <c r="L2" s="74"/>
      <c r="M2" s="74"/>
      <c r="N2" s="74"/>
      <c r="O2" s="74"/>
      <c r="P2" s="74"/>
      <c r="Q2" s="74"/>
      <c r="R2" s="74"/>
      <c r="T2" s="78" t="s">
        <v>13296</v>
      </c>
      <c r="U2" s="78"/>
    </row>
    <row r="3" spans="1:27" ht="27" customHeight="1">
      <c r="A3" s="74"/>
      <c r="B3" s="74"/>
      <c r="C3" s="74"/>
      <c r="D3" s="74"/>
      <c r="E3" s="74"/>
      <c r="F3" s="74"/>
      <c r="G3" s="74"/>
      <c r="H3" s="74"/>
      <c r="I3" s="74"/>
      <c r="J3" s="74"/>
      <c r="K3" s="74"/>
      <c r="L3" s="74"/>
      <c r="M3" s="74"/>
      <c r="N3" s="74"/>
      <c r="O3" s="74"/>
      <c r="P3" s="74"/>
      <c r="Q3" s="74"/>
      <c r="R3" s="74"/>
    </row>
    <row r="4" spans="1:27" ht="27" customHeight="1">
      <c r="A4" s="74"/>
      <c r="B4" s="74"/>
      <c r="C4" s="74"/>
      <c r="D4" s="74"/>
      <c r="E4" s="74"/>
      <c r="F4" s="74"/>
      <c r="G4" s="74"/>
      <c r="H4" s="74"/>
      <c r="I4" s="74"/>
      <c r="J4" s="74"/>
      <c r="K4" s="74"/>
      <c r="L4" s="74"/>
      <c r="M4" s="74"/>
      <c r="N4" s="74"/>
      <c r="O4" s="74"/>
      <c r="P4" s="74"/>
      <c r="Q4" s="74"/>
      <c r="R4" s="74"/>
      <c r="S4" s="63"/>
    </row>
    <row r="5" spans="1:27" ht="27" customHeight="1">
      <c r="A5" s="74"/>
      <c r="B5" s="74"/>
      <c r="C5" s="74"/>
      <c r="D5" s="74"/>
      <c r="E5" s="74"/>
      <c r="F5" s="74"/>
      <c r="G5" s="74"/>
      <c r="H5" s="74"/>
      <c r="I5" s="74"/>
      <c r="J5" s="74"/>
      <c r="K5" s="74"/>
      <c r="L5" s="74"/>
      <c r="M5" s="74"/>
      <c r="N5" s="74"/>
      <c r="O5" s="74"/>
      <c r="P5" s="74"/>
      <c r="Q5" s="74"/>
      <c r="R5" s="74"/>
      <c r="S5" s="63"/>
    </row>
    <row r="6" spans="1:27" ht="27" customHeight="1">
      <c r="S6" s="63"/>
    </row>
    <row r="7" spans="1:27">
      <c r="S7" s="76" t="s">
        <v>13224</v>
      </c>
    </row>
    <row r="8" spans="1:27" ht="16" customHeight="1">
      <c r="S8" s="76"/>
    </row>
    <row r="9" spans="1:27" ht="16" customHeight="1">
      <c r="S9" s="77" t="s">
        <v>13292</v>
      </c>
    </row>
    <row r="10" spans="1:27" ht="16" customHeight="1">
      <c r="S10" s="77"/>
    </row>
    <row r="11" spans="1:27" ht="16" customHeight="1">
      <c r="S11" s="77"/>
    </row>
    <row r="12" spans="1:27" ht="16" customHeight="1">
      <c r="S12" s="77" t="s">
        <v>13293</v>
      </c>
    </row>
    <row r="13" spans="1:27" ht="16" customHeight="1">
      <c r="S13" s="77"/>
    </row>
    <row r="14" spans="1:27" ht="16" customHeight="1">
      <c r="S14" s="77" t="s">
        <v>13221</v>
      </c>
    </row>
    <row r="15" spans="1:27" ht="16" customHeight="1">
      <c r="S15" s="77"/>
    </row>
    <row r="16" spans="1:27" ht="16" customHeight="1">
      <c r="S16" s="77"/>
    </row>
    <row r="17" spans="19:19" ht="16" customHeight="1"/>
    <row r="18" spans="19:19" ht="16" customHeight="1"/>
    <row r="19" spans="19:19" ht="24" customHeight="1"/>
    <row r="20" spans="19:19" ht="19" customHeight="1">
      <c r="S20" s="75" t="s">
        <v>13290</v>
      </c>
    </row>
    <row r="21" spans="19:19" ht="24" customHeight="1">
      <c r="S21" s="75"/>
    </row>
    <row r="22" spans="19:19" ht="16" customHeight="1">
      <c r="S22" s="75" t="s">
        <v>13291</v>
      </c>
    </row>
    <row r="23" spans="19:19" ht="16" customHeight="1">
      <c r="S23" s="75"/>
    </row>
    <row r="24" spans="19:19" ht="16" customHeight="1">
      <c r="S24" s="75"/>
    </row>
    <row r="25" spans="19:19" ht="16" customHeight="1">
      <c r="S25" s="75" t="s">
        <v>13294</v>
      </c>
    </row>
    <row r="26" spans="19:19" ht="16" customHeight="1">
      <c r="S26" s="75"/>
    </row>
    <row r="27" spans="19:19" ht="16" customHeight="1">
      <c r="S27" s="75"/>
    </row>
    <row r="28" spans="19:19" ht="16" customHeight="1"/>
    <row r="29" spans="19:19" ht="16" customHeight="1"/>
    <row r="30" spans="19:19" ht="16" customHeight="1"/>
    <row r="31" spans="19:19" ht="16" customHeight="1"/>
    <row r="32" spans="19:19" ht="16" customHeight="1"/>
    <row r="33" spans="1:19" ht="16" customHeight="1"/>
    <row r="34" spans="1:19" ht="16" customHeight="1"/>
    <row r="35" spans="1:19" ht="16" customHeight="1"/>
    <row r="36" spans="1:19" ht="16" customHeight="1">
      <c r="A36" s="64"/>
      <c r="B36" s="64"/>
      <c r="C36" s="64"/>
      <c r="D36" s="64"/>
      <c r="E36" s="64"/>
    </row>
    <row r="37" spans="1:19" ht="16" customHeight="1">
      <c r="A37" s="64"/>
      <c r="B37" s="64"/>
      <c r="C37" s="64"/>
      <c r="D37" s="64"/>
      <c r="E37" s="64"/>
    </row>
    <row r="38" spans="1:19" ht="16" customHeight="1">
      <c r="A38" s="64"/>
      <c r="B38" s="64"/>
      <c r="C38" s="64"/>
      <c r="D38" s="64"/>
      <c r="E38" s="64"/>
      <c r="S38" s="65"/>
    </row>
    <row r="44" spans="1:19" ht="16" customHeight="1"/>
    <row r="45" spans="1:19" ht="16" customHeight="1">
      <c r="A45" s="66"/>
    </row>
    <row r="46" spans="1:19" ht="16" customHeight="1"/>
    <row r="47" spans="1:19" ht="16" customHeight="1"/>
    <row r="48" spans="1:19" ht="16" customHeight="1"/>
    <row r="49" spans="18:28" ht="16" customHeight="1"/>
    <row r="50" spans="18:28" ht="16" customHeight="1"/>
    <row r="51" spans="18:28" ht="16" customHeight="1"/>
    <row r="52" spans="18:28" ht="16" customHeight="1"/>
    <row r="53" spans="18:28" ht="16" customHeight="1"/>
    <row r="54" spans="18:28" ht="16" customHeight="1"/>
    <row r="55" spans="18:28" ht="16" customHeight="1"/>
    <row r="56" spans="18:28" ht="16" customHeight="1"/>
    <row r="60" spans="18:28">
      <c r="R60" s="72"/>
      <c r="S60" s="72"/>
      <c r="T60" s="72"/>
      <c r="U60" s="72"/>
      <c r="V60" s="72"/>
      <c r="W60" s="72"/>
      <c r="X60" s="72"/>
      <c r="Y60" s="72"/>
      <c r="Z60" s="72"/>
      <c r="AA60" s="72"/>
      <c r="AB60" s="72"/>
    </row>
    <row r="61" spans="18:28">
      <c r="R61" s="72"/>
      <c r="S61" s="72"/>
      <c r="T61" s="72"/>
      <c r="U61" s="72"/>
      <c r="V61" s="72"/>
      <c r="W61" s="72"/>
      <c r="X61" s="72"/>
      <c r="Y61" s="72"/>
      <c r="Z61" s="72"/>
      <c r="AA61" s="72"/>
      <c r="AB61" s="72"/>
    </row>
    <row r="62" spans="18:28">
      <c r="R62" s="72"/>
      <c r="S62" s="72"/>
      <c r="T62" s="72"/>
      <c r="U62" s="72"/>
      <c r="V62" s="72"/>
      <c r="W62" s="72"/>
      <c r="X62" s="72"/>
      <c r="Y62" s="72"/>
      <c r="Z62" s="72"/>
      <c r="AA62" s="72"/>
      <c r="AB62" s="72"/>
    </row>
    <row r="63" spans="18:28">
      <c r="R63" s="72"/>
      <c r="S63" s="72"/>
      <c r="T63" s="72"/>
      <c r="U63" s="72"/>
      <c r="V63" s="72"/>
      <c r="W63" s="72"/>
      <c r="X63" s="72"/>
      <c r="Y63" s="72"/>
      <c r="Z63" s="72"/>
      <c r="AA63" s="72"/>
      <c r="AB63" s="72"/>
    </row>
    <row r="64" spans="18:28">
      <c r="R64" s="72"/>
      <c r="S64" s="72"/>
      <c r="T64" s="72"/>
      <c r="U64" s="72"/>
      <c r="V64" s="72"/>
      <c r="W64" s="72"/>
      <c r="X64" s="72"/>
      <c r="Y64" s="72"/>
      <c r="Z64" s="72"/>
      <c r="AA64" s="72"/>
      <c r="AB64" s="72"/>
    </row>
    <row r="65" spans="18:28">
      <c r="R65" s="72"/>
      <c r="S65" s="72"/>
      <c r="T65" s="72"/>
      <c r="U65" s="72"/>
      <c r="V65" s="72"/>
      <c r="W65" s="72"/>
      <c r="X65" s="72"/>
      <c r="Y65" s="72"/>
      <c r="Z65" s="72"/>
      <c r="AA65" s="72"/>
      <c r="AB65" s="72"/>
    </row>
    <row r="66" spans="18:28">
      <c r="R66" s="72"/>
      <c r="S66" s="72"/>
      <c r="T66" s="72"/>
      <c r="U66" s="72"/>
      <c r="V66" s="72"/>
      <c r="W66" s="72"/>
      <c r="X66" s="72"/>
      <c r="Y66" s="72"/>
      <c r="Z66" s="72"/>
      <c r="AA66" s="72"/>
      <c r="AB66" s="72"/>
    </row>
    <row r="67" spans="18:28">
      <c r="R67" s="72"/>
      <c r="S67" s="72"/>
      <c r="T67" s="72"/>
      <c r="U67" s="72"/>
      <c r="V67" s="72"/>
      <c r="W67" s="72"/>
      <c r="X67" s="72"/>
      <c r="Y67" s="72"/>
      <c r="Z67" s="72"/>
      <c r="AA67" s="72"/>
      <c r="AB67" s="72"/>
    </row>
    <row r="71" spans="18:28">
      <c r="R71" s="71"/>
      <c r="S71" s="71"/>
      <c r="T71" s="71"/>
      <c r="U71" s="71"/>
      <c r="V71" s="71"/>
      <c r="W71" s="71"/>
      <c r="X71" s="71"/>
      <c r="Y71" s="71"/>
      <c r="Z71" s="71"/>
      <c r="AA71" s="71"/>
      <c r="AB71" s="71"/>
    </row>
    <row r="72" spans="18:28">
      <c r="R72" s="71"/>
      <c r="S72" s="71"/>
      <c r="T72" s="71"/>
      <c r="U72" s="71"/>
      <c r="V72" s="71"/>
      <c r="W72" s="71"/>
      <c r="X72" s="71"/>
      <c r="Y72" s="71"/>
      <c r="Z72" s="71"/>
      <c r="AA72" s="71"/>
      <c r="AB72" s="71"/>
    </row>
    <row r="73" spans="18:28">
      <c r="R73" s="71"/>
      <c r="S73" s="71"/>
      <c r="T73" s="71"/>
      <c r="U73" s="71"/>
      <c r="V73" s="71"/>
      <c r="W73" s="71"/>
      <c r="X73" s="71"/>
      <c r="Y73" s="71"/>
      <c r="Z73" s="71"/>
      <c r="AA73" s="71"/>
      <c r="AB73" s="71"/>
    </row>
    <row r="74" spans="18:28">
      <c r="R74" s="71"/>
      <c r="S74" s="71"/>
      <c r="T74" s="71"/>
      <c r="U74" s="71"/>
      <c r="V74" s="71"/>
      <c r="W74" s="71"/>
      <c r="X74" s="71"/>
      <c r="Y74" s="71"/>
      <c r="Z74" s="71"/>
      <c r="AA74" s="71"/>
      <c r="AB74" s="71"/>
    </row>
    <row r="75" spans="18:28">
      <c r="R75" s="71"/>
      <c r="S75" s="71"/>
      <c r="T75" s="71"/>
      <c r="U75" s="71"/>
      <c r="V75" s="71"/>
      <c r="W75" s="71"/>
      <c r="X75" s="71"/>
      <c r="Y75" s="71"/>
      <c r="Z75" s="71"/>
      <c r="AA75" s="71"/>
      <c r="AB75" s="71"/>
    </row>
    <row r="76" spans="18:28">
      <c r="R76" s="71"/>
      <c r="S76" s="71"/>
      <c r="T76" s="71"/>
      <c r="U76" s="71"/>
      <c r="V76" s="71"/>
      <c r="W76" s="71"/>
      <c r="X76" s="71"/>
      <c r="Y76" s="71"/>
      <c r="Z76" s="71"/>
      <c r="AA76" s="71"/>
      <c r="AB76" s="71"/>
    </row>
    <row r="77" spans="18:28">
      <c r="R77" s="71"/>
      <c r="S77" s="71"/>
      <c r="T77" s="71"/>
      <c r="U77" s="71"/>
      <c r="V77" s="71"/>
      <c r="W77" s="71"/>
      <c r="X77" s="71"/>
      <c r="Y77" s="71"/>
      <c r="Z77" s="71"/>
      <c r="AA77" s="71"/>
      <c r="AB77" s="71"/>
    </row>
    <row r="81" s="62" customFormat="1" ht="16" customHeight="1"/>
    <row r="82" s="62" customFormat="1" ht="16" customHeight="1"/>
    <row r="83" s="62" customFormat="1" ht="16" customHeight="1"/>
    <row r="84" s="62" customFormat="1" ht="16" customHeight="1"/>
    <row r="85" s="62" customFormat="1" ht="16" customHeight="1"/>
    <row r="86" s="62" customFormat="1" ht="16" customHeight="1"/>
    <row r="87" s="62" customFormat="1" ht="16" customHeight="1"/>
    <row r="88" s="62" customFormat="1" ht="16" customHeight="1"/>
    <row r="89" s="62" customFormat="1" ht="16" customHeight="1"/>
    <row r="90" s="62" customFormat="1" ht="16" customHeight="1"/>
    <row r="91" s="62" customFormat="1" ht="16" customHeight="1"/>
    <row r="92" s="62" customFormat="1" ht="16" customHeight="1"/>
  </sheetData>
  <mergeCells count="12">
    <mergeCell ref="R71:AB77"/>
    <mergeCell ref="R60:AB67"/>
    <mergeCell ref="A1:R1"/>
    <mergeCell ref="A2:R5"/>
    <mergeCell ref="S25:S27"/>
    <mergeCell ref="S22:S24"/>
    <mergeCell ref="S20:S21"/>
    <mergeCell ref="S7:S8"/>
    <mergeCell ref="S9:S11"/>
    <mergeCell ref="S12:S13"/>
    <mergeCell ref="S14:S16"/>
    <mergeCell ref="T2:U2"/>
  </mergeCells>
  <phoneticPr fontId="10" type="noConversion"/>
  <hyperlinks>
    <hyperlink ref="T2" location="TB_Caracteristicas!A1" display="TB_Caracteristicas!A1" xr:uid="{847743D9-2E31-9446-ACC3-A02EA3240D1E}"/>
  </hyperlinks>
  <pageMargins left="0.7" right="0.7" top="0.75" bottom="0.75" header="0.3" footer="0.3"/>
  <pageSetup paperSize="9" orientation="portrait" horizontalDpi="0" verticalDpi="0"/>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8F372-6674-4745-9BE6-CB770C10281B}">
  <dimension ref="A1:R1675"/>
  <sheetViews>
    <sheetView zoomScale="81" workbookViewId="0">
      <selection activeCell="C11" sqref="C11"/>
    </sheetView>
  </sheetViews>
  <sheetFormatPr baseColWidth="10" defaultRowHeight="16"/>
  <cols>
    <col min="1" max="1" width="9" customWidth="1"/>
    <col min="2" max="2" width="9" style="23" customWidth="1"/>
    <col min="3" max="3" width="13.83203125" customWidth="1"/>
    <col min="4" max="4" width="10.1640625" customWidth="1"/>
    <col min="5" max="5" width="17.1640625" customWidth="1"/>
    <col min="6" max="6" width="8" customWidth="1"/>
    <col min="7" max="7" width="6.5" customWidth="1"/>
    <col min="8" max="8" width="18" customWidth="1"/>
    <col min="9" max="9" width="14.83203125" customWidth="1"/>
    <col min="10" max="10" width="15.83203125" style="10" customWidth="1"/>
    <col min="11" max="11" width="25.6640625" customWidth="1"/>
    <col min="12" max="12" width="18.33203125" bestFit="1" customWidth="1"/>
    <col min="13" max="13" width="38.6640625" bestFit="1" customWidth="1"/>
    <col min="14" max="14" width="11.6640625" bestFit="1" customWidth="1"/>
    <col min="15" max="15" width="16.83203125" bestFit="1" customWidth="1"/>
    <col min="16" max="16" width="38" bestFit="1" customWidth="1"/>
    <col min="17" max="17" width="17.6640625" customWidth="1"/>
    <col min="18" max="18" width="14.1640625" customWidth="1"/>
  </cols>
  <sheetData>
    <row r="1" spans="1:18">
      <c r="A1" s="79" t="s">
        <v>13249</v>
      </c>
      <c r="B1" s="79"/>
      <c r="C1" s="79"/>
      <c r="D1" s="79"/>
      <c r="E1" s="79"/>
      <c r="F1" s="79"/>
      <c r="G1" s="79"/>
      <c r="H1" s="79"/>
      <c r="I1" s="79"/>
      <c r="J1" s="26" t="s">
        <v>13271</v>
      </c>
      <c r="K1" s="18"/>
      <c r="L1" s="18"/>
      <c r="M1" s="18"/>
    </row>
    <row r="2" spans="1:18">
      <c r="A2" s="79"/>
      <c r="B2" s="79"/>
      <c r="C2" s="79"/>
      <c r="D2" s="79"/>
      <c r="E2" s="79"/>
      <c r="F2" s="79"/>
      <c r="G2" s="79"/>
      <c r="H2" s="79"/>
      <c r="I2" s="79"/>
      <c r="J2" s="25"/>
      <c r="K2" s="47"/>
      <c r="L2" s="18"/>
      <c r="M2" s="18"/>
    </row>
    <row r="3" spans="1:18">
      <c r="A3" s="44" t="s">
        <v>13221</v>
      </c>
      <c r="B3" s="45" t="s">
        <v>13222</v>
      </c>
      <c r="C3" s="44" t="s">
        <v>13223</v>
      </c>
      <c r="D3" s="44" t="s">
        <v>13224</v>
      </c>
      <c r="E3" s="44" t="s">
        <v>13226</v>
      </c>
      <c r="F3" s="44" t="s">
        <v>13230</v>
      </c>
      <c r="G3" s="44" t="s">
        <v>13231</v>
      </c>
      <c r="H3" s="44" t="s">
        <v>13260</v>
      </c>
      <c r="I3" s="44" t="s">
        <v>13232</v>
      </c>
      <c r="J3" s="45" t="s">
        <v>13257</v>
      </c>
      <c r="K3" s="44" t="s">
        <v>13229</v>
      </c>
      <c r="L3" s="58" t="s">
        <v>13250</v>
      </c>
      <c r="M3" s="58" t="s">
        <v>13251</v>
      </c>
    </row>
    <row r="4" spans="1:18" ht="29">
      <c r="A4" s="34">
        <v>0.59199999999999997</v>
      </c>
      <c r="B4" s="32">
        <v>93</v>
      </c>
      <c r="C4" s="33">
        <v>0.52100000000000002</v>
      </c>
      <c r="D4" s="34">
        <v>0.53500000000000003</v>
      </c>
      <c r="E4" s="32">
        <v>100</v>
      </c>
      <c r="F4" s="32">
        <v>0</v>
      </c>
      <c r="G4" s="32">
        <v>6</v>
      </c>
      <c r="H4" s="35">
        <f ca="1">LEFT(Music_Data[[#This Row],[Duration_minutes]],3)/60</f>
        <v>2.6</v>
      </c>
      <c r="I4" s="34">
        <v>0.308</v>
      </c>
      <c r="J4" s="36" t="str">
        <f t="shared" ref="J4:J67" si="0">IF(E4&gt;=94,"Muy Popular",IF(E4&gt;=86,"Popular",IF(E4&gt;=78,"No muy popular","Casi nada popular")))</f>
        <v>Muy Popular</v>
      </c>
      <c r="K4" s="42">
        <v>45576</v>
      </c>
      <c r="L4" s="32" t="s">
        <v>13221</v>
      </c>
      <c r="M4" s="56">
        <f>AVERAGE(TB_Caracteristicas!$A$4:$A$1675)</f>
        <v>0.66718020334928163</v>
      </c>
      <c r="Q4" s="80" t="s">
        <v>13296</v>
      </c>
      <c r="R4" s="80"/>
    </row>
    <row r="5" spans="1:18">
      <c r="A5" s="39">
        <v>0.59199999999999997</v>
      </c>
      <c r="B5" s="37">
        <v>93</v>
      </c>
      <c r="C5" s="38">
        <v>0.52100000000000002</v>
      </c>
      <c r="D5" s="39">
        <v>0.53500000000000003</v>
      </c>
      <c r="E5" s="37">
        <v>100</v>
      </c>
      <c r="F5" s="37">
        <v>0</v>
      </c>
      <c r="G5" s="37">
        <v>6</v>
      </c>
      <c r="H5" s="40">
        <f ca="1">LEFT(Music_Data[[#This Row],[Duration_minutes]],3)/60</f>
        <v>4.3166666666666664</v>
      </c>
      <c r="I5" s="39">
        <v>0.308</v>
      </c>
      <c r="J5" s="41" t="str">
        <f t="shared" si="0"/>
        <v>Muy Popular</v>
      </c>
      <c r="K5" s="43">
        <v>45583</v>
      </c>
      <c r="L5" s="37" t="s">
        <v>13223</v>
      </c>
      <c r="M5" s="57">
        <f>AVERAGE(TB_Caracteristicas!$C$4:$C$1675)</f>
        <v>0.65009629186602835</v>
      </c>
      <c r="Q5" s="69"/>
      <c r="R5" s="69"/>
    </row>
    <row r="6" spans="1:18">
      <c r="A6" s="34">
        <v>0.59199999999999997</v>
      </c>
      <c r="B6" s="32">
        <v>113</v>
      </c>
      <c r="C6" s="33">
        <v>0.52100000000000002</v>
      </c>
      <c r="D6" s="34">
        <v>0.53500000000000003</v>
      </c>
      <c r="E6" s="32">
        <v>100</v>
      </c>
      <c r="F6" s="32">
        <v>0</v>
      </c>
      <c r="G6" s="32">
        <v>6</v>
      </c>
      <c r="H6" s="35">
        <f ca="1">LEFT(Music_Data[[#This Row],[Duration_minutes]],3)/60</f>
        <v>2.8666666666666667</v>
      </c>
      <c r="I6" s="34">
        <v>0.308</v>
      </c>
      <c r="J6" s="36" t="str">
        <f t="shared" si="0"/>
        <v>Muy Popular</v>
      </c>
      <c r="K6" s="42">
        <v>45596</v>
      </c>
      <c r="L6" s="32" t="s">
        <v>13232</v>
      </c>
      <c r="M6" s="56">
        <f>AVERAGE(TB_Caracteristicas!$I$4:$I$1675)</f>
        <v>0.22162031309808583</v>
      </c>
      <c r="Q6" s="69"/>
      <c r="R6" s="69"/>
    </row>
    <row r="7" spans="1:18">
      <c r="A7" s="39">
        <v>0.78300000000000003</v>
      </c>
      <c r="B7" s="37">
        <v>118</v>
      </c>
      <c r="C7" s="38">
        <v>0.77700000000000002</v>
      </c>
      <c r="D7" s="39">
        <v>0.93899999999999995</v>
      </c>
      <c r="E7" s="37">
        <v>98</v>
      </c>
      <c r="F7" s="37">
        <v>0</v>
      </c>
      <c r="G7" s="37">
        <v>0</v>
      </c>
      <c r="H7" s="40">
        <f ca="1">LEFT(Music_Data[[#This Row],[Duration_minutes]],3)/60</f>
        <v>2.9</v>
      </c>
      <c r="I7" s="39">
        <v>2.8299999999999999E-2</v>
      </c>
      <c r="J7" s="41" t="str">
        <f t="shared" si="0"/>
        <v>Muy Popular</v>
      </c>
      <c r="K7" s="43">
        <v>45611</v>
      </c>
      <c r="L7" s="37" t="s">
        <v>13224</v>
      </c>
      <c r="M7" s="57">
        <f>AVERAGE(TB_Caracteristicas!$D$4:$D$1675)</f>
        <v>0.52491315789473625</v>
      </c>
      <c r="Q7" s="69"/>
      <c r="R7" s="69"/>
    </row>
    <row r="8" spans="1:18">
      <c r="A8" s="34">
        <v>0.78300000000000003</v>
      </c>
      <c r="B8" s="32">
        <v>101</v>
      </c>
      <c r="C8" s="33">
        <v>0.77700000000000002</v>
      </c>
      <c r="D8" s="34">
        <v>0.93899999999999995</v>
      </c>
      <c r="E8" s="32">
        <v>98</v>
      </c>
      <c r="F8" s="32">
        <v>0</v>
      </c>
      <c r="G8" s="32">
        <v>0</v>
      </c>
      <c r="H8" s="35">
        <f ca="1">LEFT(Music_Data[[#This Row],[Duration_minutes]],3)/60</f>
        <v>3.65</v>
      </c>
      <c r="I8" s="34">
        <v>2.8299999999999999E-2</v>
      </c>
      <c r="J8" s="36" t="str">
        <f t="shared" si="0"/>
        <v>Muy Popular</v>
      </c>
      <c r="K8" s="42">
        <v>45512</v>
      </c>
      <c r="L8" s="59"/>
      <c r="M8" s="60"/>
      <c r="Q8" s="69"/>
      <c r="R8" s="69"/>
    </row>
    <row r="9" spans="1:18">
      <c r="A9" s="39">
        <v>0.50700000000000001</v>
      </c>
      <c r="B9" s="37">
        <v>145</v>
      </c>
      <c r="C9" s="38">
        <v>0.747</v>
      </c>
      <c r="D9" s="39">
        <v>0.438</v>
      </c>
      <c r="E9" s="37">
        <v>97</v>
      </c>
      <c r="F9" s="37">
        <v>1</v>
      </c>
      <c r="G9" s="37">
        <v>2</v>
      </c>
      <c r="H9" s="40">
        <f ca="1">LEFT(Music_Data[[#This Row],[Duration_minutes]],3)/60</f>
        <v>2.6833333333333331</v>
      </c>
      <c r="I9" s="39">
        <v>0.2</v>
      </c>
      <c r="J9" s="41" t="str">
        <f t="shared" si="0"/>
        <v>Muy Popular</v>
      </c>
      <c r="K9" s="43">
        <v>45580</v>
      </c>
      <c r="L9" s="15" t="s">
        <v>13276</v>
      </c>
      <c r="M9" t="s">
        <v>13235</v>
      </c>
      <c r="Q9" s="69"/>
      <c r="R9" s="69"/>
    </row>
    <row r="10" spans="1:18">
      <c r="A10" s="34">
        <v>0.50700000000000001</v>
      </c>
      <c r="B10" s="32">
        <v>113</v>
      </c>
      <c r="C10" s="33">
        <v>0.747</v>
      </c>
      <c r="D10" s="34">
        <v>0.438</v>
      </c>
      <c r="E10" s="32">
        <v>97</v>
      </c>
      <c r="F10" s="32">
        <v>1</v>
      </c>
      <c r="G10" s="32">
        <v>2</v>
      </c>
      <c r="H10" s="35">
        <f ca="1">LEFT(Music_Data[[#This Row],[Duration_minutes]],3)/60</f>
        <v>2.6166666666666667</v>
      </c>
      <c r="I10" s="34">
        <v>0.2</v>
      </c>
      <c r="J10" s="36" t="str">
        <f t="shared" si="0"/>
        <v>Muy Popular</v>
      </c>
      <c r="K10" s="42">
        <v>45526</v>
      </c>
      <c r="L10" s="11">
        <v>0</v>
      </c>
      <c r="M10" s="24">
        <v>11598</v>
      </c>
    </row>
    <row r="11" spans="1:18">
      <c r="A11" s="39">
        <v>0.50700000000000001</v>
      </c>
      <c r="B11" s="37">
        <v>110</v>
      </c>
      <c r="C11" s="38">
        <v>0.747</v>
      </c>
      <c r="D11" s="39">
        <v>0.438</v>
      </c>
      <c r="E11" s="37">
        <v>97</v>
      </c>
      <c r="F11" s="37">
        <v>1</v>
      </c>
      <c r="G11" s="37">
        <v>2</v>
      </c>
      <c r="H11" s="40">
        <f ca="1">LEFT(Music_Data[[#This Row],[Duration_minutes]],3)/60</f>
        <v>2.35</v>
      </c>
      <c r="I11" s="39">
        <v>0.2</v>
      </c>
      <c r="J11" s="41" t="str">
        <f t="shared" si="0"/>
        <v>Muy Popular</v>
      </c>
      <c r="K11" s="43">
        <v>45394</v>
      </c>
      <c r="L11" s="11">
        <v>1</v>
      </c>
      <c r="M11" s="24">
        <v>17104</v>
      </c>
    </row>
    <row r="12" spans="1:18">
      <c r="A12" s="34">
        <v>0.58199999999999996</v>
      </c>
      <c r="B12" s="32">
        <v>112</v>
      </c>
      <c r="C12" s="33">
        <v>0.7</v>
      </c>
      <c r="D12" s="34">
        <v>0.78500000000000003</v>
      </c>
      <c r="E12" s="32">
        <v>94</v>
      </c>
      <c r="F12" s="32">
        <v>0</v>
      </c>
      <c r="G12" s="32">
        <v>11</v>
      </c>
      <c r="H12" s="35">
        <f ca="1">LEFT(Music_Data[[#This Row],[Duration_minutes]],3)/60</f>
        <v>2.6</v>
      </c>
      <c r="I12" s="34">
        <v>5.0200000000000002E-2</v>
      </c>
      <c r="J12" s="36" t="str">
        <f t="shared" si="0"/>
        <v>Muy Popular</v>
      </c>
      <c r="K12" s="42">
        <v>45519</v>
      </c>
      <c r="L12" s="11">
        <v>2</v>
      </c>
      <c r="M12" s="24">
        <v>11572</v>
      </c>
    </row>
    <row r="13" spans="1:18">
      <c r="A13" s="39">
        <v>0.58199999999999996</v>
      </c>
      <c r="B13" s="37">
        <v>67</v>
      </c>
      <c r="C13" s="38">
        <v>0.7</v>
      </c>
      <c r="D13" s="39">
        <v>0.78500000000000003</v>
      </c>
      <c r="E13" s="37">
        <v>94</v>
      </c>
      <c r="F13" s="37">
        <v>0</v>
      </c>
      <c r="G13" s="37">
        <v>11</v>
      </c>
      <c r="H13" s="40">
        <f ca="1">LEFT(Music_Data[[#This Row],[Duration_minutes]],3)/60</f>
        <v>3</v>
      </c>
      <c r="I13" s="39">
        <v>5.0200000000000002E-2</v>
      </c>
      <c r="J13" s="41" t="str">
        <f t="shared" si="0"/>
        <v>Muy Popular</v>
      </c>
      <c r="K13" s="43">
        <v>45398</v>
      </c>
      <c r="L13" s="11">
        <v>3</v>
      </c>
      <c r="M13" s="24">
        <v>4062</v>
      </c>
    </row>
    <row r="14" spans="1:18">
      <c r="A14" s="34">
        <v>0.58199999999999996</v>
      </c>
      <c r="B14" s="32">
        <v>100</v>
      </c>
      <c r="C14" s="33">
        <v>0.7</v>
      </c>
      <c r="D14" s="34">
        <v>0.78500000000000003</v>
      </c>
      <c r="E14" s="32">
        <v>94</v>
      </c>
      <c r="F14" s="32">
        <v>0</v>
      </c>
      <c r="G14" s="32">
        <v>11</v>
      </c>
      <c r="H14" s="35">
        <f ca="1">LEFT(Music_Data[[#This Row],[Duration_minutes]],3)/60</f>
        <v>3.0666666666666669</v>
      </c>
      <c r="I14" s="34">
        <v>5.0200000000000002E-2</v>
      </c>
      <c r="J14" s="36" t="str">
        <f t="shared" si="0"/>
        <v>Muy Popular</v>
      </c>
      <c r="K14" s="42">
        <v>45512</v>
      </c>
      <c r="L14" s="11">
        <v>4</v>
      </c>
      <c r="M14" s="24">
        <v>9262</v>
      </c>
    </row>
    <row r="15" spans="1:18">
      <c r="A15" s="39">
        <v>0.80800000000000005</v>
      </c>
      <c r="B15" s="37">
        <v>958</v>
      </c>
      <c r="C15" s="38">
        <v>0.55400000000000005</v>
      </c>
      <c r="D15" s="39">
        <v>0.372</v>
      </c>
      <c r="E15" s="37">
        <v>93</v>
      </c>
      <c r="F15" s="37">
        <v>1</v>
      </c>
      <c r="G15" s="37">
        <v>1</v>
      </c>
      <c r="H15" s="40">
        <f ca="1">LEFT(Music_Data[[#This Row],[Duration_minutes]],3)/60</f>
        <v>2.5666666666666669</v>
      </c>
      <c r="I15" s="39">
        <v>0.214</v>
      </c>
      <c r="J15" s="41" t="str">
        <f t="shared" si="0"/>
        <v>Popular</v>
      </c>
      <c r="K15" s="43">
        <v>45569</v>
      </c>
      <c r="L15" s="11">
        <v>5</v>
      </c>
      <c r="M15" s="24">
        <v>11538</v>
      </c>
    </row>
    <row r="16" spans="1:18">
      <c r="A16" s="34">
        <v>0.247</v>
      </c>
      <c r="B16" s="32">
        <v>197</v>
      </c>
      <c r="C16" s="33">
        <v>0.46700000000000003</v>
      </c>
      <c r="D16" s="34">
        <v>0.126</v>
      </c>
      <c r="E16" s="32">
        <v>93</v>
      </c>
      <c r="F16" s="32">
        <v>0</v>
      </c>
      <c r="G16" s="32">
        <v>6</v>
      </c>
      <c r="H16" s="35">
        <f ca="1">LEFT(Music_Data[[#This Row],[Duration_minutes]],3)/60</f>
        <v>3.2166666666666668</v>
      </c>
      <c r="I16" s="34">
        <v>0.61199999999999999</v>
      </c>
      <c r="J16" s="36" t="str">
        <f t="shared" si="0"/>
        <v>Popular</v>
      </c>
      <c r="K16" s="42">
        <v>45532</v>
      </c>
      <c r="L16" s="11">
        <v>6</v>
      </c>
      <c r="M16" s="24">
        <v>10263</v>
      </c>
    </row>
    <row r="17" spans="1:13">
      <c r="A17" s="39">
        <v>0.65100000000000002</v>
      </c>
      <c r="B17" s="37">
        <v>147</v>
      </c>
      <c r="C17" s="38">
        <v>0.69399999999999995</v>
      </c>
      <c r="D17" s="39">
        <v>0.47099999999999997</v>
      </c>
      <c r="E17" s="37">
        <v>93</v>
      </c>
      <c r="F17" s="37">
        <v>1</v>
      </c>
      <c r="G17" s="37">
        <v>6</v>
      </c>
      <c r="H17" s="40">
        <f ca="1">LEFT(Music_Data[[#This Row],[Duration_minutes]],3)/60</f>
        <v>2.2833333333333332</v>
      </c>
      <c r="I17" s="39">
        <v>0.496</v>
      </c>
      <c r="J17" s="41" t="str">
        <f t="shared" si="0"/>
        <v>Popular</v>
      </c>
      <c r="K17" s="43">
        <v>45483</v>
      </c>
      <c r="L17" s="11">
        <v>7</v>
      </c>
      <c r="M17" s="24">
        <v>11475</v>
      </c>
    </row>
    <row r="18" spans="1:13">
      <c r="A18" s="34">
        <v>0.66800000000000004</v>
      </c>
      <c r="B18" s="32">
        <v>171</v>
      </c>
      <c r="C18" s="33">
        <v>0.92400000000000004</v>
      </c>
      <c r="D18" s="34">
        <v>0.78700000000000003</v>
      </c>
      <c r="E18" s="32">
        <v>93</v>
      </c>
      <c r="F18" s="32">
        <v>1</v>
      </c>
      <c r="G18" s="32">
        <v>11</v>
      </c>
      <c r="H18" s="35">
        <f ca="1">LEFT(Music_Data[[#This Row],[Duration_minutes]],3)/60</f>
        <v>2.1833333333333331</v>
      </c>
      <c r="I18" s="34">
        <v>0.44600000000000001</v>
      </c>
      <c r="J18" s="36" t="str">
        <f t="shared" si="0"/>
        <v>Popular</v>
      </c>
      <c r="K18" s="42">
        <v>45478</v>
      </c>
      <c r="L18" s="11">
        <v>8</v>
      </c>
      <c r="M18" s="24">
        <v>8831</v>
      </c>
    </row>
    <row r="19" spans="1:13">
      <c r="A19" s="39">
        <v>0.65100000000000002</v>
      </c>
      <c r="B19" s="37">
        <v>113</v>
      </c>
      <c r="C19" s="38">
        <v>0.69399999999999995</v>
      </c>
      <c r="D19" s="39">
        <v>0.47099999999999997</v>
      </c>
      <c r="E19" s="37">
        <v>93</v>
      </c>
      <c r="F19" s="37">
        <v>1</v>
      </c>
      <c r="G19" s="37">
        <v>6</v>
      </c>
      <c r="H19" s="40">
        <f ca="1">LEFT(Music_Data[[#This Row],[Duration_minutes]],3)/60</f>
        <v>2.2833333333333332</v>
      </c>
      <c r="I19" s="39">
        <v>0.496</v>
      </c>
      <c r="J19" s="41" t="str">
        <f t="shared" si="0"/>
        <v>Popular</v>
      </c>
      <c r="K19" s="43">
        <v>45184</v>
      </c>
      <c r="L19" s="11">
        <v>9</v>
      </c>
      <c r="M19" s="24">
        <v>10210</v>
      </c>
    </row>
    <row r="20" spans="1:13">
      <c r="A20" s="34">
        <v>0.66800000000000004</v>
      </c>
      <c r="B20" s="32">
        <v>944</v>
      </c>
      <c r="C20" s="33">
        <v>0.92400000000000004</v>
      </c>
      <c r="D20" s="34">
        <v>0.78700000000000003</v>
      </c>
      <c r="E20" s="32">
        <v>93</v>
      </c>
      <c r="F20" s="32">
        <v>1</v>
      </c>
      <c r="G20" s="32">
        <v>11</v>
      </c>
      <c r="H20" s="35">
        <f ca="1">LEFT(Music_Data[[#This Row],[Duration_minutes]],3)/60</f>
        <v>4.833333333333333</v>
      </c>
      <c r="I20" s="34">
        <v>0.44600000000000001</v>
      </c>
      <c r="J20" s="36" t="str">
        <f t="shared" si="0"/>
        <v>Popular</v>
      </c>
      <c r="K20" s="42">
        <v>42895</v>
      </c>
      <c r="L20" s="11">
        <v>10</v>
      </c>
      <c r="M20" s="24">
        <v>8425</v>
      </c>
    </row>
    <row r="21" spans="1:13">
      <c r="A21" s="39">
        <v>0.80800000000000005</v>
      </c>
      <c r="B21" s="37">
        <v>102</v>
      </c>
      <c r="C21" s="38">
        <v>0.55400000000000005</v>
      </c>
      <c r="D21" s="39">
        <v>0.372</v>
      </c>
      <c r="E21" s="37">
        <v>93</v>
      </c>
      <c r="F21" s="37">
        <v>1</v>
      </c>
      <c r="G21" s="37">
        <v>1</v>
      </c>
      <c r="H21" s="40">
        <f ca="1">LEFT(Music_Data[[#This Row],[Duration_minutes]],3)/60</f>
        <v>3.7833333333333332</v>
      </c>
      <c r="I21" s="39">
        <v>0.214</v>
      </c>
      <c r="J21" s="41" t="str">
        <f t="shared" si="0"/>
        <v>Popular</v>
      </c>
      <c r="K21" s="43">
        <v>36717</v>
      </c>
      <c r="L21" s="11">
        <v>11</v>
      </c>
      <c r="M21" s="24">
        <v>13124</v>
      </c>
    </row>
    <row r="22" spans="1:13">
      <c r="A22" s="34">
        <v>0.41299999999999998</v>
      </c>
      <c r="B22" s="32">
        <v>102</v>
      </c>
      <c r="C22" s="33">
        <v>0.49399999999999999</v>
      </c>
      <c r="D22" s="34">
        <v>0.27300000000000002</v>
      </c>
      <c r="E22" s="32">
        <v>93</v>
      </c>
      <c r="F22" s="32">
        <v>1</v>
      </c>
      <c r="G22" s="32">
        <v>11</v>
      </c>
      <c r="H22" s="35">
        <f ca="1">LEFT(Music_Data[[#This Row],[Duration_minutes]],3)/60</f>
        <v>3.3</v>
      </c>
      <c r="I22" s="34">
        <v>0.68200000000000005</v>
      </c>
      <c r="J22" s="36" t="str">
        <f t="shared" si="0"/>
        <v>Popular</v>
      </c>
      <c r="K22" s="42">
        <v>43910</v>
      </c>
      <c r="L22" s="11" t="s">
        <v>13154</v>
      </c>
      <c r="M22" s="1">
        <v>127464</v>
      </c>
    </row>
    <row r="23" spans="1:13">
      <c r="A23" s="39">
        <v>0.90700000000000003</v>
      </c>
      <c r="B23" s="37">
        <v>113</v>
      </c>
      <c r="C23" s="38">
        <v>0.67400000000000004</v>
      </c>
      <c r="D23" s="39">
        <v>0.72099999999999997</v>
      </c>
      <c r="E23" s="37">
        <v>93</v>
      </c>
      <c r="F23" s="37">
        <v>1</v>
      </c>
      <c r="G23" s="37">
        <v>3</v>
      </c>
      <c r="H23" s="40">
        <f ca="1">LEFT(Music_Data[[#This Row],[Duration_minutes]],3)/60</f>
        <v>3.9333333333333331</v>
      </c>
      <c r="I23" s="39">
        <v>0.10100000000000001</v>
      </c>
      <c r="J23" s="41" t="str">
        <f t="shared" si="0"/>
        <v>Popular</v>
      </c>
      <c r="K23" s="43">
        <v>41275</v>
      </c>
    </row>
    <row r="24" spans="1:13">
      <c r="A24" s="34">
        <v>0.65100000000000002</v>
      </c>
      <c r="B24" s="32">
        <v>130</v>
      </c>
      <c r="C24" s="33">
        <v>0.69399999999999995</v>
      </c>
      <c r="D24" s="34">
        <v>0.47099999999999997</v>
      </c>
      <c r="E24" s="32">
        <v>93</v>
      </c>
      <c r="F24" s="32">
        <v>1</v>
      </c>
      <c r="G24" s="32">
        <v>6</v>
      </c>
      <c r="H24" s="35">
        <f ca="1">LEFT(Music_Data[[#This Row],[Duration_minutes]],3)/60</f>
        <v>3.9833333333333334</v>
      </c>
      <c r="I24" s="34">
        <v>0.496</v>
      </c>
      <c r="J24" s="36" t="str">
        <f t="shared" si="0"/>
        <v>Popular</v>
      </c>
      <c r="K24" s="42">
        <v>44036</v>
      </c>
      <c r="L24" t="s">
        <v>13253</v>
      </c>
    </row>
    <row r="25" spans="1:13">
      <c r="A25" s="39">
        <v>0.247</v>
      </c>
      <c r="B25" s="37">
        <v>833</v>
      </c>
      <c r="C25" s="38">
        <v>0.46700000000000003</v>
      </c>
      <c r="D25" s="39">
        <v>0.126</v>
      </c>
      <c r="E25" s="37">
        <v>93</v>
      </c>
      <c r="F25" s="37">
        <v>0</v>
      </c>
      <c r="G25" s="37">
        <v>6</v>
      </c>
      <c r="H25" s="40">
        <f ca="1">LEFT(Music_Data[[#This Row],[Duration_minutes]],3)/60</f>
        <v>3.15</v>
      </c>
      <c r="I25" s="39">
        <v>0.61199999999999999</v>
      </c>
      <c r="J25" s="41" t="str">
        <f t="shared" si="0"/>
        <v>Popular</v>
      </c>
      <c r="K25" s="43">
        <v>44680</v>
      </c>
    </row>
    <row r="26" spans="1:13">
      <c r="A26" s="34">
        <v>0.66800000000000004</v>
      </c>
      <c r="B26" s="32">
        <v>129</v>
      </c>
      <c r="C26" s="33">
        <v>0.92400000000000004</v>
      </c>
      <c r="D26" s="34">
        <v>0.78700000000000003</v>
      </c>
      <c r="E26" s="32">
        <v>93</v>
      </c>
      <c r="F26" s="32">
        <v>1</v>
      </c>
      <c r="G26" s="32">
        <v>11</v>
      </c>
      <c r="H26" s="35">
        <f ca="1">LEFT(Music_Data[[#This Row],[Duration_minutes]],3)/60</f>
        <v>4.0166666666666666</v>
      </c>
      <c r="I26" s="34">
        <v>0.44600000000000001</v>
      </c>
      <c r="J26" s="36" t="str">
        <f t="shared" si="0"/>
        <v>Popular</v>
      </c>
      <c r="K26" s="42">
        <v>41901</v>
      </c>
    </row>
    <row r="27" spans="1:13">
      <c r="A27" s="39">
        <v>0.41299999999999998</v>
      </c>
      <c r="B27" s="37">
        <v>137</v>
      </c>
      <c r="C27" s="38">
        <v>0.49399999999999999</v>
      </c>
      <c r="D27" s="39">
        <v>0.27300000000000002</v>
      </c>
      <c r="E27" s="37">
        <v>93</v>
      </c>
      <c r="F27" s="37">
        <v>1</v>
      </c>
      <c r="G27" s="37">
        <v>11</v>
      </c>
      <c r="H27" s="40">
        <f ca="1">LEFT(Music_Data[[#This Row],[Duration_minutes]],3)/60</f>
        <v>2.6833333333333331</v>
      </c>
      <c r="I27" s="39">
        <v>0.68200000000000005</v>
      </c>
      <c r="J27" s="41" t="str">
        <f t="shared" si="0"/>
        <v>Popular</v>
      </c>
      <c r="K27" s="43">
        <v>43565</v>
      </c>
      <c r="L27" s="15" t="s">
        <v>13275</v>
      </c>
      <c r="M27" t="s">
        <v>13235</v>
      </c>
    </row>
    <row r="28" spans="1:13">
      <c r="A28" s="34">
        <v>0.66800000000000004</v>
      </c>
      <c r="B28" s="32">
        <v>107</v>
      </c>
      <c r="C28" s="33">
        <v>0.92400000000000004</v>
      </c>
      <c r="D28" s="34">
        <v>0.78700000000000003</v>
      </c>
      <c r="E28" s="32">
        <v>93</v>
      </c>
      <c r="F28" s="32">
        <v>1</v>
      </c>
      <c r="G28" s="32">
        <v>11</v>
      </c>
      <c r="H28" s="35">
        <f ca="1">LEFT(Music_Data[[#This Row],[Duration_minutes]],3)/60</f>
        <v>5.85</v>
      </c>
      <c r="I28" s="34">
        <v>0.44600000000000001</v>
      </c>
      <c r="J28" s="36" t="str">
        <f t="shared" si="0"/>
        <v>Popular</v>
      </c>
      <c r="K28" s="42">
        <v>41640</v>
      </c>
      <c r="L28" s="11">
        <v>0</v>
      </c>
      <c r="M28" s="1">
        <v>53620</v>
      </c>
    </row>
    <row r="29" spans="1:13">
      <c r="A29" s="39">
        <v>0.72199999999999998</v>
      </c>
      <c r="B29" s="37">
        <v>148</v>
      </c>
      <c r="C29" s="38">
        <v>0.76900000000000002</v>
      </c>
      <c r="D29" s="39">
        <v>0.56999999999999995</v>
      </c>
      <c r="E29" s="37">
        <v>92</v>
      </c>
      <c r="F29" s="37">
        <v>0</v>
      </c>
      <c r="G29" s="37">
        <v>11</v>
      </c>
      <c r="H29" s="40">
        <f ca="1">LEFT(Music_Data[[#This Row],[Duration_minutes]],3)/60</f>
        <v>3.0333333333333332</v>
      </c>
      <c r="I29" s="39">
        <v>5.8400000000000001E-2</v>
      </c>
      <c r="J29" s="41" t="str">
        <f t="shared" si="0"/>
        <v>Popular</v>
      </c>
      <c r="K29" s="43">
        <v>44659</v>
      </c>
      <c r="L29" s="11">
        <v>1</v>
      </c>
      <c r="M29" s="1">
        <v>73844</v>
      </c>
    </row>
    <row r="30" spans="1:13">
      <c r="A30" s="34">
        <v>0.75600000000000001</v>
      </c>
      <c r="B30" s="32">
        <v>139</v>
      </c>
      <c r="C30" s="33">
        <v>0.66</v>
      </c>
      <c r="D30" s="34">
        <v>0.83799999999999997</v>
      </c>
      <c r="E30" s="32">
        <v>92</v>
      </c>
      <c r="F30" s="32">
        <v>0</v>
      </c>
      <c r="G30" s="32">
        <v>0</v>
      </c>
      <c r="H30" s="35">
        <f ca="1">LEFT(Music_Data[[#This Row],[Duration_minutes]],3)/60</f>
        <v>3.8166666666666669</v>
      </c>
      <c r="I30" s="34">
        <v>2.8900000000000002E-3</v>
      </c>
      <c r="J30" s="36" t="str">
        <f t="shared" si="0"/>
        <v>Popular</v>
      </c>
      <c r="K30" s="42">
        <v>45078</v>
      </c>
      <c r="L30" s="11" t="s">
        <v>13154</v>
      </c>
      <c r="M30" s="1">
        <v>127464</v>
      </c>
    </row>
    <row r="31" spans="1:13">
      <c r="A31" s="39">
        <v>0.72199999999999998</v>
      </c>
      <c r="B31" s="37">
        <v>201</v>
      </c>
      <c r="C31" s="38">
        <v>0.76900000000000002</v>
      </c>
      <c r="D31" s="39">
        <v>0.56999999999999995</v>
      </c>
      <c r="E31" s="37">
        <v>92</v>
      </c>
      <c r="F31" s="37">
        <v>0</v>
      </c>
      <c r="G31" s="37">
        <v>11</v>
      </c>
      <c r="H31" s="40">
        <f ca="1">LEFT(Music_Data[[#This Row],[Duration_minutes]],3)/60</f>
        <v>4.5166666666666666</v>
      </c>
      <c r="I31" s="39">
        <v>5.8400000000000001E-2</v>
      </c>
      <c r="J31" s="41" t="str">
        <f t="shared" si="0"/>
        <v>Popular</v>
      </c>
      <c r="K31" s="43">
        <v>44274</v>
      </c>
    </row>
    <row r="32" spans="1:13">
      <c r="A32" s="34">
        <v>0.75600000000000001</v>
      </c>
      <c r="B32" s="32">
        <v>103</v>
      </c>
      <c r="C32" s="33">
        <v>0.66</v>
      </c>
      <c r="D32" s="34">
        <v>0.83799999999999997</v>
      </c>
      <c r="E32" s="32">
        <v>92</v>
      </c>
      <c r="F32" s="32">
        <v>0</v>
      </c>
      <c r="G32" s="32">
        <v>0</v>
      </c>
      <c r="H32" s="35">
        <f ca="1">LEFT(Music_Data[[#This Row],[Duration_minutes]],3)/60</f>
        <v>5.65</v>
      </c>
      <c r="I32" s="34">
        <v>2.8900000000000002E-3</v>
      </c>
      <c r="J32" s="36" t="str">
        <f t="shared" si="0"/>
        <v>Popular</v>
      </c>
      <c r="K32" s="42">
        <v>45009</v>
      </c>
    </row>
    <row r="33" spans="1:16">
      <c r="A33" s="39">
        <v>0.72199999999999998</v>
      </c>
      <c r="B33" s="37">
        <v>117</v>
      </c>
      <c r="C33" s="38">
        <v>0.76900000000000002</v>
      </c>
      <c r="D33" s="39">
        <v>0.56999999999999995</v>
      </c>
      <c r="E33" s="37">
        <v>92</v>
      </c>
      <c r="F33" s="37">
        <v>0</v>
      </c>
      <c r="G33" s="37">
        <v>11</v>
      </c>
      <c r="H33" s="40">
        <f ca="1">LEFT(Music_Data[[#This Row],[Duration_minutes]],3)/60</f>
        <v>4.2833333333333332</v>
      </c>
      <c r="I33" s="39">
        <v>5.8400000000000001E-2</v>
      </c>
      <c r="J33" s="41" t="str">
        <f t="shared" si="0"/>
        <v>Popular</v>
      </c>
      <c r="K33" s="43">
        <v>42881</v>
      </c>
    </row>
    <row r="34" spans="1:16">
      <c r="A34" s="34">
        <v>0.72199999999999998</v>
      </c>
      <c r="B34" s="32">
        <v>961</v>
      </c>
      <c r="C34" s="33">
        <v>0.76900000000000002</v>
      </c>
      <c r="D34" s="34">
        <v>0.56999999999999995</v>
      </c>
      <c r="E34" s="32">
        <v>92</v>
      </c>
      <c r="F34" s="32">
        <v>0</v>
      </c>
      <c r="G34" s="32">
        <v>11</v>
      </c>
      <c r="H34" s="35">
        <f ca="1">LEFT(Music_Data[[#This Row],[Duration_minutes]],3)/60</f>
        <v>3.5166666666666666</v>
      </c>
      <c r="I34" s="34">
        <v>5.8400000000000001E-2</v>
      </c>
      <c r="J34" s="36" t="str">
        <f t="shared" si="0"/>
        <v>Popular</v>
      </c>
      <c r="K34" s="42">
        <v>44827</v>
      </c>
    </row>
    <row r="35" spans="1:16">
      <c r="A35" s="39">
        <v>0.40600000000000003</v>
      </c>
      <c r="B35" s="37">
        <v>121</v>
      </c>
      <c r="C35" s="38">
        <v>0.53</v>
      </c>
      <c r="D35" s="39">
        <v>0.33800000000000002</v>
      </c>
      <c r="E35" s="37">
        <v>90</v>
      </c>
      <c r="F35" s="37">
        <v>1</v>
      </c>
      <c r="G35" s="37">
        <v>10</v>
      </c>
      <c r="H35" s="40">
        <f ca="1">LEFT(Music_Data[[#This Row],[Duration_minutes]],3)/60</f>
        <v>3.8166666666666669</v>
      </c>
      <c r="I35" s="39">
        <v>0.65600000000000003</v>
      </c>
      <c r="J35" s="41" t="str">
        <f t="shared" si="0"/>
        <v>Popular</v>
      </c>
      <c r="K35" s="43">
        <v>41901</v>
      </c>
    </row>
    <row r="36" spans="1:16">
      <c r="A36" s="34">
        <v>0.76</v>
      </c>
      <c r="B36" s="32">
        <v>135</v>
      </c>
      <c r="C36" s="33">
        <v>0.70099999999999996</v>
      </c>
      <c r="D36" s="34">
        <v>0.69</v>
      </c>
      <c r="E36" s="32">
        <v>90</v>
      </c>
      <c r="F36" s="32">
        <v>1</v>
      </c>
      <c r="G36" s="32">
        <v>0</v>
      </c>
      <c r="H36" s="35">
        <f ca="1">LEFT(Music_Data[[#This Row],[Duration_minutes]],3)/60</f>
        <v>3.2166666666666668</v>
      </c>
      <c r="I36" s="34">
        <v>0.107</v>
      </c>
      <c r="J36" s="36" t="str">
        <f t="shared" si="0"/>
        <v>Popular</v>
      </c>
      <c r="K36" s="42">
        <v>43399</v>
      </c>
    </row>
    <row r="37" spans="1:16">
      <c r="A37" s="39">
        <v>0.76</v>
      </c>
      <c r="B37" s="37">
        <v>932</v>
      </c>
      <c r="C37" s="38">
        <v>0.70099999999999996</v>
      </c>
      <c r="D37" s="39">
        <v>0.69</v>
      </c>
      <c r="E37" s="37">
        <v>90</v>
      </c>
      <c r="F37" s="37">
        <v>1</v>
      </c>
      <c r="G37" s="37">
        <v>0</v>
      </c>
      <c r="H37" s="40">
        <f ca="1">LEFT(Music_Data[[#This Row],[Duration_minutes]],3)/60</f>
        <v>4.3166666666666664</v>
      </c>
      <c r="I37" s="39">
        <v>0.107</v>
      </c>
      <c r="J37" s="41" t="str">
        <f t="shared" si="0"/>
        <v>Popular</v>
      </c>
      <c r="K37" s="43">
        <v>45583</v>
      </c>
    </row>
    <row r="38" spans="1:16">
      <c r="A38" s="34">
        <v>0.40600000000000003</v>
      </c>
      <c r="B38" s="32">
        <v>133</v>
      </c>
      <c r="C38" s="33">
        <v>0.53</v>
      </c>
      <c r="D38" s="34">
        <v>0.33800000000000002</v>
      </c>
      <c r="E38" s="32">
        <v>90</v>
      </c>
      <c r="F38" s="32">
        <v>1</v>
      </c>
      <c r="G38" s="32">
        <v>10</v>
      </c>
      <c r="H38" s="35">
        <f ca="1">LEFT(Music_Data[[#This Row],[Duration_minutes]],3)/60</f>
        <v>2.95</v>
      </c>
      <c r="I38" s="34">
        <v>0.65600000000000003</v>
      </c>
      <c r="J38" s="36" t="str">
        <f t="shared" si="0"/>
        <v>Popular</v>
      </c>
      <c r="K38" s="42">
        <v>44687</v>
      </c>
    </row>
    <row r="39" spans="1:16">
      <c r="A39" s="39">
        <v>0.80700000000000005</v>
      </c>
      <c r="B39" s="37">
        <v>723</v>
      </c>
      <c r="C39" s="38">
        <v>0.61199999999999999</v>
      </c>
      <c r="D39" s="39">
        <v>0.39800000000000002</v>
      </c>
      <c r="E39" s="37">
        <v>90</v>
      </c>
      <c r="F39" s="37">
        <v>1</v>
      </c>
      <c r="G39" s="37">
        <v>10</v>
      </c>
      <c r="H39" s="40">
        <f ca="1">LEFT(Music_Data[[#This Row],[Duration_minutes]],3)/60</f>
        <v>3.9</v>
      </c>
      <c r="I39" s="39">
        <v>4.9500000000000002E-2</v>
      </c>
      <c r="J39" s="41" t="str">
        <f t="shared" si="0"/>
        <v>Popular</v>
      </c>
      <c r="K39" s="43">
        <v>44407</v>
      </c>
    </row>
    <row r="40" spans="1:16">
      <c r="A40" s="34">
        <v>0.41699999999999998</v>
      </c>
      <c r="B40" s="32">
        <v>159</v>
      </c>
      <c r="C40" s="33">
        <v>0.46400000000000002</v>
      </c>
      <c r="D40" s="34">
        <v>0.47899999999999998</v>
      </c>
      <c r="E40" s="32">
        <v>90</v>
      </c>
      <c r="F40" s="32">
        <v>0</v>
      </c>
      <c r="G40" s="32">
        <v>0</v>
      </c>
      <c r="H40" s="35">
        <f ca="1">LEFT(Music_Data[[#This Row],[Duration_minutes]],3)/60</f>
        <v>4.8166666666666664</v>
      </c>
      <c r="I40" s="34">
        <v>0.13600000000000001</v>
      </c>
      <c r="J40" s="36" t="str">
        <f t="shared" si="0"/>
        <v>Popular</v>
      </c>
      <c r="K40" s="42">
        <v>40102</v>
      </c>
    </row>
    <row r="41" spans="1:16">
      <c r="A41" s="39">
        <v>0.55900000000000005</v>
      </c>
      <c r="B41" s="37">
        <v>779</v>
      </c>
      <c r="C41" s="38">
        <v>0.55800000000000005</v>
      </c>
      <c r="D41" s="39">
        <v>0.62</v>
      </c>
      <c r="E41" s="37">
        <v>90</v>
      </c>
      <c r="F41" s="37">
        <v>1</v>
      </c>
      <c r="G41" s="37">
        <v>6</v>
      </c>
      <c r="H41" s="40">
        <f ca="1">LEFT(Music_Data[[#This Row],[Duration_minutes]],3)/60</f>
        <v>2.95</v>
      </c>
      <c r="I41" s="39">
        <v>0.371</v>
      </c>
      <c r="J41" s="41" t="str">
        <f t="shared" si="0"/>
        <v>Popular</v>
      </c>
      <c r="K41" s="43">
        <v>45177</v>
      </c>
    </row>
    <row r="42" spans="1:16">
      <c r="A42" s="34">
        <v>0.72699999999999998</v>
      </c>
      <c r="B42" s="32">
        <v>129</v>
      </c>
      <c r="C42" s="33">
        <v>0.73899999999999999</v>
      </c>
      <c r="D42" s="34">
        <v>0.67600000000000005</v>
      </c>
      <c r="E42" s="32">
        <v>90</v>
      </c>
      <c r="F42" s="32">
        <v>0</v>
      </c>
      <c r="G42" s="32">
        <v>11</v>
      </c>
      <c r="H42" s="35">
        <f ca="1">LEFT(Music_Data[[#This Row],[Duration_minutes]],3)/60</f>
        <v>6.55</v>
      </c>
      <c r="I42" s="34">
        <v>6.7799999999999999E-2</v>
      </c>
      <c r="J42" s="36" t="str">
        <f t="shared" si="0"/>
        <v>Popular</v>
      </c>
      <c r="K42" s="42">
        <v>42594</v>
      </c>
      <c r="L42" t="s">
        <v>13252</v>
      </c>
    </row>
    <row r="43" spans="1:16">
      <c r="A43" s="39">
        <v>0.55900000000000005</v>
      </c>
      <c r="B43" s="37">
        <v>797</v>
      </c>
      <c r="C43" s="38">
        <v>0.55800000000000005</v>
      </c>
      <c r="D43" s="39">
        <v>0.62</v>
      </c>
      <c r="E43" s="37">
        <v>90</v>
      </c>
      <c r="F43" s="37">
        <v>1</v>
      </c>
      <c r="G43" s="37">
        <v>6</v>
      </c>
      <c r="H43" s="40">
        <f ca="1">LEFT(Music_Data[[#This Row],[Duration_minutes]],3)/60</f>
        <v>4.0333333333333332</v>
      </c>
      <c r="I43" s="39">
        <v>0.371</v>
      </c>
      <c r="J43" s="41" t="str">
        <f t="shared" si="0"/>
        <v>Popular</v>
      </c>
      <c r="K43" s="43">
        <v>43553</v>
      </c>
    </row>
    <row r="44" spans="1:16">
      <c r="A44" s="34">
        <v>0.72499999999999998</v>
      </c>
      <c r="B44" s="32">
        <v>130</v>
      </c>
      <c r="C44" s="33">
        <v>0.89400000000000002</v>
      </c>
      <c r="D44" s="34">
        <v>0.83799999999999997</v>
      </c>
      <c r="E44" s="32">
        <v>89</v>
      </c>
      <c r="F44" s="32">
        <v>0</v>
      </c>
      <c r="G44" s="32">
        <v>10</v>
      </c>
      <c r="H44" s="35">
        <f ca="1">LEFT(Music_Data[[#This Row],[Duration_minutes]],3)/60</f>
        <v>4.4666666666666668</v>
      </c>
      <c r="I44" s="34">
        <v>4.3400000000000001E-3</v>
      </c>
      <c r="J44" s="36" t="str">
        <f t="shared" si="0"/>
        <v>Popular</v>
      </c>
      <c r="K44" s="42">
        <v>43525</v>
      </c>
      <c r="L44" s="15" t="s">
        <v>13250</v>
      </c>
      <c r="M44" t="s">
        <v>13289</v>
      </c>
    </row>
    <row r="45" spans="1:16" ht="16" customHeight="1">
      <c r="A45" s="39">
        <v>0.60399999999999998</v>
      </c>
      <c r="B45" s="37">
        <v>109</v>
      </c>
      <c r="C45" s="38">
        <v>0.56100000000000005</v>
      </c>
      <c r="D45" s="39">
        <v>0.24199999999999999</v>
      </c>
      <c r="E45" s="37">
        <v>89</v>
      </c>
      <c r="F45" s="37">
        <v>1</v>
      </c>
      <c r="G45" s="37">
        <v>9</v>
      </c>
      <c r="H45" s="40">
        <f ca="1">LEFT(Music_Data[[#This Row],[Duration_minutes]],3)/60</f>
        <v>4.0166666666666666</v>
      </c>
      <c r="I45" s="39">
        <v>0.19900000000000001</v>
      </c>
      <c r="J45" s="41" t="str">
        <f t="shared" si="0"/>
        <v>Popular</v>
      </c>
      <c r="K45" s="43">
        <v>43532</v>
      </c>
      <c r="L45" s="11" t="s">
        <v>13232</v>
      </c>
      <c r="M45" s="17">
        <v>0.22162031309808583</v>
      </c>
      <c r="P45" s="17">
        <f>GETPIVOTDATA("Promedios de todas las canciones",$L$44,"Variables","Acousticness")</f>
        <v>0.22162031309808583</v>
      </c>
    </row>
    <row r="46" spans="1:16" ht="16" customHeight="1">
      <c r="A46" s="34">
        <v>0.45400000000000001</v>
      </c>
      <c r="B46" s="32">
        <v>144</v>
      </c>
      <c r="C46" s="33">
        <v>0.68899999999999995</v>
      </c>
      <c r="D46" s="34">
        <v>0.91200000000000003</v>
      </c>
      <c r="E46" s="32">
        <v>89</v>
      </c>
      <c r="F46" s="32">
        <v>1</v>
      </c>
      <c r="G46" s="32">
        <v>2</v>
      </c>
      <c r="H46" s="35">
        <f ca="1">LEFT(Music_Data[[#This Row],[Duration_minutes]],3)/60</f>
        <v>2.5333333333333332</v>
      </c>
      <c r="I46" s="34">
        <v>3.5099999999999999E-2</v>
      </c>
      <c r="J46" s="36" t="str">
        <f t="shared" si="0"/>
        <v>Popular</v>
      </c>
      <c r="K46" s="42">
        <v>44512</v>
      </c>
      <c r="L46" s="11" t="s">
        <v>13223</v>
      </c>
      <c r="M46" s="17">
        <v>0.65009629186602835</v>
      </c>
      <c r="P46" s="17">
        <f>GETPIVOTDATA("Promedios de todas las canciones",$L$44,"Variables","Danceability")</f>
        <v>0.65009629186602835</v>
      </c>
    </row>
    <row r="47" spans="1:16" ht="16" customHeight="1">
      <c r="A47" s="39">
        <v>0.68100000000000005</v>
      </c>
      <c r="B47" s="37">
        <v>704</v>
      </c>
      <c r="C47" s="38">
        <v>0.56000000000000005</v>
      </c>
      <c r="D47" s="39">
        <v>0.38800000000000001</v>
      </c>
      <c r="E47" s="37">
        <v>89</v>
      </c>
      <c r="F47" s="37">
        <v>0</v>
      </c>
      <c r="G47" s="37">
        <v>6</v>
      </c>
      <c r="H47" s="40">
        <f ca="1">LEFT(Music_Data[[#This Row],[Duration_minutes]],3)/60</f>
        <v>4.5333333333333332</v>
      </c>
      <c r="I47" s="39">
        <v>0.10299999999999999</v>
      </c>
      <c r="J47" s="41" t="str">
        <f t="shared" si="0"/>
        <v>Popular</v>
      </c>
      <c r="K47" s="43">
        <v>43707</v>
      </c>
      <c r="L47" s="11" t="s">
        <v>13221</v>
      </c>
      <c r="M47" s="17">
        <v>0.66718020334928163</v>
      </c>
      <c r="P47" s="17">
        <f>GETPIVOTDATA("Promedios de todas las canciones",$L$44,"Variables","Energy")</f>
        <v>0.66718020334928163</v>
      </c>
    </row>
    <row r="48" spans="1:16" ht="16" customHeight="1">
      <c r="A48" s="34">
        <v>0.872</v>
      </c>
      <c r="B48" s="32">
        <v>137</v>
      </c>
      <c r="C48" s="33">
        <v>0.46600000000000003</v>
      </c>
      <c r="D48" s="34">
        <v>0.80600000000000005</v>
      </c>
      <c r="E48" s="32">
        <v>89</v>
      </c>
      <c r="F48" s="32">
        <v>1</v>
      </c>
      <c r="G48" s="32">
        <v>7</v>
      </c>
      <c r="H48" s="35">
        <f ca="1">LEFT(Music_Data[[#This Row],[Duration_minutes]],3)/60</f>
        <v>3.4666666666666668</v>
      </c>
      <c r="I48" s="34">
        <v>1.5599999999999999E-2</v>
      </c>
      <c r="J48" s="36" t="str">
        <f t="shared" si="0"/>
        <v>Popular</v>
      </c>
      <c r="K48" s="42">
        <v>43392</v>
      </c>
      <c r="L48" s="11" t="s">
        <v>13224</v>
      </c>
      <c r="M48" s="17">
        <v>0.52491315789473625</v>
      </c>
      <c r="P48" s="17">
        <f>GETPIVOTDATA("Promedios de todas las canciones",$L$44,"Variables","Valence")</f>
        <v>0.52491315789473625</v>
      </c>
    </row>
    <row r="49" spans="1:11" ht="16" customHeight="1">
      <c r="A49" s="39">
        <v>0.68100000000000005</v>
      </c>
      <c r="B49" s="37">
        <v>101</v>
      </c>
      <c r="C49" s="38">
        <v>0.56000000000000005</v>
      </c>
      <c r="D49" s="39">
        <v>0.38800000000000001</v>
      </c>
      <c r="E49" s="37">
        <v>89</v>
      </c>
      <c r="F49" s="37">
        <v>0</v>
      </c>
      <c r="G49" s="37">
        <v>6</v>
      </c>
      <c r="H49" s="40">
        <f ca="1">LEFT(Music_Data[[#This Row],[Duration_minutes]],3)/60</f>
        <v>3.65</v>
      </c>
      <c r="I49" s="39">
        <v>0.10299999999999999</v>
      </c>
      <c r="J49" s="41" t="str">
        <f t="shared" si="0"/>
        <v>Popular</v>
      </c>
      <c r="K49" s="43">
        <v>45512</v>
      </c>
    </row>
    <row r="50" spans="1:11" ht="16" customHeight="1">
      <c r="A50" s="34">
        <v>0.68899999999999995</v>
      </c>
      <c r="B50" s="32">
        <v>829</v>
      </c>
      <c r="C50" s="33">
        <v>0.72399999999999998</v>
      </c>
      <c r="D50" s="34">
        <v>0.93600000000000005</v>
      </c>
      <c r="E50" s="32">
        <v>89</v>
      </c>
      <c r="F50" s="32">
        <v>0</v>
      </c>
      <c r="G50" s="32">
        <v>7</v>
      </c>
      <c r="H50" s="35">
        <f ca="1">LEFT(Music_Data[[#This Row],[Duration_minutes]],3)/60</f>
        <v>3.6</v>
      </c>
      <c r="I50" s="34">
        <v>0.57299999999999995</v>
      </c>
      <c r="J50" s="36" t="str">
        <f t="shared" si="0"/>
        <v>Popular</v>
      </c>
      <c r="K50" s="42">
        <v>44763</v>
      </c>
    </row>
    <row r="51" spans="1:11" ht="16" customHeight="1">
      <c r="A51" s="39">
        <v>0.60399999999999998</v>
      </c>
      <c r="B51" s="37">
        <v>145</v>
      </c>
      <c r="C51" s="38">
        <v>0.56100000000000005</v>
      </c>
      <c r="D51" s="39">
        <v>0.24199999999999999</v>
      </c>
      <c r="E51" s="37">
        <v>89</v>
      </c>
      <c r="F51" s="37">
        <v>1</v>
      </c>
      <c r="G51" s="37">
        <v>9</v>
      </c>
      <c r="H51" s="40">
        <f ca="1">LEFT(Music_Data[[#This Row],[Duration_minutes]],3)/60</f>
        <v>4.05</v>
      </c>
      <c r="I51" s="39">
        <v>0.19900000000000001</v>
      </c>
      <c r="J51" s="41" t="str">
        <f t="shared" si="0"/>
        <v>Popular</v>
      </c>
      <c r="K51" s="43">
        <v>44736</v>
      </c>
    </row>
    <row r="52" spans="1:11" ht="16" customHeight="1">
      <c r="A52" s="34">
        <v>0.47099999999999997</v>
      </c>
      <c r="B52" s="32">
        <v>140</v>
      </c>
      <c r="C52" s="33">
        <v>0.47199999999999998</v>
      </c>
      <c r="D52" s="34">
        <v>0.219</v>
      </c>
      <c r="E52" s="32">
        <v>89</v>
      </c>
      <c r="F52" s="32">
        <v>1</v>
      </c>
      <c r="G52" s="32">
        <v>10</v>
      </c>
      <c r="H52" s="35">
        <f ca="1">LEFT(Music_Data[[#This Row],[Duration_minutes]],3)/60</f>
        <v>3.3</v>
      </c>
      <c r="I52" s="34">
        <v>0.151</v>
      </c>
      <c r="J52" s="36" t="str">
        <f t="shared" si="0"/>
        <v>Popular</v>
      </c>
      <c r="K52" s="42">
        <v>41901</v>
      </c>
    </row>
    <row r="53" spans="1:11" ht="16" customHeight="1">
      <c r="A53" s="39">
        <v>0.60399999999999998</v>
      </c>
      <c r="B53" s="37">
        <v>141</v>
      </c>
      <c r="C53" s="38">
        <v>0.56100000000000005</v>
      </c>
      <c r="D53" s="39">
        <v>0.24199999999999999</v>
      </c>
      <c r="E53" s="37">
        <v>89</v>
      </c>
      <c r="F53" s="37">
        <v>1</v>
      </c>
      <c r="G53" s="37">
        <v>9</v>
      </c>
      <c r="H53" s="40">
        <f ca="1">LEFT(Music_Data[[#This Row],[Duration_minutes]],3)/60</f>
        <v>3.4166666666666665</v>
      </c>
      <c r="I53" s="39">
        <v>0.19900000000000001</v>
      </c>
      <c r="J53" s="41" t="str">
        <f t="shared" si="0"/>
        <v>Popular</v>
      </c>
      <c r="K53" s="43">
        <v>45247</v>
      </c>
    </row>
    <row r="54" spans="1:11" ht="16" customHeight="1">
      <c r="A54" s="34">
        <v>0.66100000000000003</v>
      </c>
      <c r="B54" s="32">
        <v>140</v>
      </c>
      <c r="C54" s="33">
        <v>0.42899999999999999</v>
      </c>
      <c r="D54" s="34">
        <v>0.28499999999999998</v>
      </c>
      <c r="E54" s="32">
        <v>89</v>
      </c>
      <c r="F54" s="32">
        <v>1</v>
      </c>
      <c r="G54" s="32">
        <v>11</v>
      </c>
      <c r="H54" s="35">
        <f ca="1">LEFT(Music_Data[[#This Row],[Duration_minutes]],3)/60</f>
        <v>2.4</v>
      </c>
      <c r="I54" s="34">
        <v>2.3900000000000002E-3</v>
      </c>
      <c r="J54" s="36" t="str">
        <f t="shared" si="0"/>
        <v>Popular</v>
      </c>
      <c r="K54" s="42">
        <v>45310</v>
      </c>
    </row>
    <row r="55" spans="1:11" ht="16" customHeight="1">
      <c r="A55" s="39">
        <v>0.69799999999999995</v>
      </c>
      <c r="B55" s="37">
        <v>104</v>
      </c>
      <c r="C55" s="38">
        <v>0.72599999999999998</v>
      </c>
      <c r="D55" s="39">
        <v>0.86699999999999999</v>
      </c>
      <c r="E55" s="37">
        <v>89</v>
      </c>
      <c r="F55" s="37">
        <v>1</v>
      </c>
      <c r="G55" s="37">
        <v>5</v>
      </c>
      <c r="H55" s="40">
        <f ca="1">LEFT(Music_Data[[#This Row],[Duration_minutes]],3)/60</f>
        <v>3.9833333333333334</v>
      </c>
      <c r="I55" s="39">
        <v>4.9000000000000002E-2</v>
      </c>
      <c r="J55" s="41" t="str">
        <f t="shared" si="0"/>
        <v>Popular</v>
      </c>
      <c r="K55" s="43">
        <v>42923</v>
      </c>
    </row>
    <row r="56" spans="1:11">
      <c r="A56" s="34">
        <v>0.52</v>
      </c>
      <c r="B56" s="32">
        <v>125</v>
      </c>
      <c r="C56" s="33">
        <v>0.67200000000000004</v>
      </c>
      <c r="D56" s="34">
        <v>0.37</v>
      </c>
      <c r="E56" s="32">
        <v>89</v>
      </c>
      <c r="F56" s="32">
        <v>1</v>
      </c>
      <c r="G56" s="32">
        <v>8</v>
      </c>
      <c r="H56" s="35">
        <f ca="1">LEFT(Music_Data[[#This Row],[Duration_minutes]],3)/60</f>
        <v>4.1166666666666663</v>
      </c>
      <c r="I56" s="34">
        <v>0.85899999999999999</v>
      </c>
      <c r="J56" s="36" t="str">
        <f t="shared" si="0"/>
        <v>Popular</v>
      </c>
      <c r="K56" s="42">
        <v>44099</v>
      </c>
    </row>
    <row r="57" spans="1:11">
      <c r="A57" s="39">
        <v>0.64</v>
      </c>
      <c r="B57" s="37">
        <v>102</v>
      </c>
      <c r="C57" s="38">
        <v>0.26400000000000001</v>
      </c>
      <c r="D57" s="39">
        <v>0.19</v>
      </c>
      <c r="E57" s="37">
        <v>89</v>
      </c>
      <c r="F57" s="37">
        <v>1</v>
      </c>
      <c r="G57" s="37">
        <v>8</v>
      </c>
      <c r="H57" s="40">
        <f ca="1">LEFT(Music_Data[[#This Row],[Duration_minutes]],3)/60</f>
        <v>3.2666666666666666</v>
      </c>
      <c r="I57" s="39">
        <v>3.9300000000000002E-2</v>
      </c>
      <c r="J57" s="41" t="str">
        <f t="shared" si="0"/>
        <v>Popular</v>
      </c>
      <c r="K57" s="43">
        <v>44099</v>
      </c>
    </row>
    <row r="58" spans="1:11">
      <c r="A58" s="34">
        <v>0.68899999999999995</v>
      </c>
      <c r="B58" s="32">
        <v>105</v>
      </c>
      <c r="C58" s="33">
        <v>0.72399999999999998</v>
      </c>
      <c r="D58" s="34">
        <v>0.93600000000000005</v>
      </c>
      <c r="E58" s="32">
        <v>89</v>
      </c>
      <c r="F58" s="32">
        <v>0</v>
      </c>
      <c r="G58" s="32">
        <v>7</v>
      </c>
      <c r="H58" s="35">
        <f ca="1">LEFT(Music_Data[[#This Row],[Duration_minutes]],3)/60</f>
        <v>3.65</v>
      </c>
      <c r="I58" s="34">
        <v>0.57299999999999995</v>
      </c>
      <c r="J58" s="36" t="str">
        <f t="shared" si="0"/>
        <v>Popular</v>
      </c>
      <c r="K58" s="42">
        <v>45007</v>
      </c>
    </row>
    <row r="59" spans="1:11">
      <c r="A59" s="34">
        <v>0.52</v>
      </c>
      <c r="B59" s="37">
        <v>144</v>
      </c>
      <c r="C59" s="33">
        <v>0.67200000000000004</v>
      </c>
      <c r="D59" s="34">
        <v>0.37</v>
      </c>
      <c r="E59" s="32">
        <v>89</v>
      </c>
      <c r="F59" s="32">
        <v>1</v>
      </c>
      <c r="G59" s="32">
        <v>8</v>
      </c>
      <c r="H59" s="35">
        <f ca="1">LEFT(Music_Data[[#This Row],[Duration_minutes]],3)/60</f>
        <v>3.45</v>
      </c>
      <c r="I59" s="34">
        <v>0.85899999999999999</v>
      </c>
      <c r="J59" s="36" t="str">
        <f t="shared" si="0"/>
        <v>Popular</v>
      </c>
      <c r="K59" s="42">
        <v>42157</v>
      </c>
    </row>
    <row r="60" spans="1:11">
      <c r="A60" s="34">
        <v>0.66100000000000003</v>
      </c>
      <c r="B60" s="32">
        <v>106</v>
      </c>
      <c r="C60" s="33">
        <v>0.42899999999999999</v>
      </c>
      <c r="D60" s="34">
        <v>0.28499999999999998</v>
      </c>
      <c r="E60" s="32">
        <v>89</v>
      </c>
      <c r="F60" s="32">
        <v>1</v>
      </c>
      <c r="G60" s="32">
        <v>11</v>
      </c>
      <c r="H60" s="35">
        <f ca="1">LEFT(Music_Data[[#This Row],[Duration_minutes]],3)/60</f>
        <v>2.25</v>
      </c>
      <c r="I60" s="34">
        <v>2.3900000000000002E-3</v>
      </c>
      <c r="J60" s="36" t="str">
        <f t="shared" si="0"/>
        <v>Popular</v>
      </c>
      <c r="K60" s="42">
        <v>45511</v>
      </c>
    </row>
    <row r="61" spans="1:11">
      <c r="A61" s="34">
        <v>0.45400000000000001</v>
      </c>
      <c r="B61" s="37">
        <v>101</v>
      </c>
      <c r="C61" s="33">
        <v>0.68899999999999995</v>
      </c>
      <c r="D61" s="34">
        <v>0.91200000000000003</v>
      </c>
      <c r="E61" s="32">
        <v>89</v>
      </c>
      <c r="F61" s="32">
        <v>1</v>
      </c>
      <c r="G61" s="32">
        <v>2</v>
      </c>
      <c r="H61" s="35">
        <f ca="1">LEFT(Music_Data[[#This Row],[Duration_minutes]],3)/60</f>
        <v>4.3</v>
      </c>
      <c r="I61" s="34">
        <v>3.5099999999999999E-2</v>
      </c>
      <c r="J61" s="36" t="str">
        <f t="shared" si="0"/>
        <v>Popular</v>
      </c>
      <c r="K61" s="42">
        <v>44512</v>
      </c>
    </row>
    <row r="62" spans="1:11">
      <c r="A62" s="34">
        <v>0.69799999999999995</v>
      </c>
      <c r="B62" s="32">
        <v>123</v>
      </c>
      <c r="C62" s="33">
        <v>0.72599999999999998</v>
      </c>
      <c r="D62" s="34">
        <v>0.86699999999999999</v>
      </c>
      <c r="E62" s="32">
        <v>89</v>
      </c>
      <c r="F62" s="32">
        <v>1</v>
      </c>
      <c r="G62" s="32">
        <v>5</v>
      </c>
      <c r="H62" s="35">
        <f ca="1">LEFT(Music_Data[[#This Row],[Duration_minutes]],3)/60</f>
        <v>3</v>
      </c>
      <c r="I62" s="34">
        <v>4.9000000000000002E-2</v>
      </c>
      <c r="J62" s="36" t="str">
        <f t="shared" si="0"/>
        <v>Popular</v>
      </c>
      <c r="K62" s="42">
        <v>44453</v>
      </c>
    </row>
    <row r="63" spans="1:11">
      <c r="A63" s="34">
        <v>0.872</v>
      </c>
      <c r="B63" s="37">
        <v>165</v>
      </c>
      <c r="C63" s="33">
        <v>0.46600000000000003</v>
      </c>
      <c r="D63" s="34">
        <v>0.80600000000000005</v>
      </c>
      <c r="E63" s="32">
        <v>89</v>
      </c>
      <c r="F63" s="32">
        <v>1</v>
      </c>
      <c r="G63" s="32">
        <v>7</v>
      </c>
      <c r="H63" s="35">
        <f ca="1">LEFT(Music_Data[[#This Row],[Duration_minutes]],3)/60</f>
        <v>3.6833333333333331</v>
      </c>
      <c r="I63" s="34">
        <v>1.5599999999999999E-2</v>
      </c>
      <c r="J63" s="36" t="str">
        <f t="shared" si="0"/>
        <v>Popular</v>
      </c>
      <c r="K63" s="42">
        <v>45317</v>
      </c>
    </row>
    <row r="64" spans="1:11">
      <c r="A64" s="34">
        <v>0.56100000000000005</v>
      </c>
      <c r="B64" s="32">
        <v>104</v>
      </c>
      <c r="C64" s="33">
        <v>0.66900000000000004</v>
      </c>
      <c r="D64" s="34">
        <v>0.84099999999999997</v>
      </c>
      <c r="E64" s="32">
        <v>88</v>
      </c>
      <c r="F64" s="32">
        <v>1</v>
      </c>
      <c r="G64" s="32">
        <v>10</v>
      </c>
      <c r="H64" s="35">
        <f ca="1">LEFT(Music_Data[[#This Row],[Duration_minutes]],3)/60</f>
        <v>2.6166666666666667</v>
      </c>
      <c r="I64" s="34">
        <v>0.495</v>
      </c>
      <c r="J64" s="36" t="str">
        <f t="shared" si="0"/>
        <v>Popular</v>
      </c>
      <c r="K64" s="42">
        <v>45092</v>
      </c>
    </row>
    <row r="65" spans="1:11">
      <c r="A65" s="34">
        <v>0.58599999999999997</v>
      </c>
      <c r="B65" s="37">
        <v>159</v>
      </c>
      <c r="C65" s="33">
        <v>0.66900000000000004</v>
      </c>
      <c r="D65" s="34">
        <v>0.57899999999999996</v>
      </c>
      <c r="E65" s="32">
        <v>88</v>
      </c>
      <c r="F65" s="32">
        <v>1</v>
      </c>
      <c r="G65" s="32">
        <v>9</v>
      </c>
      <c r="H65" s="35">
        <f ca="1">LEFT(Music_Data[[#This Row],[Duration_minutes]],3)/60</f>
        <v>4.0666666666666664</v>
      </c>
      <c r="I65" s="34">
        <v>0.27400000000000002</v>
      </c>
      <c r="J65" s="36" t="str">
        <f t="shared" si="0"/>
        <v>Popular</v>
      </c>
      <c r="K65" s="42">
        <v>44407</v>
      </c>
    </row>
    <row r="66" spans="1:11">
      <c r="A66" s="34">
        <v>0.75700000000000001</v>
      </c>
      <c r="B66" s="32">
        <v>110</v>
      </c>
      <c r="C66" s="33">
        <v>0.74199999999999999</v>
      </c>
      <c r="D66" s="34">
        <v>0.95699999999999996</v>
      </c>
      <c r="E66" s="32">
        <v>88</v>
      </c>
      <c r="F66" s="32">
        <v>1</v>
      </c>
      <c r="G66" s="32">
        <v>6</v>
      </c>
      <c r="H66" s="35">
        <f ca="1">LEFT(Music_Data[[#This Row],[Duration_minutes]],3)/60</f>
        <v>3.2333333333333334</v>
      </c>
      <c r="I66" s="34">
        <v>1.8700000000000001E-2</v>
      </c>
      <c r="J66" s="36" t="str">
        <f t="shared" si="0"/>
        <v>Popular</v>
      </c>
      <c r="K66" s="42">
        <v>44407</v>
      </c>
    </row>
    <row r="67" spans="1:11">
      <c r="A67" s="34">
        <v>0.81200000000000006</v>
      </c>
      <c r="B67" s="37">
        <v>789</v>
      </c>
      <c r="C67" s="33">
        <v>0.505</v>
      </c>
      <c r="D67" s="34">
        <v>0.66400000000000003</v>
      </c>
      <c r="E67" s="32">
        <v>88</v>
      </c>
      <c r="F67" s="32">
        <v>1</v>
      </c>
      <c r="G67" s="32">
        <v>1</v>
      </c>
      <c r="H67" s="35">
        <f ca="1">LEFT(Music_Data[[#This Row],[Duration_minutes]],3)/60</f>
        <v>3.8</v>
      </c>
      <c r="I67" s="34">
        <v>0.28499999999999998</v>
      </c>
      <c r="J67" s="36" t="str">
        <f t="shared" si="0"/>
        <v>Popular</v>
      </c>
      <c r="K67" s="42">
        <v>43707</v>
      </c>
    </row>
    <row r="68" spans="1:11">
      <c r="A68" s="34">
        <v>0.60099999999999998</v>
      </c>
      <c r="B68" s="32">
        <v>113</v>
      </c>
      <c r="C68" s="33">
        <v>0.63500000000000001</v>
      </c>
      <c r="D68" s="34">
        <v>0.33200000000000002</v>
      </c>
      <c r="E68" s="32">
        <v>88</v>
      </c>
      <c r="F68" s="32">
        <v>0</v>
      </c>
      <c r="G68" s="32">
        <v>1</v>
      </c>
      <c r="H68" s="35">
        <f ca="1">LEFT(Music_Data[[#This Row],[Duration_minutes]],3)/60</f>
        <v>3.1</v>
      </c>
      <c r="I68" s="34">
        <v>0.246</v>
      </c>
      <c r="J68" s="36" t="str">
        <f t="shared" ref="J68:J131" si="1">IF(E68&gt;=94,"Muy Popular",IF(E68&gt;=86,"Popular",IF(E68&gt;=78,"No muy popular","Casi nada popular")))</f>
        <v>Popular</v>
      </c>
      <c r="K68" s="42">
        <v>45239</v>
      </c>
    </row>
    <row r="69" spans="1:11">
      <c r="A69" s="34">
        <v>0.47199999999999998</v>
      </c>
      <c r="B69" s="37">
        <v>929</v>
      </c>
      <c r="C69" s="33">
        <v>0.89800000000000002</v>
      </c>
      <c r="D69" s="34">
        <v>0.214</v>
      </c>
      <c r="E69" s="32">
        <v>88</v>
      </c>
      <c r="F69" s="32">
        <v>1</v>
      </c>
      <c r="G69" s="32">
        <v>1</v>
      </c>
      <c r="H69" s="35">
        <f ca="1">LEFT(Music_Data[[#This Row],[Duration_minutes]],3)/60</f>
        <v>2.4500000000000002</v>
      </c>
      <c r="I69" s="34">
        <v>1.0699999999999999E-2</v>
      </c>
      <c r="J69" s="36" t="str">
        <f t="shared" si="1"/>
        <v>Popular</v>
      </c>
      <c r="K69" s="42">
        <v>44722</v>
      </c>
    </row>
    <row r="70" spans="1:11">
      <c r="A70" s="34">
        <v>0.81200000000000006</v>
      </c>
      <c r="B70" s="32">
        <v>104</v>
      </c>
      <c r="C70" s="33">
        <v>0.505</v>
      </c>
      <c r="D70" s="34">
        <v>0.66400000000000003</v>
      </c>
      <c r="E70" s="32">
        <v>88</v>
      </c>
      <c r="F70" s="32">
        <v>1</v>
      </c>
      <c r="G70" s="32">
        <v>1</v>
      </c>
      <c r="H70" s="35">
        <f ca="1">LEFT(Music_Data[[#This Row],[Duration_minutes]],3)/60</f>
        <v>4.1333333333333337</v>
      </c>
      <c r="I70" s="34">
        <v>0.28499999999999998</v>
      </c>
      <c r="J70" s="36" t="str">
        <f t="shared" si="1"/>
        <v>Popular</v>
      </c>
      <c r="K70" s="42">
        <v>44133</v>
      </c>
    </row>
    <row r="71" spans="1:11">
      <c r="A71" s="34">
        <v>0.47199999999999998</v>
      </c>
      <c r="B71" s="37">
        <v>112</v>
      </c>
      <c r="C71" s="33">
        <v>0.89800000000000002</v>
      </c>
      <c r="D71" s="34">
        <v>0.214</v>
      </c>
      <c r="E71" s="32">
        <v>88</v>
      </c>
      <c r="F71" s="32">
        <v>1</v>
      </c>
      <c r="G71" s="32">
        <v>1</v>
      </c>
      <c r="H71" s="35">
        <f ca="1">LEFT(Music_Data[[#This Row],[Duration_minutes]],3)/60</f>
        <v>2.6</v>
      </c>
      <c r="I71" s="34">
        <v>1.0699999999999999E-2</v>
      </c>
      <c r="J71" s="36" t="str">
        <f t="shared" si="1"/>
        <v>Popular</v>
      </c>
      <c r="K71" s="42">
        <v>45519</v>
      </c>
    </row>
    <row r="72" spans="1:11">
      <c r="A72" s="34">
        <v>0.47199999999999998</v>
      </c>
      <c r="B72" s="32">
        <v>940</v>
      </c>
      <c r="C72" s="33">
        <v>0.89800000000000002</v>
      </c>
      <c r="D72" s="34">
        <v>0.214</v>
      </c>
      <c r="E72" s="32">
        <v>88</v>
      </c>
      <c r="F72" s="32">
        <v>1</v>
      </c>
      <c r="G72" s="32">
        <v>1</v>
      </c>
      <c r="H72" s="35">
        <f ca="1">LEFT(Music_Data[[#This Row],[Duration_minutes]],3)/60</f>
        <v>3.5166666666666666</v>
      </c>
      <c r="I72" s="34">
        <v>1.0699999999999999E-2</v>
      </c>
      <c r="J72" s="36" t="str">
        <f t="shared" si="1"/>
        <v>Popular</v>
      </c>
      <c r="K72" s="42">
        <v>42867</v>
      </c>
    </row>
    <row r="73" spans="1:11">
      <c r="A73" s="34">
        <v>0.48199999999999998</v>
      </c>
      <c r="B73" s="37">
        <v>678</v>
      </c>
      <c r="C73" s="33">
        <v>0.69</v>
      </c>
      <c r="D73" s="34">
        <v>0.35599999999999998</v>
      </c>
      <c r="E73" s="32">
        <v>88</v>
      </c>
      <c r="F73" s="32">
        <v>0</v>
      </c>
      <c r="G73" s="32">
        <v>7</v>
      </c>
      <c r="H73" s="35">
        <f ca="1">LEFT(Music_Data[[#This Row],[Duration_minutes]],3)/60</f>
        <v>3</v>
      </c>
      <c r="I73" s="34">
        <v>0.52300000000000002</v>
      </c>
      <c r="J73" s="36" t="str">
        <f t="shared" si="1"/>
        <v>Popular</v>
      </c>
      <c r="K73" s="42">
        <v>45398</v>
      </c>
    </row>
    <row r="74" spans="1:11">
      <c r="A74" s="34">
        <v>0.51300000000000001</v>
      </c>
      <c r="B74" s="32">
        <v>999</v>
      </c>
      <c r="C74" s="33">
        <v>0.745</v>
      </c>
      <c r="D74" s="34">
        <v>0.92900000000000005</v>
      </c>
      <c r="E74" s="32">
        <v>88</v>
      </c>
      <c r="F74" s="32">
        <v>1</v>
      </c>
      <c r="G74" s="32">
        <v>1</v>
      </c>
      <c r="H74" s="35">
        <f ca="1">LEFT(Music_Data[[#This Row],[Duration_minutes]],3)/60</f>
        <v>3.0833333333333335</v>
      </c>
      <c r="I74" s="34">
        <v>0.78300000000000003</v>
      </c>
      <c r="J74" s="36" t="str">
        <f t="shared" si="1"/>
        <v>Popular</v>
      </c>
      <c r="K74" s="42">
        <v>44820</v>
      </c>
    </row>
    <row r="75" spans="1:11">
      <c r="A75" s="39">
        <v>0.88200000000000001</v>
      </c>
      <c r="B75" s="37">
        <v>110</v>
      </c>
      <c r="C75" s="38">
        <v>0.56899999999999995</v>
      </c>
      <c r="D75" s="39">
        <v>0.20100000000000001</v>
      </c>
      <c r="E75" s="37">
        <v>88</v>
      </c>
      <c r="F75" s="37">
        <v>0</v>
      </c>
      <c r="G75" s="37">
        <v>3</v>
      </c>
      <c r="H75" s="40">
        <f ca="1">LEFT(Music_Data[[#This Row],[Duration_minutes]],3)/60</f>
        <v>3.8666666666666667</v>
      </c>
      <c r="I75" s="39">
        <v>3.1600000000000003E-2</v>
      </c>
      <c r="J75" s="41" t="str">
        <f t="shared" si="1"/>
        <v>Popular</v>
      </c>
      <c r="K75" s="43">
        <v>44820</v>
      </c>
    </row>
    <row r="76" spans="1:11">
      <c r="A76" s="34">
        <v>0.60099999999999998</v>
      </c>
      <c r="B76" s="32">
        <v>818</v>
      </c>
      <c r="C76" s="33">
        <v>0.63500000000000001</v>
      </c>
      <c r="D76" s="34">
        <v>0.33200000000000002</v>
      </c>
      <c r="E76" s="32">
        <v>88</v>
      </c>
      <c r="F76" s="32">
        <v>0</v>
      </c>
      <c r="G76" s="32">
        <v>1</v>
      </c>
      <c r="H76" s="35">
        <f ca="1">LEFT(Music_Data[[#This Row],[Duration_minutes]],3)/60</f>
        <v>4</v>
      </c>
      <c r="I76" s="34">
        <v>0.246</v>
      </c>
      <c r="J76" s="36" t="str">
        <f t="shared" si="1"/>
        <v>Popular</v>
      </c>
      <c r="K76" s="42">
        <v>41901</v>
      </c>
    </row>
    <row r="77" spans="1:11">
      <c r="A77" s="39">
        <v>0.75700000000000001</v>
      </c>
      <c r="B77" s="37">
        <v>866</v>
      </c>
      <c r="C77" s="38">
        <v>0.74199999999999999</v>
      </c>
      <c r="D77" s="39">
        <v>0.95699999999999996</v>
      </c>
      <c r="E77" s="37">
        <v>88</v>
      </c>
      <c r="F77" s="37">
        <v>1</v>
      </c>
      <c r="G77" s="37">
        <v>6</v>
      </c>
      <c r="H77" s="40">
        <f ca="1">LEFT(Music_Data[[#This Row],[Duration_minutes]],3)/60</f>
        <v>1.6666666666666667</v>
      </c>
      <c r="I77" s="39">
        <v>1.8700000000000001E-2</v>
      </c>
      <c r="J77" s="41" t="str">
        <f t="shared" si="1"/>
        <v>Popular</v>
      </c>
      <c r="K77" s="43">
        <v>45065</v>
      </c>
    </row>
    <row r="78" spans="1:11">
      <c r="A78" s="34">
        <v>0.47199999999999998</v>
      </c>
      <c r="B78" s="32">
        <v>123</v>
      </c>
      <c r="C78" s="33">
        <v>0.89800000000000002</v>
      </c>
      <c r="D78" s="34">
        <v>0.214</v>
      </c>
      <c r="E78" s="32">
        <v>88</v>
      </c>
      <c r="F78" s="32">
        <v>1</v>
      </c>
      <c r="G78" s="32">
        <v>1</v>
      </c>
      <c r="H78" s="35">
        <f ca="1">LEFT(Music_Data[[#This Row],[Duration_minutes]],3)/60</f>
        <v>3.6333333333333333</v>
      </c>
      <c r="I78" s="34">
        <v>1.0699999999999999E-2</v>
      </c>
      <c r="J78" s="36" t="str">
        <f t="shared" si="1"/>
        <v>Popular</v>
      </c>
      <c r="K78" s="42">
        <v>43259</v>
      </c>
    </row>
    <row r="79" spans="1:11">
      <c r="A79" s="39">
        <v>0.58599999999999997</v>
      </c>
      <c r="B79" s="37">
        <v>103</v>
      </c>
      <c r="C79" s="38">
        <v>0.66900000000000004</v>
      </c>
      <c r="D79" s="39">
        <v>0.57899999999999996</v>
      </c>
      <c r="E79" s="37">
        <v>88</v>
      </c>
      <c r="F79" s="37">
        <v>1</v>
      </c>
      <c r="G79" s="37">
        <v>9</v>
      </c>
      <c r="H79" s="40">
        <f ca="1">LEFT(Music_Data[[#This Row],[Duration_minutes]],3)/60</f>
        <v>3.0833333333333335</v>
      </c>
      <c r="I79" s="39">
        <v>0.27400000000000002</v>
      </c>
      <c r="J79" s="41" t="str">
        <f t="shared" si="1"/>
        <v>Popular</v>
      </c>
      <c r="K79" s="43">
        <v>43812</v>
      </c>
    </row>
    <row r="80" spans="1:11">
      <c r="A80" s="34">
        <v>0.77600000000000002</v>
      </c>
      <c r="B80" s="32">
        <v>148</v>
      </c>
      <c r="C80" s="33">
        <v>0.69899999999999995</v>
      </c>
      <c r="D80" s="34">
        <v>0.70799999999999996</v>
      </c>
      <c r="E80" s="32">
        <v>88</v>
      </c>
      <c r="F80" s="32">
        <v>1</v>
      </c>
      <c r="G80" s="32">
        <v>0</v>
      </c>
      <c r="H80" s="35">
        <f ca="1">LEFT(Music_Data[[#This Row],[Duration_minutes]],3)/60</f>
        <v>3.1833333333333331</v>
      </c>
      <c r="I80" s="34">
        <v>0.13100000000000001</v>
      </c>
      <c r="J80" s="36" t="str">
        <f t="shared" si="1"/>
        <v>Popular</v>
      </c>
      <c r="K80" s="42">
        <v>45135</v>
      </c>
    </row>
    <row r="81" spans="1:11">
      <c r="A81" s="39">
        <v>0.36899999999999999</v>
      </c>
      <c r="B81" s="37">
        <v>144</v>
      </c>
      <c r="C81" s="38">
        <v>0.44800000000000001</v>
      </c>
      <c r="D81" s="39">
        <v>9.98E-2</v>
      </c>
      <c r="E81" s="37">
        <v>88</v>
      </c>
      <c r="F81" s="37">
        <v>1</v>
      </c>
      <c r="G81" s="37">
        <v>9</v>
      </c>
      <c r="H81" s="40">
        <f ca="1">LEFT(Music_Data[[#This Row],[Duration_minutes]],3)/60</f>
        <v>3.8</v>
      </c>
      <c r="I81" s="39">
        <v>0.96799999999999997</v>
      </c>
      <c r="J81" s="41" t="str">
        <f t="shared" si="1"/>
        <v>Popular</v>
      </c>
      <c r="K81" s="43">
        <v>45373</v>
      </c>
    </row>
    <row r="82" spans="1:11">
      <c r="A82" s="34">
        <v>0.81200000000000006</v>
      </c>
      <c r="B82" s="32">
        <v>161</v>
      </c>
      <c r="C82" s="33">
        <v>0.505</v>
      </c>
      <c r="D82" s="34">
        <v>0.66400000000000003</v>
      </c>
      <c r="E82" s="32">
        <v>88</v>
      </c>
      <c r="F82" s="32">
        <v>1</v>
      </c>
      <c r="G82" s="32">
        <v>1</v>
      </c>
      <c r="H82" s="35">
        <f ca="1">LEFT(Music_Data[[#This Row],[Duration_minutes]],3)/60</f>
        <v>2.75</v>
      </c>
      <c r="I82" s="34">
        <v>0.28499999999999998</v>
      </c>
      <c r="J82" s="36" t="str">
        <f t="shared" si="1"/>
        <v>Popular</v>
      </c>
      <c r="K82" s="42">
        <v>43444</v>
      </c>
    </row>
    <row r="83" spans="1:11">
      <c r="A83" s="39">
        <v>0.56000000000000005</v>
      </c>
      <c r="B83" s="37">
        <v>130</v>
      </c>
      <c r="C83" s="38">
        <v>0.85299999999999998</v>
      </c>
      <c r="D83" s="39">
        <v>0.86</v>
      </c>
      <c r="E83" s="37">
        <v>88</v>
      </c>
      <c r="F83" s="37">
        <v>1</v>
      </c>
      <c r="G83" s="37">
        <v>1</v>
      </c>
      <c r="H83" s="40">
        <f ca="1">LEFT(Music_Data[[#This Row],[Duration_minutes]],3)/60</f>
        <v>2.0833333333333335</v>
      </c>
      <c r="I83" s="39">
        <v>1.2999999999999999E-2</v>
      </c>
      <c r="J83" s="41" t="str">
        <f t="shared" si="1"/>
        <v>Popular</v>
      </c>
      <c r="K83" s="43">
        <v>45093</v>
      </c>
    </row>
    <row r="84" spans="1:11">
      <c r="A84" s="34">
        <v>0.75700000000000001</v>
      </c>
      <c r="B84" s="32">
        <v>879</v>
      </c>
      <c r="C84" s="33">
        <v>0.48199999999999998</v>
      </c>
      <c r="D84" s="34">
        <v>0.12</v>
      </c>
      <c r="E84" s="32">
        <v>88</v>
      </c>
      <c r="F84" s="32">
        <v>1</v>
      </c>
      <c r="G84" s="32">
        <v>6</v>
      </c>
      <c r="H84" s="35">
        <f ca="1">LEFT(Music_Data[[#This Row],[Duration_minutes]],3)/60</f>
        <v>3.3166666666666669</v>
      </c>
      <c r="I84" s="34">
        <v>1.37E-2</v>
      </c>
      <c r="J84" s="36" t="str">
        <f t="shared" si="1"/>
        <v>Popular</v>
      </c>
      <c r="K84" s="42">
        <v>44897</v>
      </c>
    </row>
    <row r="85" spans="1:11">
      <c r="A85" s="39">
        <v>0.86399999999999999</v>
      </c>
      <c r="B85" s="37">
        <v>119</v>
      </c>
      <c r="C85" s="38">
        <v>0.55600000000000005</v>
      </c>
      <c r="D85" s="39">
        <v>0.4</v>
      </c>
      <c r="E85" s="37">
        <v>88</v>
      </c>
      <c r="F85" s="37">
        <v>0</v>
      </c>
      <c r="G85" s="37">
        <v>3</v>
      </c>
      <c r="H85" s="40">
        <f ca="1">LEFT(Music_Data[[#This Row],[Duration_minutes]],3)/60</f>
        <v>3.2333333333333334</v>
      </c>
      <c r="I85" s="39">
        <v>9.58E-3</v>
      </c>
      <c r="J85" s="41" t="str">
        <f t="shared" si="1"/>
        <v>Popular</v>
      </c>
      <c r="K85" s="43">
        <v>44897</v>
      </c>
    </row>
    <row r="86" spans="1:11">
      <c r="A86" s="34">
        <v>0.51300000000000001</v>
      </c>
      <c r="B86" s="32">
        <v>140</v>
      </c>
      <c r="C86" s="33">
        <v>0.745</v>
      </c>
      <c r="D86" s="34">
        <v>0.92900000000000005</v>
      </c>
      <c r="E86" s="32">
        <v>88</v>
      </c>
      <c r="F86" s="32">
        <v>1</v>
      </c>
      <c r="G86" s="32">
        <v>1</v>
      </c>
      <c r="H86" s="35">
        <f ca="1">LEFT(Music_Data[[#This Row],[Duration_minutes]],3)/60</f>
        <v>2.3333333333333335</v>
      </c>
      <c r="I86" s="34">
        <v>0.78300000000000003</v>
      </c>
      <c r="J86" s="36" t="str">
        <f t="shared" si="1"/>
        <v>Popular</v>
      </c>
      <c r="K86" s="42">
        <v>45435</v>
      </c>
    </row>
    <row r="87" spans="1:11">
      <c r="A87" s="39">
        <v>0.88200000000000001</v>
      </c>
      <c r="B87" s="37">
        <v>155</v>
      </c>
      <c r="C87" s="38">
        <v>0.56899999999999995</v>
      </c>
      <c r="D87" s="39">
        <v>0.20100000000000001</v>
      </c>
      <c r="E87" s="37">
        <v>88</v>
      </c>
      <c r="F87" s="37">
        <v>0</v>
      </c>
      <c r="G87" s="37">
        <v>3</v>
      </c>
      <c r="H87" s="40">
        <f ca="1">LEFT(Music_Data[[#This Row],[Duration_minutes]],3)/60</f>
        <v>5.2</v>
      </c>
      <c r="I87" s="39">
        <v>3.1600000000000003E-2</v>
      </c>
      <c r="J87" s="41" t="str">
        <f t="shared" si="1"/>
        <v>Popular</v>
      </c>
      <c r="K87" s="43">
        <v>43315</v>
      </c>
    </row>
    <row r="88" spans="1:11">
      <c r="A88" s="34">
        <v>0.86399999999999999</v>
      </c>
      <c r="B88" s="32">
        <v>910</v>
      </c>
      <c r="C88" s="33">
        <v>0.55600000000000005</v>
      </c>
      <c r="D88" s="34">
        <v>0.4</v>
      </c>
      <c r="E88" s="32">
        <v>88</v>
      </c>
      <c r="F88" s="32">
        <v>0</v>
      </c>
      <c r="G88" s="32">
        <v>3</v>
      </c>
      <c r="H88" s="35">
        <f ca="1">LEFT(Music_Data[[#This Row],[Duration_minutes]],3)/60</f>
        <v>2.3333333333333335</v>
      </c>
      <c r="I88" s="34">
        <v>9.58E-3</v>
      </c>
      <c r="J88" s="36" t="str">
        <f t="shared" si="1"/>
        <v>Popular</v>
      </c>
      <c r="K88" s="42">
        <v>44281</v>
      </c>
    </row>
    <row r="89" spans="1:11">
      <c r="A89" s="39">
        <v>0.48199999999999998</v>
      </c>
      <c r="B89" s="37">
        <v>112</v>
      </c>
      <c r="C89" s="38">
        <v>0.69</v>
      </c>
      <c r="D89" s="39">
        <v>0.35599999999999998</v>
      </c>
      <c r="E89" s="37">
        <v>88</v>
      </c>
      <c r="F89" s="37">
        <v>0</v>
      </c>
      <c r="G89" s="37">
        <v>7</v>
      </c>
      <c r="H89" s="40">
        <f ca="1">LEFT(Music_Data[[#This Row],[Duration_minutes]],3)/60</f>
        <v>2.4166666666666665</v>
      </c>
      <c r="I89" s="39">
        <v>0.52300000000000002</v>
      </c>
      <c r="J89" s="41" t="str">
        <f t="shared" si="1"/>
        <v>Popular</v>
      </c>
      <c r="K89" s="43">
        <v>43378</v>
      </c>
    </row>
    <row r="90" spans="1:11">
      <c r="A90" s="34">
        <v>0.86</v>
      </c>
      <c r="B90" s="32">
        <v>798</v>
      </c>
      <c r="C90" s="33">
        <v>0.77400000000000002</v>
      </c>
      <c r="D90" s="34">
        <v>0.44600000000000001</v>
      </c>
      <c r="E90" s="32">
        <v>88</v>
      </c>
      <c r="F90" s="32">
        <v>0</v>
      </c>
      <c r="G90" s="32">
        <v>7</v>
      </c>
      <c r="H90" s="35">
        <f ca="1">LEFT(Music_Data[[#This Row],[Duration_minutes]],3)/60</f>
        <v>4</v>
      </c>
      <c r="I90" s="34">
        <v>0.13100000000000001</v>
      </c>
      <c r="J90" s="36" t="str">
        <f t="shared" si="1"/>
        <v>Popular</v>
      </c>
      <c r="K90" s="42">
        <v>43532</v>
      </c>
    </row>
    <row r="91" spans="1:11">
      <c r="A91" s="39">
        <v>0.308</v>
      </c>
      <c r="B91" s="37">
        <v>939</v>
      </c>
      <c r="C91" s="38">
        <v>0.504</v>
      </c>
      <c r="D91" s="39">
        <v>0.121</v>
      </c>
      <c r="E91" s="37">
        <v>88</v>
      </c>
      <c r="F91" s="37">
        <v>1</v>
      </c>
      <c r="G91" s="37">
        <v>9</v>
      </c>
      <c r="H91" s="40">
        <f ca="1">LEFT(Music_Data[[#This Row],[Duration_minutes]],3)/60</f>
        <v>2.2000000000000002</v>
      </c>
      <c r="I91" s="39">
        <v>0.86799999999999999</v>
      </c>
      <c r="J91" s="41" t="str">
        <f t="shared" si="1"/>
        <v>Popular</v>
      </c>
      <c r="K91" s="43">
        <v>43966</v>
      </c>
    </row>
    <row r="92" spans="1:11">
      <c r="A92" s="34">
        <v>0.64500000000000002</v>
      </c>
      <c r="B92" s="32">
        <v>140</v>
      </c>
      <c r="C92" s="33">
        <v>0.88200000000000001</v>
      </c>
      <c r="D92" s="34">
        <v>0.78800000000000003</v>
      </c>
      <c r="E92" s="32">
        <v>87</v>
      </c>
      <c r="F92" s="32">
        <v>1</v>
      </c>
      <c r="G92" s="32">
        <v>1</v>
      </c>
      <c r="H92" s="35">
        <f ca="1">LEFT(Music_Data[[#This Row],[Duration_minutes]],3)/60</f>
        <v>3.25</v>
      </c>
      <c r="I92" s="34">
        <v>0.47499999999999998</v>
      </c>
      <c r="J92" s="36" t="str">
        <f t="shared" si="1"/>
        <v>Popular</v>
      </c>
      <c r="K92" s="42">
        <v>44071</v>
      </c>
    </row>
    <row r="93" spans="1:11">
      <c r="A93" s="39">
        <v>0.878</v>
      </c>
      <c r="B93" s="37">
        <v>163</v>
      </c>
      <c r="C93" s="38">
        <v>0.66100000000000003</v>
      </c>
      <c r="D93" s="39">
        <v>0.51400000000000001</v>
      </c>
      <c r="E93" s="37">
        <v>87</v>
      </c>
      <c r="F93" s="37">
        <v>1</v>
      </c>
      <c r="G93" s="37">
        <v>1</v>
      </c>
      <c r="H93" s="40">
        <f ca="1">LEFT(Music_Data[[#This Row],[Duration_minutes]],3)/60</f>
        <v>2.9166666666666665</v>
      </c>
      <c r="I93" s="39">
        <v>2.8900000000000002E-3</v>
      </c>
      <c r="J93" s="41" t="str">
        <f t="shared" si="1"/>
        <v>Popular</v>
      </c>
      <c r="K93" s="43">
        <v>43444</v>
      </c>
    </row>
    <row r="94" spans="1:11">
      <c r="A94" s="34">
        <v>0.54500000000000004</v>
      </c>
      <c r="B94" s="32">
        <v>127</v>
      </c>
      <c r="C94" s="33">
        <v>0.54500000000000004</v>
      </c>
      <c r="D94" s="34">
        <v>0.54900000000000004</v>
      </c>
      <c r="E94" s="32">
        <v>87</v>
      </c>
      <c r="F94" s="32">
        <v>1</v>
      </c>
      <c r="G94" s="32">
        <v>9</v>
      </c>
      <c r="H94" s="35">
        <f ca="1">LEFT(Music_Data[[#This Row],[Duration_minutes]],3)/60</f>
        <v>2.5666666666666669</v>
      </c>
      <c r="I94" s="34">
        <v>0.66700000000000004</v>
      </c>
      <c r="J94" s="36" t="str">
        <f t="shared" si="1"/>
        <v>Popular</v>
      </c>
      <c r="K94" s="42">
        <v>43434</v>
      </c>
    </row>
    <row r="95" spans="1:11">
      <c r="A95" s="39">
        <v>0.58299999999999996</v>
      </c>
      <c r="B95" s="37">
        <v>119</v>
      </c>
      <c r="C95" s="38">
        <v>0.432</v>
      </c>
      <c r="D95" s="39">
        <v>0.54400000000000004</v>
      </c>
      <c r="E95" s="37">
        <v>87</v>
      </c>
      <c r="F95" s="37">
        <v>1</v>
      </c>
      <c r="G95" s="37">
        <v>8</v>
      </c>
      <c r="H95" s="40">
        <f ca="1">LEFT(Music_Data[[#This Row],[Duration_minutes]],3)/60</f>
        <v>2.7</v>
      </c>
      <c r="I95" s="39">
        <v>0.17399999999999999</v>
      </c>
      <c r="J95" s="41" t="str">
        <f t="shared" si="1"/>
        <v>Popular</v>
      </c>
      <c r="K95" s="43">
        <v>43070</v>
      </c>
    </row>
    <row r="96" spans="1:11">
      <c r="A96" s="34">
        <v>0.627</v>
      </c>
      <c r="B96" s="32">
        <v>932</v>
      </c>
      <c r="C96" s="33">
        <v>0.33600000000000002</v>
      </c>
      <c r="D96" s="34">
        <v>0.35</v>
      </c>
      <c r="E96" s="32">
        <v>87</v>
      </c>
      <c r="F96" s="32">
        <v>1</v>
      </c>
      <c r="G96" s="32">
        <v>7</v>
      </c>
      <c r="H96" s="35">
        <f ca="1">LEFT(Music_Data[[#This Row],[Duration_minutes]],3)/60</f>
        <v>4.3166666666666664</v>
      </c>
      <c r="I96" s="34">
        <v>0.16400000000000001</v>
      </c>
      <c r="J96" s="36" t="str">
        <f t="shared" si="1"/>
        <v>Popular</v>
      </c>
      <c r="K96" s="42">
        <v>45583</v>
      </c>
    </row>
    <row r="97" spans="1:11">
      <c r="A97" s="39">
        <v>0.58599999999999997</v>
      </c>
      <c r="B97" s="37">
        <v>149</v>
      </c>
      <c r="C97" s="38">
        <v>0.67500000000000004</v>
      </c>
      <c r="D97" s="39">
        <v>0.621</v>
      </c>
      <c r="E97" s="37">
        <v>87</v>
      </c>
      <c r="F97" s="37">
        <v>1</v>
      </c>
      <c r="G97" s="37">
        <v>9</v>
      </c>
      <c r="H97" s="40">
        <f ca="1">LEFT(Music_Data[[#This Row],[Duration_minutes]],3)/60</f>
        <v>3.2333333333333334</v>
      </c>
      <c r="I97" s="39">
        <v>0.25700000000000001</v>
      </c>
      <c r="J97" s="41" t="str">
        <f t="shared" si="1"/>
        <v>Popular</v>
      </c>
      <c r="K97" s="43">
        <v>44022</v>
      </c>
    </row>
    <row r="98" spans="1:11">
      <c r="A98" s="34">
        <v>0.55500000000000005</v>
      </c>
      <c r="B98" s="32">
        <v>119</v>
      </c>
      <c r="C98" s="33">
        <v>0.39200000000000002</v>
      </c>
      <c r="D98" s="34">
        <v>0.191</v>
      </c>
      <c r="E98" s="32">
        <v>87</v>
      </c>
      <c r="F98" s="32">
        <v>0</v>
      </c>
      <c r="G98" s="32">
        <v>4</v>
      </c>
      <c r="H98" s="35">
        <f ca="1">LEFT(Music_Data[[#This Row],[Duration_minutes]],3)/60</f>
        <v>2.3666666666666667</v>
      </c>
      <c r="I98" s="34">
        <v>0.28699999999999998</v>
      </c>
      <c r="J98" s="36" t="str">
        <f t="shared" si="1"/>
        <v>Popular</v>
      </c>
      <c r="K98" s="42">
        <v>43238</v>
      </c>
    </row>
    <row r="99" spans="1:11">
      <c r="A99" s="39">
        <v>0.71499999999999997</v>
      </c>
      <c r="B99" s="37">
        <v>118</v>
      </c>
      <c r="C99" s="38">
        <v>0.315</v>
      </c>
      <c r="D99" s="39">
        <v>0.497</v>
      </c>
      <c r="E99" s="37">
        <v>87</v>
      </c>
      <c r="F99" s="37">
        <v>0</v>
      </c>
      <c r="G99" s="37">
        <v>11</v>
      </c>
      <c r="H99" s="40">
        <f ca="1">LEFT(Music_Data[[#This Row],[Duration_minutes]],3)/60</f>
        <v>2.9</v>
      </c>
      <c r="I99" s="39">
        <v>1.25E-3</v>
      </c>
      <c r="J99" s="41" t="str">
        <f t="shared" si="1"/>
        <v>Popular</v>
      </c>
      <c r="K99" s="43">
        <v>45611</v>
      </c>
    </row>
    <row r="100" spans="1:11">
      <c r="A100" s="34">
        <v>0.72499999999999998</v>
      </c>
      <c r="B100" s="32">
        <v>168</v>
      </c>
      <c r="C100" s="33">
        <v>0.63300000000000001</v>
      </c>
      <c r="D100" s="34">
        <v>0.64</v>
      </c>
      <c r="E100" s="32">
        <v>87</v>
      </c>
      <c r="F100" s="32">
        <v>1</v>
      </c>
      <c r="G100" s="32">
        <v>5</v>
      </c>
      <c r="H100" s="35">
        <f ca="1">LEFT(Music_Data[[#This Row],[Duration_minutes]],3)/60</f>
        <v>2.7666666666666666</v>
      </c>
      <c r="I100" s="34">
        <v>4.6100000000000002E-2</v>
      </c>
      <c r="J100" s="36" t="str">
        <f t="shared" si="1"/>
        <v>Popular</v>
      </c>
      <c r="K100" s="42">
        <v>43623</v>
      </c>
    </row>
    <row r="101" spans="1:11">
      <c r="A101" s="39">
        <v>0.71499999999999997</v>
      </c>
      <c r="B101" s="37">
        <v>150</v>
      </c>
      <c r="C101" s="38">
        <v>0.315</v>
      </c>
      <c r="D101" s="39">
        <v>0.497</v>
      </c>
      <c r="E101" s="37">
        <v>87</v>
      </c>
      <c r="F101" s="37">
        <v>0</v>
      </c>
      <c r="G101" s="37">
        <v>11</v>
      </c>
      <c r="H101" s="40">
        <f ca="1">LEFT(Music_Data[[#This Row],[Duration_minutes]],3)/60</f>
        <v>2.9</v>
      </c>
      <c r="I101" s="39">
        <v>1.25E-3</v>
      </c>
      <c r="J101" s="41" t="str">
        <f t="shared" si="1"/>
        <v>Popular</v>
      </c>
      <c r="K101" s="43">
        <v>43714</v>
      </c>
    </row>
    <row r="102" spans="1:11">
      <c r="A102" s="34">
        <v>0.5</v>
      </c>
      <c r="B102" s="32">
        <v>120</v>
      </c>
      <c r="C102" s="33">
        <v>0.66400000000000003</v>
      </c>
      <c r="D102" s="34">
        <v>0.80100000000000005</v>
      </c>
      <c r="E102" s="32">
        <v>87</v>
      </c>
      <c r="F102" s="32">
        <v>1</v>
      </c>
      <c r="G102" s="32">
        <v>9</v>
      </c>
      <c r="H102" s="35">
        <f ca="1">LEFT(Music_Data[[#This Row],[Duration_minutes]],3)/60</f>
        <v>3.7333333333333334</v>
      </c>
      <c r="I102" s="34">
        <v>0.79900000000000004</v>
      </c>
      <c r="J102" s="36" t="str">
        <f t="shared" si="1"/>
        <v>Popular</v>
      </c>
      <c r="K102" s="42">
        <v>43749</v>
      </c>
    </row>
    <row r="103" spans="1:11">
      <c r="A103" s="39">
        <v>0.28000000000000003</v>
      </c>
      <c r="B103" s="37">
        <v>879</v>
      </c>
      <c r="C103" s="38">
        <v>0.61199999999999999</v>
      </c>
      <c r="D103" s="39">
        <v>0.38700000000000001</v>
      </c>
      <c r="E103" s="37">
        <v>87</v>
      </c>
      <c r="F103" s="37">
        <v>1</v>
      </c>
      <c r="G103" s="37">
        <v>0</v>
      </c>
      <c r="H103" s="40">
        <f ca="1">LEFT(Music_Data[[#This Row],[Duration_minutes]],3)/60</f>
        <v>3.4666666666666668</v>
      </c>
      <c r="I103" s="39">
        <v>0.93200000000000005</v>
      </c>
      <c r="J103" s="41" t="str">
        <f t="shared" si="1"/>
        <v>Popular</v>
      </c>
      <c r="K103" s="43">
        <v>43410</v>
      </c>
    </row>
    <row r="104" spans="1:11">
      <c r="A104" s="34">
        <v>0.58699999999999997</v>
      </c>
      <c r="B104" s="32">
        <v>750</v>
      </c>
      <c r="C104" s="33">
        <v>0.67900000000000005</v>
      </c>
      <c r="D104" s="34">
        <v>0.48599999999999999</v>
      </c>
      <c r="E104" s="32">
        <v>87</v>
      </c>
      <c r="F104" s="32">
        <v>1</v>
      </c>
      <c r="G104" s="32">
        <v>7</v>
      </c>
      <c r="H104" s="35">
        <f ca="1">LEFT(Music_Data[[#This Row],[Duration_minutes]],3)/60</f>
        <v>3.6666666666666665</v>
      </c>
      <c r="I104" s="34">
        <v>0.14099999999999999</v>
      </c>
      <c r="J104" s="36" t="str">
        <f t="shared" si="1"/>
        <v>Popular</v>
      </c>
      <c r="K104" s="42">
        <v>42922</v>
      </c>
    </row>
    <row r="105" spans="1:11">
      <c r="A105" s="39">
        <v>0.71499999999999997</v>
      </c>
      <c r="B105" s="37">
        <v>101</v>
      </c>
      <c r="C105" s="38">
        <v>0.315</v>
      </c>
      <c r="D105" s="39">
        <v>0.497</v>
      </c>
      <c r="E105" s="37">
        <v>87</v>
      </c>
      <c r="F105" s="37">
        <v>0</v>
      </c>
      <c r="G105" s="37">
        <v>11</v>
      </c>
      <c r="H105" s="40">
        <f ca="1">LEFT(Music_Data[[#This Row],[Duration_minutes]],3)/60</f>
        <v>3.65</v>
      </c>
      <c r="I105" s="39">
        <v>1.25E-3</v>
      </c>
      <c r="J105" s="41" t="str">
        <f t="shared" si="1"/>
        <v>Popular</v>
      </c>
      <c r="K105" s="43">
        <v>45512</v>
      </c>
    </row>
    <row r="106" spans="1:11">
      <c r="A106" s="34">
        <v>0.5</v>
      </c>
      <c r="B106" s="32">
        <v>127</v>
      </c>
      <c r="C106" s="33">
        <v>0.66400000000000003</v>
      </c>
      <c r="D106" s="34">
        <v>0.80100000000000005</v>
      </c>
      <c r="E106" s="32">
        <v>87</v>
      </c>
      <c r="F106" s="32">
        <v>1</v>
      </c>
      <c r="G106" s="32">
        <v>9</v>
      </c>
      <c r="H106" s="35">
        <f ca="1">LEFT(Music_Data[[#This Row],[Duration_minutes]],3)/60</f>
        <v>2.4</v>
      </c>
      <c r="I106" s="34">
        <v>0.79900000000000004</v>
      </c>
      <c r="J106" s="36" t="str">
        <f t="shared" si="1"/>
        <v>Popular</v>
      </c>
      <c r="K106" s="42">
        <v>43952</v>
      </c>
    </row>
    <row r="107" spans="1:11">
      <c r="A107" s="39">
        <v>0.499</v>
      </c>
      <c r="B107" s="37">
        <v>139</v>
      </c>
      <c r="C107" s="38">
        <v>0.79100000000000004</v>
      </c>
      <c r="D107" s="39">
        <v>0.66900000000000004</v>
      </c>
      <c r="E107" s="37">
        <v>87</v>
      </c>
      <c r="F107" s="37">
        <v>0</v>
      </c>
      <c r="G107" s="37">
        <v>8</v>
      </c>
      <c r="H107" s="40">
        <f ca="1">LEFT(Music_Data[[#This Row],[Duration_minutes]],3)/60</f>
        <v>4.1166666666666663</v>
      </c>
      <c r="I107" s="39">
        <v>0.44600000000000001</v>
      </c>
      <c r="J107" s="41" t="str">
        <f t="shared" si="1"/>
        <v>Popular</v>
      </c>
      <c r="K107" s="43">
        <v>43238</v>
      </c>
    </row>
    <row r="108" spans="1:11">
      <c r="A108" s="34">
        <v>0.81799999999999995</v>
      </c>
      <c r="B108" s="32">
        <v>108</v>
      </c>
      <c r="C108" s="33">
        <v>0.373</v>
      </c>
      <c r="D108" s="34">
        <v>0.36099999999999999</v>
      </c>
      <c r="E108" s="32">
        <v>87</v>
      </c>
      <c r="F108" s="32">
        <v>0</v>
      </c>
      <c r="G108" s="32">
        <v>3</v>
      </c>
      <c r="H108" s="35">
        <f ca="1">LEFT(Music_Data[[#This Row],[Duration_minutes]],3)/60</f>
        <v>2.3666666666666667</v>
      </c>
      <c r="I108" s="34">
        <v>0.36</v>
      </c>
      <c r="J108" s="36" t="str">
        <f t="shared" si="1"/>
        <v>Popular</v>
      </c>
      <c r="K108" s="42">
        <v>43693</v>
      </c>
    </row>
    <row r="109" spans="1:11">
      <c r="A109" s="39">
        <v>0.46800000000000003</v>
      </c>
      <c r="B109" s="37">
        <v>145</v>
      </c>
      <c r="C109" s="38">
        <v>0.36899999999999999</v>
      </c>
      <c r="D109" s="39">
        <v>0.18</v>
      </c>
      <c r="E109" s="37">
        <v>87</v>
      </c>
      <c r="F109" s="37">
        <v>1</v>
      </c>
      <c r="G109" s="37">
        <v>5</v>
      </c>
      <c r="H109" s="40">
        <f ca="1">LEFT(Music_Data[[#This Row],[Duration_minutes]],3)/60</f>
        <v>2.6833333333333331</v>
      </c>
      <c r="I109" s="39">
        <v>2.0500000000000001E-2</v>
      </c>
      <c r="J109" s="41" t="str">
        <f t="shared" si="1"/>
        <v>Popular</v>
      </c>
      <c r="K109" s="43">
        <v>45580</v>
      </c>
    </row>
    <row r="110" spans="1:11">
      <c r="A110" s="34">
        <v>0.70899999999999996</v>
      </c>
      <c r="B110" s="32">
        <v>147</v>
      </c>
      <c r="C110" s="33">
        <v>0.72199999999999998</v>
      </c>
      <c r="D110" s="34">
        <v>0.60399999999999998</v>
      </c>
      <c r="E110" s="32">
        <v>86</v>
      </c>
      <c r="F110" s="32">
        <v>1</v>
      </c>
      <c r="G110" s="32">
        <v>9</v>
      </c>
      <c r="H110" s="35">
        <f ca="1">LEFT(Music_Data[[#This Row],[Duration_minutes]],3)/60</f>
        <v>3.1</v>
      </c>
      <c r="I110" s="34">
        <v>6.3299999999999995E-2</v>
      </c>
      <c r="J110" s="36" t="str">
        <f t="shared" si="1"/>
        <v>Popular</v>
      </c>
      <c r="K110" s="42">
        <v>43444</v>
      </c>
    </row>
    <row r="111" spans="1:11">
      <c r="A111" s="39">
        <v>0.91700000000000004</v>
      </c>
      <c r="B111" s="37">
        <v>140</v>
      </c>
      <c r="C111" s="38">
        <v>0.56200000000000006</v>
      </c>
      <c r="D111" s="39">
        <v>0.501</v>
      </c>
      <c r="E111" s="37">
        <v>86</v>
      </c>
      <c r="F111" s="37">
        <v>0</v>
      </c>
      <c r="G111" s="37">
        <v>11</v>
      </c>
      <c r="H111" s="40">
        <f ca="1">LEFT(Music_Data[[#This Row],[Duration_minutes]],3)/60</f>
        <v>3.55</v>
      </c>
      <c r="I111" s="39">
        <v>5.1299999999999998E-2</v>
      </c>
      <c r="J111" s="41" t="str">
        <f t="shared" si="1"/>
        <v>Popular</v>
      </c>
      <c r="K111" s="43">
        <v>42965</v>
      </c>
    </row>
    <row r="112" spans="1:11">
      <c r="A112" s="34">
        <v>0.84299999999999997</v>
      </c>
      <c r="B112" s="32">
        <v>840</v>
      </c>
      <c r="C112" s="33">
        <v>0.61899999999999999</v>
      </c>
      <c r="D112" s="34">
        <v>0.746</v>
      </c>
      <c r="E112" s="32">
        <v>86</v>
      </c>
      <c r="F112" s="32">
        <v>0</v>
      </c>
      <c r="G112" s="32">
        <v>5</v>
      </c>
      <c r="H112" s="35">
        <f ca="1">LEFT(Music_Data[[#This Row],[Duration_minutes]],3)/60</f>
        <v>2.8833333333333333</v>
      </c>
      <c r="I112" s="34">
        <v>9.4800000000000006E-3</v>
      </c>
      <c r="J112" s="36" t="str">
        <f t="shared" si="1"/>
        <v>Popular</v>
      </c>
      <c r="K112" s="42">
        <v>44050</v>
      </c>
    </row>
    <row r="113" spans="1:11">
      <c r="A113" s="39">
        <v>0.78200000000000003</v>
      </c>
      <c r="B113" s="37">
        <v>113</v>
      </c>
      <c r="C113" s="38">
        <v>0.72699999999999998</v>
      </c>
      <c r="D113" s="39">
        <v>0.65500000000000003</v>
      </c>
      <c r="E113" s="37">
        <v>86</v>
      </c>
      <c r="F113" s="37">
        <v>0</v>
      </c>
      <c r="G113" s="37">
        <v>8</v>
      </c>
      <c r="H113" s="40">
        <f ca="1">LEFT(Music_Data[[#This Row],[Duration_minutes]],3)/60</f>
        <v>2.6166666666666667</v>
      </c>
      <c r="I113" s="39">
        <v>5.6300000000000003E-2</v>
      </c>
      <c r="J113" s="41" t="str">
        <f t="shared" si="1"/>
        <v>Popular</v>
      </c>
      <c r="K113" s="43">
        <v>45526</v>
      </c>
    </row>
    <row r="114" spans="1:11">
      <c r="A114" s="34">
        <v>0.43</v>
      </c>
      <c r="B114" s="32">
        <v>104</v>
      </c>
      <c r="C114" s="33">
        <v>0.51500000000000001</v>
      </c>
      <c r="D114" s="34">
        <v>0.104</v>
      </c>
      <c r="E114" s="32">
        <v>86</v>
      </c>
      <c r="F114" s="32">
        <v>1</v>
      </c>
      <c r="G114" s="32">
        <v>7</v>
      </c>
      <c r="H114" s="35">
        <f ca="1">LEFT(Music_Data[[#This Row],[Duration_minutes]],3)/60</f>
        <v>2.6166666666666667</v>
      </c>
      <c r="I114" s="34">
        <v>9.7000000000000003E-3</v>
      </c>
      <c r="J114" s="36" t="str">
        <f t="shared" si="1"/>
        <v>Popular</v>
      </c>
      <c r="K114" s="42">
        <v>45092</v>
      </c>
    </row>
    <row r="115" spans="1:11">
      <c r="A115" s="39">
        <v>0.58099999999999996</v>
      </c>
      <c r="B115" s="37">
        <v>150</v>
      </c>
      <c r="C115" s="38">
        <v>0.80500000000000005</v>
      </c>
      <c r="D115" s="39">
        <v>0.52800000000000002</v>
      </c>
      <c r="E115" s="37">
        <v>86</v>
      </c>
      <c r="F115" s="37">
        <v>0</v>
      </c>
      <c r="G115" s="37">
        <v>6</v>
      </c>
      <c r="H115" s="40">
        <f ca="1">LEFT(Music_Data[[#This Row],[Duration_minutes]],3)/60</f>
        <v>3.9333333333333331</v>
      </c>
      <c r="I115" s="39">
        <v>3.0300000000000001E-2</v>
      </c>
      <c r="J115" s="41" t="str">
        <f t="shared" si="1"/>
        <v>Popular</v>
      </c>
      <c r="K115" s="43">
        <v>44316</v>
      </c>
    </row>
    <row r="116" spans="1:11">
      <c r="A116" s="34">
        <v>0.752</v>
      </c>
      <c r="B116" s="32">
        <v>779</v>
      </c>
      <c r="C116" s="33">
        <v>0.84099999999999997</v>
      </c>
      <c r="D116" s="34">
        <v>0.67</v>
      </c>
      <c r="E116" s="32">
        <v>86</v>
      </c>
      <c r="F116" s="32">
        <v>1</v>
      </c>
      <c r="G116" s="32">
        <v>2</v>
      </c>
      <c r="H116" s="35">
        <f ca="1">LEFT(Music_Data[[#This Row],[Duration_minutes]],3)/60</f>
        <v>2.25</v>
      </c>
      <c r="I116" s="34">
        <v>0.16700000000000001</v>
      </c>
      <c r="J116" s="36" t="str">
        <f t="shared" si="1"/>
        <v>Popular</v>
      </c>
      <c r="K116" s="42">
        <v>44169</v>
      </c>
    </row>
    <row r="117" spans="1:11">
      <c r="A117" s="39">
        <v>0.78300000000000003</v>
      </c>
      <c r="B117" s="37">
        <v>135</v>
      </c>
      <c r="C117" s="38">
        <v>0.70499999999999996</v>
      </c>
      <c r="D117" s="39">
        <v>0.45400000000000001</v>
      </c>
      <c r="E117" s="37">
        <v>86</v>
      </c>
      <c r="F117" s="37">
        <v>0</v>
      </c>
      <c r="G117" s="37">
        <v>9</v>
      </c>
      <c r="H117" s="40">
        <f ca="1">LEFT(Music_Data[[#This Row],[Duration_minutes]],3)/60</f>
        <v>3.0166666666666666</v>
      </c>
      <c r="I117" s="39">
        <v>0.13800000000000001</v>
      </c>
      <c r="J117" s="41" t="str">
        <f t="shared" si="1"/>
        <v>Popular</v>
      </c>
      <c r="K117" s="43">
        <v>43952</v>
      </c>
    </row>
    <row r="118" spans="1:11">
      <c r="A118" s="34">
        <v>0.55100000000000005</v>
      </c>
      <c r="B118" s="32">
        <v>110</v>
      </c>
      <c r="C118" s="33">
        <v>0.55900000000000005</v>
      </c>
      <c r="D118" s="34">
        <v>0.39200000000000002</v>
      </c>
      <c r="E118" s="32">
        <v>86</v>
      </c>
      <c r="F118" s="32">
        <v>1</v>
      </c>
      <c r="G118" s="32">
        <v>5</v>
      </c>
      <c r="H118" s="35">
        <f ca="1">LEFT(Music_Data[[#This Row],[Duration_minutes]],3)/60</f>
        <v>2.35</v>
      </c>
      <c r="I118" s="34">
        <v>0.14099999999999999</v>
      </c>
      <c r="J118" s="36" t="str">
        <f t="shared" si="1"/>
        <v>Popular</v>
      </c>
      <c r="K118" s="42">
        <v>45394</v>
      </c>
    </row>
    <row r="119" spans="1:11">
      <c r="A119" s="39">
        <v>0.73499999999999999</v>
      </c>
      <c r="B119" s="37">
        <v>143</v>
      </c>
      <c r="C119" s="38">
        <v>0.64400000000000002</v>
      </c>
      <c r="D119" s="39">
        <v>0.41799999999999998</v>
      </c>
      <c r="E119" s="37">
        <v>86</v>
      </c>
      <c r="F119" s="37">
        <v>1</v>
      </c>
      <c r="G119" s="37">
        <v>8</v>
      </c>
      <c r="H119" s="40">
        <f ca="1">LEFT(Music_Data[[#This Row],[Duration_minutes]],3)/60</f>
        <v>3.2166666666666668</v>
      </c>
      <c r="I119" s="39">
        <v>5.21E-2</v>
      </c>
      <c r="J119" s="41" t="str">
        <f t="shared" si="1"/>
        <v>Popular</v>
      </c>
      <c r="K119" s="43">
        <v>45093</v>
      </c>
    </row>
    <row r="120" spans="1:11">
      <c r="A120" s="34">
        <v>0.63500000000000001</v>
      </c>
      <c r="B120" s="32">
        <v>769</v>
      </c>
      <c r="C120" s="33">
        <v>0.61699999999999999</v>
      </c>
      <c r="D120" s="34">
        <v>0.44600000000000001</v>
      </c>
      <c r="E120" s="32">
        <v>86</v>
      </c>
      <c r="F120" s="32">
        <v>0</v>
      </c>
      <c r="G120" s="32">
        <v>11</v>
      </c>
      <c r="H120" s="35">
        <f ca="1">LEFT(Music_Data[[#This Row],[Duration_minutes]],3)/60</f>
        <v>3.55</v>
      </c>
      <c r="I120" s="34">
        <v>4.9799999999999997E-2</v>
      </c>
      <c r="J120" s="36" t="str">
        <f t="shared" si="1"/>
        <v>Popular</v>
      </c>
      <c r="K120" s="42">
        <v>43434</v>
      </c>
    </row>
    <row r="121" spans="1:11">
      <c r="A121" s="39">
        <v>0.70899999999999996</v>
      </c>
      <c r="B121" s="37">
        <v>141</v>
      </c>
      <c r="C121" s="38">
        <v>0.72199999999999998</v>
      </c>
      <c r="D121" s="39">
        <v>0.60399999999999998</v>
      </c>
      <c r="E121" s="37">
        <v>86</v>
      </c>
      <c r="F121" s="37">
        <v>1</v>
      </c>
      <c r="G121" s="37">
        <v>9</v>
      </c>
      <c r="H121" s="40">
        <f ca="1">LEFT(Music_Data[[#This Row],[Duration_minutes]],3)/60</f>
        <v>2.9166666666666665</v>
      </c>
      <c r="I121" s="39">
        <v>6.3299999999999995E-2</v>
      </c>
      <c r="J121" s="41" t="str">
        <f t="shared" si="1"/>
        <v>Popular</v>
      </c>
      <c r="K121" s="43">
        <v>43413</v>
      </c>
    </row>
    <row r="122" spans="1:11">
      <c r="A122" s="34">
        <v>0.78200000000000003</v>
      </c>
      <c r="B122" s="32">
        <v>140</v>
      </c>
      <c r="C122" s="33">
        <v>0.72699999999999998</v>
      </c>
      <c r="D122" s="34">
        <v>0.65500000000000003</v>
      </c>
      <c r="E122" s="32">
        <v>86</v>
      </c>
      <c r="F122" s="32">
        <v>0</v>
      </c>
      <c r="G122" s="32">
        <v>8</v>
      </c>
      <c r="H122" s="35">
        <f ca="1">LEFT(Music_Data[[#This Row],[Duration_minutes]],3)/60</f>
        <v>3.9166666666666665</v>
      </c>
      <c r="I122" s="34">
        <v>5.6300000000000003E-2</v>
      </c>
      <c r="J122" s="36" t="str">
        <f t="shared" si="1"/>
        <v>Popular</v>
      </c>
      <c r="K122" s="42">
        <v>42566</v>
      </c>
    </row>
    <row r="123" spans="1:11">
      <c r="A123" s="39">
        <v>0.64600000000000002</v>
      </c>
      <c r="B123" s="37">
        <v>112</v>
      </c>
      <c r="C123" s="38">
        <v>0.64500000000000002</v>
      </c>
      <c r="D123" s="39">
        <v>0.29499999999999998</v>
      </c>
      <c r="E123" s="37">
        <v>86</v>
      </c>
      <c r="F123" s="37">
        <v>1</v>
      </c>
      <c r="G123" s="37">
        <v>5</v>
      </c>
      <c r="H123" s="40">
        <f ca="1">LEFT(Music_Data[[#This Row],[Duration_minutes]],3)/60</f>
        <v>2.8666666666666667</v>
      </c>
      <c r="I123" s="39">
        <v>6.1499999999999999E-2</v>
      </c>
      <c r="J123" s="41" t="str">
        <f t="shared" si="1"/>
        <v>Popular</v>
      </c>
      <c r="K123" s="43">
        <v>45512</v>
      </c>
    </row>
    <row r="124" spans="1:11">
      <c r="A124" s="34">
        <v>0.66300000000000003</v>
      </c>
      <c r="B124" s="32">
        <v>678</v>
      </c>
      <c r="C124" s="33">
        <v>0.6</v>
      </c>
      <c r="D124" s="34">
        <v>0.28599999999999998</v>
      </c>
      <c r="E124" s="32">
        <v>86</v>
      </c>
      <c r="F124" s="32">
        <v>1</v>
      </c>
      <c r="G124" s="32">
        <v>3</v>
      </c>
      <c r="H124" s="35">
        <f ca="1">LEFT(Music_Data[[#This Row],[Duration_minutes]],3)/60</f>
        <v>3</v>
      </c>
      <c r="I124" s="34">
        <v>0.22500000000000001</v>
      </c>
      <c r="J124" s="36" t="str">
        <f t="shared" si="1"/>
        <v>Popular</v>
      </c>
      <c r="K124" s="42">
        <v>45398</v>
      </c>
    </row>
    <row r="125" spans="1:11">
      <c r="A125" s="39">
        <v>0.53700000000000003</v>
      </c>
      <c r="B125" s="37">
        <v>958</v>
      </c>
      <c r="C125" s="38">
        <v>0.44500000000000001</v>
      </c>
      <c r="D125" s="39">
        <v>0.13100000000000001</v>
      </c>
      <c r="E125" s="37">
        <v>86</v>
      </c>
      <c r="F125" s="37">
        <v>0</v>
      </c>
      <c r="G125" s="37">
        <v>4</v>
      </c>
      <c r="H125" s="40">
        <f ca="1">LEFT(Music_Data[[#This Row],[Duration_minutes]],3)/60</f>
        <v>2.5666666666666669</v>
      </c>
      <c r="I125" s="39">
        <v>0.69499999999999995</v>
      </c>
      <c r="J125" s="41" t="str">
        <f t="shared" si="1"/>
        <v>Popular</v>
      </c>
      <c r="K125" s="43">
        <v>45569</v>
      </c>
    </row>
    <row r="126" spans="1:11">
      <c r="A126" s="34">
        <v>0.63500000000000001</v>
      </c>
      <c r="B126" s="32">
        <v>143</v>
      </c>
      <c r="C126" s="33">
        <v>0.61699999999999999</v>
      </c>
      <c r="D126" s="34">
        <v>0.44600000000000001</v>
      </c>
      <c r="E126" s="32">
        <v>86</v>
      </c>
      <c r="F126" s="32">
        <v>0</v>
      </c>
      <c r="G126" s="32">
        <v>11</v>
      </c>
      <c r="H126" s="35">
        <f ca="1">LEFT(Music_Data[[#This Row],[Duration_minutes]],3)/60</f>
        <v>2.8166666666666669</v>
      </c>
      <c r="I126" s="34">
        <v>4.9799999999999997E-2</v>
      </c>
      <c r="J126" s="36" t="str">
        <f t="shared" si="1"/>
        <v>Popular</v>
      </c>
      <c r="K126" s="42">
        <v>43959</v>
      </c>
    </row>
    <row r="127" spans="1:11">
      <c r="A127" s="39">
        <v>0.29599999999999999</v>
      </c>
      <c r="B127" s="37">
        <v>134</v>
      </c>
      <c r="C127" s="38">
        <v>0.35099999999999998</v>
      </c>
      <c r="D127" s="39">
        <v>0.12</v>
      </c>
      <c r="E127" s="37">
        <v>86</v>
      </c>
      <c r="F127" s="37">
        <v>0</v>
      </c>
      <c r="G127" s="37">
        <v>4</v>
      </c>
      <c r="H127" s="40">
        <f ca="1">LEFT(Music_Data[[#This Row],[Duration_minutes]],3)/60</f>
        <v>3.65</v>
      </c>
      <c r="I127" s="39">
        <v>0.93400000000000005</v>
      </c>
      <c r="J127" s="41" t="str">
        <f t="shared" si="1"/>
        <v>Popular</v>
      </c>
      <c r="K127" s="43">
        <v>45072</v>
      </c>
    </row>
    <row r="128" spans="1:11">
      <c r="A128" s="34">
        <v>0.69699999999999995</v>
      </c>
      <c r="B128" s="32">
        <v>166</v>
      </c>
      <c r="C128" s="33">
        <v>0.74</v>
      </c>
      <c r="D128" s="34">
        <v>0.73199999999999998</v>
      </c>
      <c r="E128" s="32">
        <v>86</v>
      </c>
      <c r="F128" s="32">
        <v>1</v>
      </c>
      <c r="G128" s="32">
        <v>8</v>
      </c>
      <c r="H128" s="35">
        <f ca="1">LEFT(Music_Data[[#This Row],[Duration_minutes]],3)/60</f>
        <v>2.1166666666666667</v>
      </c>
      <c r="I128" s="34">
        <v>2.6800000000000001E-2</v>
      </c>
      <c r="J128" s="36" t="str">
        <f t="shared" si="1"/>
        <v>Popular</v>
      </c>
      <c r="K128" s="42">
        <v>43623</v>
      </c>
    </row>
    <row r="129" spans="1:11">
      <c r="A129" s="39">
        <v>0.65200000000000002</v>
      </c>
      <c r="B129" s="37">
        <v>147</v>
      </c>
      <c r="C129" s="38">
        <v>0.82499999999999996</v>
      </c>
      <c r="D129" s="39">
        <v>0.93100000000000005</v>
      </c>
      <c r="E129" s="37">
        <v>86</v>
      </c>
      <c r="F129" s="37">
        <v>0</v>
      </c>
      <c r="G129" s="37">
        <v>1</v>
      </c>
      <c r="H129" s="40">
        <f ca="1">LEFT(Music_Data[[#This Row],[Duration_minutes]],3)/60</f>
        <v>2.2833333333333332</v>
      </c>
      <c r="I129" s="39">
        <v>0.58099999999999996</v>
      </c>
      <c r="J129" s="41" t="str">
        <f t="shared" si="1"/>
        <v>Popular</v>
      </c>
      <c r="K129" s="43">
        <v>45483</v>
      </c>
    </row>
    <row r="130" spans="1:11">
      <c r="A130" s="34">
        <v>0.44800000000000001</v>
      </c>
      <c r="B130" s="32">
        <v>869</v>
      </c>
      <c r="C130" s="33">
        <v>0.59899999999999998</v>
      </c>
      <c r="D130" s="34">
        <v>0.16800000000000001</v>
      </c>
      <c r="E130" s="32">
        <v>86</v>
      </c>
      <c r="F130" s="32">
        <v>1</v>
      </c>
      <c r="G130" s="32">
        <v>8</v>
      </c>
      <c r="H130" s="35">
        <f ca="1">LEFT(Music_Data[[#This Row],[Duration_minutes]],3)/60</f>
        <v>4.3833333333333337</v>
      </c>
      <c r="I130" s="34">
        <v>0.16300000000000001</v>
      </c>
      <c r="J130" s="36" t="str">
        <f t="shared" si="1"/>
        <v>Popular</v>
      </c>
      <c r="K130" s="42">
        <v>40347</v>
      </c>
    </row>
    <row r="131" spans="1:11">
      <c r="A131" s="39">
        <v>0.66900000000000004</v>
      </c>
      <c r="B131" s="37">
        <v>650</v>
      </c>
      <c r="C131" s="38">
        <v>0.90800000000000003</v>
      </c>
      <c r="D131" s="39">
        <v>0.66200000000000003</v>
      </c>
      <c r="E131" s="37">
        <v>86</v>
      </c>
      <c r="F131" s="37">
        <v>1</v>
      </c>
      <c r="G131" s="37">
        <v>7</v>
      </c>
      <c r="H131" s="40">
        <f ca="1">LEFT(Music_Data[[#This Row],[Duration_minutes]],3)/60</f>
        <v>3.5666666666666669</v>
      </c>
      <c r="I131" s="39">
        <v>2.8600000000000001E-3</v>
      </c>
      <c r="J131" s="41" t="str">
        <f t="shared" si="1"/>
        <v>Popular</v>
      </c>
      <c r="K131" s="43">
        <v>40179</v>
      </c>
    </row>
    <row r="132" spans="1:11">
      <c r="A132" s="34">
        <v>0.65200000000000002</v>
      </c>
      <c r="B132" s="32">
        <v>800</v>
      </c>
      <c r="C132" s="33">
        <v>0.82499999999999996</v>
      </c>
      <c r="D132" s="34">
        <v>0.93100000000000005</v>
      </c>
      <c r="E132" s="32">
        <v>86</v>
      </c>
      <c r="F132" s="32">
        <v>0</v>
      </c>
      <c r="G132" s="32">
        <v>1</v>
      </c>
      <c r="H132" s="35">
        <f ca="1">LEFT(Music_Data[[#This Row],[Duration_minutes]],3)/60</f>
        <v>6.7333333333333334</v>
      </c>
      <c r="I132" s="34">
        <v>0.58099999999999996</v>
      </c>
      <c r="J132" s="36" t="str">
        <f t="shared" ref="J132:J195" si="2">IF(E132&gt;=94,"Muy Popular",IF(E132&gt;=86,"Popular",IF(E132&gt;=78,"No muy popular","Casi nada popular")))</f>
        <v>Popular</v>
      </c>
      <c r="K132" s="42">
        <v>36669</v>
      </c>
    </row>
    <row r="133" spans="1:11">
      <c r="A133" s="39">
        <v>0.66700000000000004</v>
      </c>
      <c r="B133" s="37">
        <v>138</v>
      </c>
      <c r="C133" s="38">
        <v>0.77600000000000002</v>
      </c>
      <c r="D133" s="39">
        <v>0.61799999999999999</v>
      </c>
      <c r="E133" s="37">
        <v>85</v>
      </c>
      <c r="F133" s="37">
        <v>1</v>
      </c>
      <c r="G133" s="37">
        <v>7</v>
      </c>
      <c r="H133" s="40">
        <f ca="1">LEFT(Music_Data[[#This Row],[Duration_minutes]],3)/60</f>
        <v>4.5166666666666666</v>
      </c>
      <c r="I133" s="39">
        <v>1.46E-2</v>
      </c>
      <c r="J133" s="41" t="str">
        <f t="shared" si="2"/>
        <v>No muy popular</v>
      </c>
      <c r="K133" s="43">
        <v>36368</v>
      </c>
    </row>
    <row r="134" spans="1:11">
      <c r="A134" s="34">
        <v>0.628</v>
      </c>
      <c r="B134" s="32">
        <v>130</v>
      </c>
      <c r="C134" s="33">
        <v>0.75700000000000001</v>
      </c>
      <c r="D134" s="34">
        <v>0.32100000000000001</v>
      </c>
      <c r="E134" s="32">
        <v>85</v>
      </c>
      <c r="F134" s="32">
        <v>0</v>
      </c>
      <c r="G134" s="32">
        <v>4</v>
      </c>
      <c r="H134" s="35">
        <f ca="1">LEFT(Music_Data[[#This Row],[Duration_minutes]],3)/60</f>
        <v>3.75</v>
      </c>
      <c r="I134" s="34">
        <v>0.189</v>
      </c>
      <c r="J134" s="36" t="str">
        <f t="shared" si="2"/>
        <v>No muy popular</v>
      </c>
      <c r="K134" s="42">
        <v>39286</v>
      </c>
    </row>
    <row r="135" spans="1:11">
      <c r="A135" s="39">
        <v>0.47099999999999997</v>
      </c>
      <c r="B135" s="37">
        <v>132</v>
      </c>
      <c r="C135" s="38">
        <v>0.47199999999999998</v>
      </c>
      <c r="D135" s="39">
        <v>0.219</v>
      </c>
      <c r="E135" s="37">
        <v>85</v>
      </c>
      <c r="F135" s="37">
        <v>1</v>
      </c>
      <c r="G135" s="37">
        <v>10</v>
      </c>
      <c r="H135" s="40">
        <f ca="1">LEFT(Music_Data[[#This Row],[Duration_minutes]],3)/60</f>
        <v>3.5333333333333332</v>
      </c>
      <c r="I135" s="39">
        <v>0.151</v>
      </c>
      <c r="J135" s="41" t="str">
        <f t="shared" si="2"/>
        <v>No muy popular</v>
      </c>
      <c r="K135" s="43">
        <v>39814</v>
      </c>
    </row>
    <row r="136" spans="1:11">
      <c r="A136" s="34">
        <v>0.90400000000000003</v>
      </c>
      <c r="B136" s="32">
        <v>101</v>
      </c>
      <c r="C136" s="33">
        <v>0.73899999999999999</v>
      </c>
      <c r="D136" s="34">
        <v>0.78800000000000003</v>
      </c>
      <c r="E136" s="32">
        <v>85</v>
      </c>
      <c r="F136" s="32">
        <v>0</v>
      </c>
      <c r="G136" s="32">
        <v>5</v>
      </c>
      <c r="H136" s="35">
        <f ca="1">LEFT(Music_Data[[#This Row],[Duration_minutes]],3)/60</f>
        <v>5.3666666666666663</v>
      </c>
      <c r="I136" s="34">
        <v>0.54900000000000004</v>
      </c>
      <c r="J136" s="36" t="str">
        <f t="shared" si="2"/>
        <v>No muy popular</v>
      </c>
      <c r="K136" s="42">
        <v>32832</v>
      </c>
    </row>
    <row r="137" spans="1:11">
      <c r="A137" s="39">
        <v>0.71099999999999997</v>
      </c>
      <c r="B137" s="37">
        <v>806</v>
      </c>
      <c r="C137" s="38">
        <v>0.48699999999999999</v>
      </c>
      <c r="D137" s="39">
        <v>0.317</v>
      </c>
      <c r="E137" s="37">
        <v>85</v>
      </c>
      <c r="F137" s="37">
        <v>1</v>
      </c>
      <c r="G137" s="37">
        <v>8</v>
      </c>
      <c r="H137" s="40">
        <f ca="1">LEFT(Music_Data[[#This Row],[Duration_minutes]],3)/60</f>
        <v>4.3</v>
      </c>
      <c r="I137" s="39">
        <v>1.75E-4</v>
      </c>
      <c r="J137" s="41" t="str">
        <f t="shared" si="2"/>
        <v>No muy popular</v>
      </c>
      <c r="K137" s="43">
        <v>33013</v>
      </c>
    </row>
    <row r="138" spans="1:11">
      <c r="A138" s="34">
        <v>0.628</v>
      </c>
      <c r="B138" s="32">
        <v>118</v>
      </c>
      <c r="C138" s="33">
        <v>0.75700000000000001</v>
      </c>
      <c r="D138" s="34">
        <v>0.32100000000000001</v>
      </c>
      <c r="E138" s="32">
        <v>85</v>
      </c>
      <c r="F138" s="32">
        <v>0</v>
      </c>
      <c r="G138" s="32">
        <v>4</v>
      </c>
      <c r="H138" s="35">
        <f ca="1">LEFT(Music_Data[[#This Row],[Duration_minutes]],3)/60</f>
        <v>3</v>
      </c>
      <c r="I138" s="34">
        <v>0.189</v>
      </c>
      <c r="J138" s="36" t="str">
        <f t="shared" si="2"/>
        <v>No muy popular</v>
      </c>
      <c r="K138" s="42">
        <v>22878</v>
      </c>
    </row>
    <row r="139" spans="1:11">
      <c r="A139" s="39">
        <v>0.85899999999999999</v>
      </c>
      <c r="B139" s="37">
        <v>819</v>
      </c>
      <c r="C139" s="38">
        <v>0.77</v>
      </c>
      <c r="D139" s="39">
        <v>0.64</v>
      </c>
      <c r="E139" s="37">
        <v>85</v>
      </c>
      <c r="F139" s="37">
        <v>0</v>
      </c>
      <c r="G139" s="37">
        <v>10</v>
      </c>
      <c r="H139" s="40">
        <f ca="1">LEFT(Music_Data[[#This Row],[Duration_minutes]],3)/60</f>
        <v>3.4833333333333334</v>
      </c>
      <c r="I139" s="39">
        <v>0.36199999999999999</v>
      </c>
      <c r="J139" s="41" t="str">
        <f t="shared" si="2"/>
        <v>No muy popular</v>
      </c>
      <c r="K139" s="43">
        <v>38572</v>
      </c>
    </row>
    <row r="140" spans="1:11">
      <c r="A140" s="34">
        <v>0.76400000000000001</v>
      </c>
      <c r="B140" s="32">
        <v>104</v>
      </c>
      <c r="C140" s="33">
        <v>0.66600000000000004</v>
      </c>
      <c r="D140" s="34">
        <v>0.72899999999999998</v>
      </c>
      <c r="E140" s="32">
        <v>85</v>
      </c>
      <c r="F140" s="32">
        <v>0</v>
      </c>
      <c r="G140" s="32">
        <v>4</v>
      </c>
      <c r="H140" s="35">
        <f ca="1">LEFT(Music_Data[[#This Row],[Duration_minutes]],3)/60</f>
        <v>4.3666666666666663</v>
      </c>
      <c r="I140" s="34">
        <v>0.36599999999999999</v>
      </c>
      <c r="J140" s="36" t="str">
        <f t="shared" si="2"/>
        <v>No muy popular</v>
      </c>
      <c r="K140" s="42">
        <v>2007</v>
      </c>
    </row>
    <row r="141" spans="1:11">
      <c r="A141" s="39">
        <v>0.35599999999999998</v>
      </c>
      <c r="B141" s="37">
        <v>945</v>
      </c>
      <c r="C141" s="38">
        <v>0.52900000000000003</v>
      </c>
      <c r="D141" s="39">
        <v>0.65900000000000003</v>
      </c>
      <c r="E141" s="37">
        <v>85</v>
      </c>
      <c r="F141" s="37">
        <v>1</v>
      </c>
      <c r="G141" s="37">
        <v>3</v>
      </c>
      <c r="H141" s="40">
        <f ca="1">LEFT(Music_Data[[#This Row],[Duration_minutes]],3)/60</f>
        <v>4.1500000000000004</v>
      </c>
      <c r="I141" s="39">
        <v>0.28999999999999998</v>
      </c>
      <c r="J141" s="41" t="str">
        <f t="shared" si="2"/>
        <v>No muy popular</v>
      </c>
      <c r="K141" s="43">
        <v>38061</v>
      </c>
    </row>
    <row r="142" spans="1:11">
      <c r="A142" s="34">
        <v>0.60699999999999998</v>
      </c>
      <c r="B142" s="32">
        <v>949</v>
      </c>
      <c r="C142" s="33">
        <v>0.68400000000000005</v>
      </c>
      <c r="D142" s="34">
        <v>0.498</v>
      </c>
      <c r="E142" s="32">
        <v>85</v>
      </c>
      <c r="F142" s="32">
        <v>0</v>
      </c>
      <c r="G142" s="32">
        <v>11</v>
      </c>
      <c r="H142" s="35">
        <f ca="1">LEFT(Music_Data[[#This Row],[Duration_minutes]],3)/60</f>
        <v>3.95</v>
      </c>
      <c r="I142" s="34">
        <v>2.6700000000000002E-2</v>
      </c>
      <c r="J142" s="36" t="str">
        <f t="shared" si="2"/>
        <v>No muy popular</v>
      </c>
      <c r="K142" s="42">
        <v>37376</v>
      </c>
    </row>
    <row r="143" spans="1:11">
      <c r="A143" s="39">
        <v>0.745</v>
      </c>
      <c r="B143" s="37">
        <v>675</v>
      </c>
      <c r="C143" s="38">
        <v>0.46400000000000002</v>
      </c>
      <c r="D143" s="39">
        <v>0.26200000000000001</v>
      </c>
      <c r="E143" s="37">
        <v>85</v>
      </c>
      <c r="F143" s="37">
        <v>0</v>
      </c>
      <c r="G143" s="37">
        <v>4</v>
      </c>
      <c r="H143" s="40">
        <f ca="1">LEFT(Music_Data[[#This Row],[Duration_minutes]],3)/60</f>
        <v>4.5166666666666666</v>
      </c>
      <c r="I143" s="39">
        <v>2.35E-2</v>
      </c>
      <c r="J143" s="41" t="str">
        <f t="shared" si="2"/>
        <v>No muy popular</v>
      </c>
      <c r="K143" s="43">
        <v>33925</v>
      </c>
    </row>
    <row r="144" spans="1:11">
      <c r="A144" s="34">
        <v>0.96499999999999997</v>
      </c>
      <c r="B144" s="32">
        <v>119</v>
      </c>
      <c r="C144" s="33">
        <v>0.56100000000000005</v>
      </c>
      <c r="D144" s="34">
        <v>0.30399999999999999</v>
      </c>
      <c r="E144" s="32">
        <v>85</v>
      </c>
      <c r="F144" s="32">
        <v>0</v>
      </c>
      <c r="G144" s="32">
        <v>7</v>
      </c>
      <c r="H144" s="35">
        <f ca="1">LEFT(Music_Data[[#This Row],[Duration_minutes]],3)/60</f>
        <v>4.55</v>
      </c>
      <c r="I144" s="34">
        <v>3.8300000000000001E-3</v>
      </c>
      <c r="J144" s="36" t="str">
        <f t="shared" si="2"/>
        <v>No muy popular</v>
      </c>
      <c r="K144" s="42">
        <v>35135</v>
      </c>
    </row>
    <row r="145" spans="1:11">
      <c r="A145" s="39">
        <v>0.54400000000000004</v>
      </c>
      <c r="B145" s="37">
        <v>742</v>
      </c>
      <c r="C145" s="38">
        <v>0.57099999999999995</v>
      </c>
      <c r="D145" s="39">
        <v>0.216</v>
      </c>
      <c r="E145" s="37">
        <v>85</v>
      </c>
      <c r="F145" s="37">
        <v>1</v>
      </c>
      <c r="G145" s="37">
        <v>6</v>
      </c>
      <c r="H145" s="40">
        <f ca="1">LEFT(Music_Data[[#This Row],[Duration_minutes]],3)/60</f>
        <v>3.8</v>
      </c>
      <c r="I145" s="39">
        <v>0.45300000000000001</v>
      </c>
      <c r="J145" s="41" t="str">
        <f t="shared" si="2"/>
        <v>No muy popular</v>
      </c>
      <c r="K145" s="43">
        <v>40784</v>
      </c>
    </row>
    <row r="146" spans="1:11">
      <c r="A146" s="34">
        <v>0.85399999999999998</v>
      </c>
      <c r="B146" s="32">
        <v>139</v>
      </c>
      <c r="C146" s="33">
        <v>0.47699999999999998</v>
      </c>
      <c r="D146" s="34">
        <v>0.314</v>
      </c>
      <c r="E146" s="32">
        <v>85</v>
      </c>
      <c r="F146" s="32">
        <v>1</v>
      </c>
      <c r="G146" s="32">
        <v>7</v>
      </c>
      <c r="H146" s="35">
        <f ca="1">LEFT(Music_Data[[#This Row],[Duration_minutes]],3)/60</f>
        <v>3.35</v>
      </c>
      <c r="I146" s="34">
        <v>8.5800000000000001E-2</v>
      </c>
      <c r="J146" s="36" t="str">
        <f t="shared" si="2"/>
        <v>No muy popular</v>
      </c>
      <c r="K146" s="42">
        <v>2005</v>
      </c>
    </row>
    <row r="147" spans="1:11">
      <c r="A147" s="39">
        <v>0.47099999999999997</v>
      </c>
      <c r="B147" s="37">
        <v>116</v>
      </c>
      <c r="C147" s="38">
        <v>0.47199999999999998</v>
      </c>
      <c r="D147" s="39">
        <v>0.219</v>
      </c>
      <c r="E147" s="37">
        <v>85</v>
      </c>
      <c r="F147" s="37">
        <v>1</v>
      </c>
      <c r="G147" s="37">
        <v>10</v>
      </c>
      <c r="H147" s="40">
        <f ca="1">LEFT(Music_Data[[#This Row],[Duration_minutes]],3)/60</f>
        <v>3.4333333333333331</v>
      </c>
      <c r="I147" s="39">
        <v>0.151</v>
      </c>
      <c r="J147" s="41" t="str">
        <f t="shared" si="2"/>
        <v>No muy popular</v>
      </c>
      <c r="K147" s="43">
        <v>42657</v>
      </c>
    </row>
    <row r="148" spans="1:11">
      <c r="A148" s="34">
        <v>0.66700000000000004</v>
      </c>
      <c r="B148" s="32">
        <v>943</v>
      </c>
      <c r="C148" s="33">
        <v>0.77600000000000002</v>
      </c>
      <c r="D148" s="34">
        <v>0.61799999999999999</v>
      </c>
      <c r="E148" s="32">
        <v>85</v>
      </c>
      <c r="F148" s="32">
        <v>1</v>
      </c>
      <c r="G148" s="32">
        <v>7</v>
      </c>
      <c r="H148" s="35">
        <f ca="1">LEFT(Music_Data[[#This Row],[Duration_minutes]],3)/60</f>
        <v>3.9666666666666668</v>
      </c>
      <c r="I148" s="34">
        <v>1.46E-2</v>
      </c>
      <c r="J148" s="36" t="str">
        <f t="shared" si="2"/>
        <v>No muy popular</v>
      </c>
      <c r="K148" s="42">
        <v>30225</v>
      </c>
    </row>
    <row r="149" spans="1:11">
      <c r="A149" s="39">
        <v>0.79500000000000004</v>
      </c>
      <c r="B149" s="37">
        <v>879</v>
      </c>
      <c r="C149" s="38">
        <v>0.64500000000000002</v>
      </c>
      <c r="D149" s="39">
        <v>0.53500000000000003</v>
      </c>
      <c r="E149" s="37">
        <v>85</v>
      </c>
      <c r="F149" s="37">
        <v>1</v>
      </c>
      <c r="G149" s="37">
        <v>7</v>
      </c>
      <c r="H149" s="40">
        <f ca="1">LEFT(Music_Data[[#This Row],[Duration_minutes]],3)/60</f>
        <v>7.6</v>
      </c>
      <c r="I149" s="39">
        <v>0.34699999999999998</v>
      </c>
      <c r="J149" s="41" t="str">
        <f t="shared" si="2"/>
        <v>No muy popular</v>
      </c>
      <c r="K149" s="43">
        <v>35135</v>
      </c>
    </row>
    <row r="150" spans="1:11">
      <c r="A150" s="34">
        <v>0.84099999999999997</v>
      </c>
      <c r="B150" s="32">
        <v>112</v>
      </c>
      <c r="C150" s="33">
        <v>0.63500000000000001</v>
      </c>
      <c r="D150" s="34">
        <v>0.42399999999999999</v>
      </c>
      <c r="E150" s="32">
        <v>85</v>
      </c>
      <c r="F150" s="32">
        <v>1</v>
      </c>
      <c r="G150" s="32">
        <v>5</v>
      </c>
      <c r="H150" s="35">
        <f ca="1">LEFT(Music_Data[[#This Row],[Duration_minutes]],3)/60</f>
        <v>5.0666666666666664</v>
      </c>
      <c r="I150" s="34">
        <v>1.34E-2</v>
      </c>
      <c r="J150" s="36" t="str">
        <f t="shared" si="2"/>
        <v>No muy popular</v>
      </c>
      <c r="K150" s="42">
        <v>32749</v>
      </c>
    </row>
    <row r="151" spans="1:11">
      <c r="A151" s="39">
        <v>0.73099999999999998</v>
      </c>
      <c r="B151" s="37">
        <v>743</v>
      </c>
      <c r="C151" s="38">
        <v>0.48299999999999998</v>
      </c>
      <c r="D151" s="39">
        <v>0.48399999999999999</v>
      </c>
      <c r="E151" s="37">
        <v>85</v>
      </c>
      <c r="F151" s="37">
        <v>1</v>
      </c>
      <c r="G151" s="37">
        <v>1</v>
      </c>
      <c r="H151" s="40">
        <f ca="1">LEFT(Music_Data[[#This Row],[Duration_minutes]],3)/60</f>
        <v>3.2166666666666668</v>
      </c>
      <c r="I151" s="39">
        <v>0.436</v>
      </c>
      <c r="J151" s="41" t="str">
        <f t="shared" si="2"/>
        <v>No muy popular</v>
      </c>
      <c r="K151" s="43">
        <v>32238</v>
      </c>
    </row>
    <row r="152" spans="1:11">
      <c r="A152" s="34">
        <v>0.192</v>
      </c>
      <c r="B152" s="32">
        <v>900</v>
      </c>
      <c r="C152" s="33">
        <v>0.36899999999999999</v>
      </c>
      <c r="D152" s="34">
        <v>0.14799999999999999</v>
      </c>
      <c r="E152" s="32">
        <v>85</v>
      </c>
      <c r="F152" s="32">
        <v>0</v>
      </c>
      <c r="G152" s="32">
        <v>4</v>
      </c>
      <c r="H152" s="35">
        <f ca="1">LEFT(Music_Data[[#This Row],[Duration_minutes]],3)/60</f>
        <v>4.2166666666666668</v>
      </c>
      <c r="I152" s="34">
        <v>0.55500000000000005</v>
      </c>
      <c r="J152" s="36" t="str">
        <f t="shared" si="2"/>
        <v>No muy popular</v>
      </c>
      <c r="K152" s="42">
        <v>39395</v>
      </c>
    </row>
    <row r="153" spans="1:11">
      <c r="A153" s="39">
        <v>0.84099999999999997</v>
      </c>
      <c r="B153" s="37">
        <v>799</v>
      </c>
      <c r="C153" s="38">
        <v>0.63500000000000001</v>
      </c>
      <c r="D153" s="39">
        <v>0.42399999999999999</v>
      </c>
      <c r="E153" s="37">
        <v>85</v>
      </c>
      <c r="F153" s="37">
        <v>1</v>
      </c>
      <c r="G153" s="37">
        <v>5</v>
      </c>
      <c r="H153" s="40">
        <f ca="1">LEFT(Music_Data[[#This Row],[Duration_minutes]],3)/60</f>
        <v>4.3499999999999996</v>
      </c>
      <c r="I153" s="39">
        <v>1.34E-2</v>
      </c>
      <c r="J153" s="41" t="str">
        <f t="shared" si="2"/>
        <v>No muy popular</v>
      </c>
      <c r="K153" s="43">
        <v>39769</v>
      </c>
    </row>
    <row r="154" spans="1:11">
      <c r="A154" s="34">
        <v>0.55700000000000005</v>
      </c>
      <c r="B154" s="32">
        <v>867</v>
      </c>
      <c r="C154" s="33">
        <v>0.35799999999999998</v>
      </c>
      <c r="D154" s="34">
        <v>0.49399999999999999</v>
      </c>
      <c r="E154" s="32">
        <v>85</v>
      </c>
      <c r="F154" s="32">
        <v>1</v>
      </c>
      <c r="G154" s="32">
        <v>10</v>
      </c>
      <c r="H154" s="35">
        <f ca="1">LEFT(Music_Data[[#This Row],[Duration_minutes]],3)/60</f>
        <v>3.8166666666666669</v>
      </c>
      <c r="I154" s="34">
        <v>0.69499999999999995</v>
      </c>
      <c r="J154" s="36" t="str">
        <f t="shared" si="2"/>
        <v>No muy popular</v>
      </c>
      <c r="K154" s="42">
        <v>2005</v>
      </c>
    </row>
    <row r="155" spans="1:11">
      <c r="A155" s="39">
        <v>0.60699999999999998</v>
      </c>
      <c r="B155" s="37">
        <v>140</v>
      </c>
      <c r="C155" s="38">
        <v>0.68400000000000005</v>
      </c>
      <c r="D155" s="39">
        <v>0.498</v>
      </c>
      <c r="E155" s="37">
        <v>85</v>
      </c>
      <c r="F155" s="37">
        <v>0</v>
      </c>
      <c r="G155" s="37">
        <v>11</v>
      </c>
      <c r="H155" s="40">
        <f ca="1">LEFT(Music_Data[[#This Row],[Duration_minutes]],3)/60</f>
        <v>5.7</v>
      </c>
      <c r="I155" s="39">
        <v>2.6700000000000002E-2</v>
      </c>
      <c r="J155" s="41" t="str">
        <f t="shared" si="2"/>
        <v>No muy popular</v>
      </c>
      <c r="K155" s="43">
        <v>34282</v>
      </c>
    </row>
    <row r="156" spans="1:11">
      <c r="A156" s="34">
        <v>0.73099999999999998</v>
      </c>
      <c r="B156" s="32">
        <v>828</v>
      </c>
      <c r="C156" s="33">
        <v>0.48299999999999998</v>
      </c>
      <c r="D156" s="34">
        <v>0.48399999999999999</v>
      </c>
      <c r="E156" s="32">
        <v>85</v>
      </c>
      <c r="F156" s="32">
        <v>1</v>
      </c>
      <c r="G156" s="32">
        <v>1</v>
      </c>
      <c r="H156" s="35">
        <f ca="1">LEFT(Music_Data[[#This Row],[Duration_minutes]],3)/60</f>
        <v>3.6333333333333333</v>
      </c>
      <c r="I156" s="34">
        <v>0.436</v>
      </c>
      <c r="J156" s="36" t="str">
        <f t="shared" si="2"/>
        <v>No muy popular</v>
      </c>
      <c r="K156" s="42">
        <v>36841</v>
      </c>
    </row>
    <row r="157" spans="1:11">
      <c r="A157" s="39">
        <v>0.626</v>
      </c>
      <c r="B157" s="37">
        <v>136</v>
      </c>
      <c r="C157" s="38">
        <v>0.76300000000000001</v>
      </c>
      <c r="D157" s="39">
        <v>0.78</v>
      </c>
      <c r="E157" s="37">
        <v>85</v>
      </c>
      <c r="F157" s="37">
        <v>0</v>
      </c>
      <c r="G157" s="37">
        <v>5</v>
      </c>
      <c r="H157" s="40">
        <f ca="1">LEFT(Music_Data[[#This Row],[Duration_minutes]],3)/60</f>
        <v>4.0333333333333332</v>
      </c>
      <c r="I157" s="39">
        <v>8.5900000000000004E-2</v>
      </c>
      <c r="J157" s="41" t="str">
        <f t="shared" si="2"/>
        <v>No muy popular</v>
      </c>
      <c r="K157" s="43">
        <v>31062</v>
      </c>
    </row>
    <row r="158" spans="1:11">
      <c r="A158" s="34">
        <v>0.26800000000000002</v>
      </c>
      <c r="B158" s="32">
        <v>131</v>
      </c>
      <c r="C158" s="33">
        <v>0.371</v>
      </c>
      <c r="D158" s="34">
        <v>0.16500000000000001</v>
      </c>
      <c r="E158" s="32">
        <v>85</v>
      </c>
      <c r="F158" s="32">
        <v>1</v>
      </c>
      <c r="G158" s="32">
        <v>1</v>
      </c>
      <c r="H158" s="35">
        <f ca="1">LEFT(Music_Data[[#This Row],[Duration_minutes]],3)/60</f>
        <v>4.8</v>
      </c>
      <c r="I158" s="34">
        <v>0.748</v>
      </c>
      <c r="J158" s="36" t="str">
        <f t="shared" si="2"/>
        <v>No muy popular</v>
      </c>
      <c r="K158" s="42">
        <v>34485</v>
      </c>
    </row>
    <row r="159" spans="1:11">
      <c r="A159" s="39">
        <v>0.745</v>
      </c>
      <c r="B159" s="37">
        <v>140</v>
      </c>
      <c r="C159" s="38">
        <v>0.46400000000000002</v>
      </c>
      <c r="D159" s="39">
        <v>0.26200000000000001</v>
      </c>
      <c r="E159" s="37">
        <v>85</v>
      </c>
      <c r="F159" s="37">
        <v>0</v>
      </c>
      <c r="G159" s="37">
        <v>4</v>
      </c>
      <c r="H159" s="40">
        <f ca="1">LEFT(Music_Data[[#This Row],[Duration_minutes]],3)/60</f>
        <v>5.3833333333333337</v>
      </c>
      <c r="I159" s="39">
        <v>2.35E-2</v>
      </c>
      <c r="J159" s="41" t="str">
        <f t="shared" si="2"/>
        <v>No muy popular</v>
      </c>
      <c r="K159" s="43">
        <v>41967</v>
      </c>
    </row>
    <row r="160" spans="1:11">
      <c r="A160" s="34">
        <v>0.85499999999999998</v>
      </c>
      <c r="B160" s="32">
        <v>149</v>
      </c>
      <c r="C160" s="33">
        <v>0.63800000000000001</v>
      </c>
      <c r="D160" s="34">
        <v>0.73099999999999998</v>
      </c>
      <c r="E160" s="32">
        <v>84</v>
      </c>
      <c r="F160" s="32">
        <v>1</v>
      </c>
      <c r="G160" s="32">
        <v>7</v>
      </c>
      <c r="H160" s="35">
        <f ca="1">LEFT(Music_Data[[#This Row],[Duration_minutes]],3)/60</f>
        <v>5.85</v>
      </c>
      <c r="I160" s="34">
        <v>7.5700000000000003E-3</v>
      </c>
      <c r="J160" s="36" t="str">
        <f t="shared" si="2"/>
        <v>No muy popular</v>
      </c>
      <c r="K160" s="42">
        <v>33358</v>
      </c>
    </row>
    <row r="161" spans="1:11">
      <c r="A161" s="39">
        <v>0.33900000000000002</v>
      </c>
      <c r="B161" s="37">
        <v>129</v>
      </c>
      <c r="C161" s="38">
        <v>0.70499999999999996</v>
      </c>
      <c r="D161" s="39">
        <v>0.45700000000000002</v>
      </c>
      <c r="E161" s="37">
        <v>84</v>
      </c>
      <c r="F161" s="37">
        <v>1</v>
      </c>
      <c r="G161" s="37">
        <v>7</v>
      </c>
      <c r="H161" s="40">
        <f ca="1">LEFT(Music_Data[[#This Row],[Duration_minutes]],3)/60</f>
        <v>4.2333333333333334</v>
      </c>
      <c r="I161" s="39">
        <v>0.55200000000000005</v>
      </c>
      <c r="J161" s="41" t="str">
        <f t="shared" si="2"/>
        <v>No muy popular</v>
      </c>
      <c r="K161" s="43">
        <v>39448</v>
      </c>
    </row>
    <row r="162" spans="1:11">
      <c r="A162" s="34">
        <v>0.70899999999999996</v>
      </c>
      <c r="B162" s="32">
        <v>121</v>
      </c>
      <c r="C162" s="33">
        <v>0.74399999999999999</v>
      </c>
      <c r="D162" s="34">
        <v>0.71199999999999997</v>
      </c>
      <c r="E162" s="32">
        <v>84</v>
      </c>
      <c r="F162" s="32">
        <v>0</v>
      </c>
      <c r="G162" s="32">
        <v>6</v>
      </c>
      <c r="H162" s="35">
        <f ca="1">LEFT(Music_Data[[#This Row],[Duration_minutes]],3)/60</f>
        <v>4.7666666666666666</v>
      </c>
      <c r="I162" s="34">
        <v>5.0099999999999999E-2</v>
      </c>
      <c r="J162" s="36" t="str">
        <f t="shared" si="2"/>
        <v>No muy popular</v>
      </c>
      <c r="K162" s="42">
        <v>26665</v>
      </c>
    </row>
    <row r="163" spans="1:11">
      <c r="A163" s="39">
        <v>0.38600000000000001</v>
      </c>
      <c r="B163" s="37">
        <v>101</v>
      </c>
      <c r="C163" s="38">
        <v>0.504</v>
      </c>
      <c r="D163" s="39">
        <v>0.28100000000000003</v>
      </c>
      <c r="E163" s="37">
        <v>84</v>
      </c>
      <c r="F163" s="37">
        <v>1</v>
      </c>
      <c r="G163" s="37">
        <v>11</v>
      </c>
      <c r="H163" s="40">
        <f ca="1">LEFT(Music_Data[[#This Row],[Duration_minutes]],3)/60</f>
        <v>3.5</v>
      </c>
      <c r="I163" s="39">
        <v>0.502</v>
      </c>
      <c r="J163" s="41" t="str">
        <f t="shared" si="2"/>
        <v>No muy popular</v>
      </c>
      <c r="K163" s="43">
        <v>37337</v>
      </c>
    </row>
    <row r="164" spans="1:11">
      <c r="A164" s="34">
        <v>0.71199999999999997</v>
      </c>
      <c r="B164" s="32">
        <v>931</v>
      </c>
      <c r="C164" s="33">
        <v>0.84799999999999998</v>
      </c>
      <c r="D164" s="34">
        <v>0.69199999999999995</v>
      </c>
      <c r="E164" s="32">
        <v>84</v>
      </c>
      <c r="F164" s="32">
        <v>0</v>
      </c>
      <c r="G164" s="32">
        <v>1</v>
      </c>
      <c r="H164" s="35">
        <f ca="1">LEFT(Music_Data[[#This Row],[Duration_minutes]],3)/60</f>
        <v>3.6166666666666667</v>
      </c>
      <c r="I164" s="34">
        <v>0.221</v>
      </c>
      <c r="J164" s="36" t="str">
        <f t="shared" si="2"/>
        <v>No muy popular</v>
      </c>
      <c r="K164" s="42">
        <v>39060</v>
      </c>
    </row>
    <row r="165" spans="1:11">
      <c r="A165" s="39">
        <v>0.95199999999999996</v>
      </c>
      <c r="B165" s="37">
        <v>131</v>
      </c>
      <c r="C165" s="38">
        <v>0.44500000000000001</v>
      </c>
      <c r="D165" s="39">
        <v>0.624</v>
      </c>
      <c r="E165" s="37">
        <v>84</v>
      </c>
      <c r="F165" s="37">
        <v>1</v>
      </c>
      <c r="G165" s="37">
        <v>6</v>
      </c>
      <c r="H165" s="40">
        <f ca="1">LEFT(Music_Data[[#This Row],[Duration_minutes]],3)/60</f>
        <v>3.2</v>
      </c>
      <c r="I165" s="39">
        <v>0.09</v>
      </c>
      <c r="J165" s="41" t="str">
        <f t="shared" si="2"/>
        <v>No muy popular</v>
      </c>
      <c r="K165" s="43">
        <v>30317</v>
      </c>
    </row>
    <row r="166" spans="1:11">
      <c r="A166" s="34">
        <v>0.49199999999999999</v>
      </c>
      <c r="B166" s="32">
        <v>118</v>
      </c>
      <c r="C166" s="33">
        <v>0.82799999999999996</v>
      </c>
      <c r="D166" s="34">
        <v>0.78900000000000003</v>
      </c>
      <c r="E166" s="32">
        <v>84</v>
      </c>
      <c r="F166" s="32">
        <v>1</v>
      </c>
      <c r="G166" s="32">
        <v>0</v>
      </c>
      <c r="H166" s="35">
        <f ca="1">LEFT(Music_Data[[#This Row],[Duration_minutes]],3)/60</f>
        <v>3.4666666666666668</v>
      </c>
      <c r="I166" s="34">
        <v>6.4399999999999999E-2</v>
      </c>
      <c r="J166" s="36" t="str">
        <f t="shared" si="2"/>
        <v>No muy popular</v>
      </c>
      <c r="K166" s="42">
        <v>39406</v>
      </c>
    </row>
    <row r="167" spans="1:11">
      <c r="A167" s="39">
        <v>0.69699999999999995</v>
      </c>
      <c r="B167" s="37">
        <v>938</v>
      </c>
      <c r="C167" s="38">
        <v>0.74099999999999999</v>
      </c>
      <c r="D167" s="39">
        <v>0.77400000000000002</v>
      </c>
      <c r="E167" s="37">
        <v>84</v>
      </c>
      <c r="F167" s="37">
        <v>1</v>
      </c>
      <c r="G167" s="37">
        <v>0</v>
      </c>
      <c r="H167" s="40">
        <f ca="1">LEFT(Music_Data[[#This Row],[Duration_minutes]],3)/60</f>
        <v>3.6333333333333333</v>
      </c>
      <c r="I167" s="39">
        <v>6.6400000000000001E-2</v>
      </c>
      <c r="J167" s="41" t="str">
        <f t="shared" si="2"/>
        <v>No muy popular</v>
      </c>
      <c r="K167" s="43">
        <v>39601</v>
      </c>
    </row>
    <row r="168" spans="1:11">
      <c r="A168" s="34">
        <v>0.91300000000000003</v>
      </c>
      <c r="B168" s="32">
        <v>184</v>
      </c>
      <c r="C168" s="33">
        <v>0.57399999999999995</v>
      </c>
      <c r="D168" s="34">
        <v>0.42299999999999999</v>
      </c>
      <c r="E168" s="32">
        <v>84</v>
      </c>
      <c r="F168" s="32">
        <v>0</v>
      </c>
      <c r="G168" s="32">
        <v>6</v>
      </c>
      <c r="H168" s="35">
        <f ca="1">LEFT(Music_Data[[#This Row],[Duration_minutes]],3)/60</f>
        <v>4.3499999999999996</v>
      </c>
      <c r="I168" s="34">
        <v>6.0999999999999999E-2</v>
      </c>
      <c r="J168" s="36" t="str">
        <f t="shared" si="2"/>
        <v>No muy popular</v>
      </c>
      <c r="K168" s="42">
        <v>1998</v>
      </c>
    </row>
    <row r="169" spans="1:11">
      <c r="A169" s="39">
        <v>0.55200000000000005</v>
      </c>
      <c r="B169" s="37">
        <v>939</v>
      </c>
      <c r="C169" s="38">
        <v>0.64</v>
      </c>
      <c r="D169" s="39">
        <v>0.112</v>
      </c>
      <c r="E169" s="37">
        <v>84</v>
      </c>
      <c r="F169" s="37">
        <v>1</v>
      </c>
      <c r="G169" s="37">
        <v>2</v>
      </c>
      <c r="H169" s="40">
        <f ca="1">LEFT(Music_Data[[#This Row],[Duration_minutes]],3)/60</f>
        <v>4.4333333333333336</v>
      </c>
      <c r="I169" s="39">
        <v>2.1499999999999998E-2</v>
      </c>
      <c r="J169" s="41" t="str">
        <f t="shared" si="2"/>
        <v>No muy popular</v>
      </c>
      <c r="K169" s="43">
        <v>37110</v>
      </c>
    </row>
    <row r="170" spans="1:11">
      <c r="A170" s="34">
        <v>0.55200000000000005</v>
      </c>
      <c r="B170" s="32">
        <v>129</v>
      </c>
      <c r="C170" s="33">
        <v>0.64</v>
      </c>
      <c r="D170" s="34">
        <v>0.112</v>
      </c>
      <c r="E170" s="32">
        <v>84</v>
      </c>
      <c r="F170" s="32">
        <v>1</v>
      </c>
      <c r="G170" s="32">
        <v>2</v>
      </c>
      <c r="H170" s="35">
        <f ca="1">LEFT(Music_Data[[#This Row],[Duration_minutes]],3)/60</f>
        <v>4.9833333333333334</v>
      </c>
      <c r="I170" s="34">
        <v>2.1499999999999998E-2</v>
      </c>
      <c r="J170" s="36" t="str">
        <f t="shared" si="2"/>
        <v>No muy popular</v>
      </c>
      <c r="K170" s="42">
        <v>40347</v>
      </c>
    </row>
    <row r="171" spans="1:11">
      <c r="A171" s="39">
        <v>0.71199999999999997</v>
      </c>
      <c r="B171" s="37">
        <v>128</v>
      </c>
      <c r="C171" s="38">
        <v>0.84799999999999998</v>
      </c>
      <c r="D171" s="39">
        <v>0.69199999999999995</v>
      </c>
      <c r="E171" s="37">
        <v>84</v>
      </c>
      <c r="F171" s="37">
        <v>0</v>
      </c>
      <c r="G171" s="37">
        <v>1</v>
      </c>
      <c r="H171" s="40">
        <f ca="1">LEFT(Music_Data[[#This Row],[Duration_minutes]],3)/60</f>
        <v>5.5166666666666666</v>
      </c>
      <c r="I171" s="39">
        <v>0.221</v>
      </c>
      <c r="J171" s="41" t="str">
        <f t="shared" si="2"/>
        <v>No muy popular</v>
      </c>
      <c r="K171" s="43">
        <v>35431</v>
      </c>
    </row>
    <row r="172" spans="1:11">
      <c r="A172" s="34">
        <v>0.53600000000000003</v>
      </c>
      <c r="B172" s="32">
        <v>119</v>
      </c>
      <c r="C172" s="33">
        <v>0.71599999999999997</v>
      </c>
      <c r="D172" s="34">
        <v>0.35899999999999999</v>
      </c>
      <c r="E172" s="32">
        <v>84</v>
      </c>
      <c r="F172" s="32">
        <v>0</v>
      </c>
      <c r="G172" s="32">
        <v>2</v>
      </c>
      <c r="H172" s="35">
        <f ca="1">LEFT(Music_Data[[#This Row],[Duration_minutes]],3)/60</f>
        <v>5.75</v>
      </c>
      <c r="I172" s="34">
        <v>0.45200000000000001</v>
      </c>
      <c r="J172" s="36" t="str">
        <f t="shared" si="2"/>
        <v>No muy popular</v>
      </c>
      <c r="K172" s="42">
        <v>34866</v>
      </c>
    </row>
    <row r="173" spans="1:11">
      <c r="A173" s="39">
        <v>0.70699999999999996</v>
      </c>
      <c r="B173" s="37">
        <v>138</v>
      </c>
      <c r="C173" s="38">
        <v>0.78600000000000003</v>
      </c>
      <c r="D173" s="39">
        <v>0.69099999999999995</v>
      </c>
      <c r="E173" s="37">
        <v>84</v>
      </c>
      <c r="F173" s="37">
        <v>0</v>
      </c>
      <c r="G173" s="37">
        <v>7</v>
      </c>
      <c r="H173" s="40">
        <f ca="1">LEFT(Music_Data[[#This Row],[Duration_minutes]],3)/60</f>
        <v>3.5166666666666666</v>
      </c>
      <c r="I173" s="39">
        <v>3.9899999999999998E-2</v>
      </c>
      <c r="J173" s="41" t="str">
        <f t="shared" si="2"/>
        <v>No muy popular</v>
      </c>
      <c r="K173" s="43">
        <v>38069</v>
      </c>
    </row>
    <row r="174" spans="1:11">
      <c r="A174" s="34">
        <v>0.86599999999999999</v>
      </c>
      <c r="B174" s="32">
        <v>993</v>
      </c>
      <c r="C174" s="33">
        <v>0.52600000000000002</v>
      </c>
      <c r="D174" s="34">
        <v>0.248</v>
      </c>
      <c r="E174" s="32">
        <v>84</v>
      </c>
      <c r="F174" s="32">
        <v>1</v>
      </c>
      <c r="G174" s="32">
        <v>0</v>
      </c>
      <c r="H174" s="35">
        <f ca="1">LEFT(Music_Data[[#This Row],[Duration_minutes]],3)/60</f>
        <v>3.9666666666666668</v>
      </c>
      <c r="I174" s="34">
        <v>2.8700000000000002E-3</v>
      </c>
      <c r="J174" s="36" t="str">
        <f t="shared" si="2"/>
        <v>No muy popular</v>
      </c>
      <c r="K174" s="42">
        <v>31092</v>
      </c>
    </row>
    <row r="175" spans="1:11">
      <c r="A175" s="39">
        <v>0.36399999999999999</v>
      </c>
      <c r="B175" s="37">
        <v>130</v>
      </c>
      <c r="C175" s="38">
        <v>0.52400000000000002</v>
      </c>
      <c r="D175" s="39">
        <v>0.436</v>
      </c>
      <c r="E175" s="37">
        <v>84</v>
      </c>
      <c r="F175" s="37">
        <v>1</v>
      </c>
      <c r="G175" s="37">
        <v>7</v>
      </c>
      <c r="H175" s="40">
        <f ca="1">LEFT(Music_Data[[#This Row],[Duration_minutes]],3)/60</f>
        <v>2.2000000000000002</v>
      </c>
      <c r="I175" s="39">
        <v>0.80800000000000005</v>
      </c>
      <c r="J175" s="41" t="str">
        <f t="shared" si="2"/>
        <v>No muy popular</v>
      </c>
      <c r="K175" s="43">
        <v>45379</v>
      </c>
    </row>
    <row r="176" spans="1:11">
      <c r="A176" s="34">
        <v>0.28399999999999997</v>
      </c>
      <c r="B176" s="32">
        <v>117</v>
      </c>
      <c r="C176" s="33">
        <v>0.35799999999999998</v>
      </c>
      <c r="D176" s="34">
        <v>0.27600000000000002</v>
      </c>
      <c r="E176" s="32">
        <v>84</v>
      </c>
      <c r="F176" s="32">
        <v>1</v>
      </c>
      <c r="G176" s="32">
        <v>7</v>
      </c>
      <c r="H176" s="35">
        <f ca="1">LEFT(Music_Data[[#This Row],[Duration_minutes]],3)/60</f>
        <v>4.4333333333333336</v>
      </c>
      <c r="I176" s="34">
        <v>0.80500000000000005</v>
      </c>
      <c r="J176" s="36" t="str">
        <f t="shared" si="2"/>
        <v>No muy popular</v>
      </c>
      <c r="K176" s="42">
        <v>45400</v>
      </c>
    </row>
    <row r="177" spans="1:11">
      <c r="A177" s="39">
        <v>0.93899999999999995</v>
      </c>
      <c r="B177" s="37">
        <v>804</v>
      </c>
      <c r="C177" s="38">
        <v>0.67100000000000004</v>
      </c>
      <c r="D177" s="39">
        <v>0.53</v>
      </c>
      <c r="E177" s="37">
        <v>84</v>
      </c>
      <c r="F177" s="37">
        <v>1</v>
      </c>
      <c r="G177" s="37">
        <v>8</v>
      </c>
      <c r="H177" s="40">
        <f ca="1">LEFT(Music_Data[[#This Row],[Duration_minutes]],3)/60</f>
        <v>2.0499999999999998</v>
      </c>
      <c r="I177" s="39">
        <v>0.191</v>
      </c>
      <c r="J177" s="41" t="str">
        <f t="shared" si="2"/>
        <v>No muy popular</v>
      </c>
      <c r="K177" s="43">
        <v>45422</v>
      </c>
    </row>
    <row r="178" spans="1:11">
      <c r="A178" s="34">
        <v>0.52400000000000002</v>
      </c>
      <c r="B178" s="32">
        <v>130</v>
      </c>
      <c r="C178" s="33">
        <v>0.748</v>
      </c>
      <c r="D178" s="34">
        <v>0.66100000000000003</v>
      </c>
      <c r="E178" s="32">
        <v>84</v>
      </c>
      <c r="F178" s="32">
        <v>1</v>
      </c>
      <c r="G178" s="32">
        <v>8</v>
      </c>
      <c r="H178" s="35">
        <f ca="1">LEFT(Music_Data[[#This Row],[Duration_minutes]],3)/60</f>
        <v>10.266666666666667</v>
      </c>
      <c r="I178" s="34">
        <v>0.41399999999999998</v>
      </c>
      <c r="J178" s="36" t="str">
        <f t="shared" si="2"/>
        <v>No muy popular</v>
      </c>
      <c r="K178" s="42">
        <v>45047</v>
      </c>
    </row>
    <row r="179" spans="1:11">
      <c r="A179" s="39">
        <v>0.94599999999999995</v>
      </c>
      <c r="B179" s="37">
        <v>865</v>
      </c>
      <c r="C179" s="38">
        <v>0.59899999999999998</v>
      </c>
      <c r="D179" s="39">
        <v>0.747</v>
      </c>
      <c r="E179" s="37">
        <v>84</v>
      </c>
      <c r="F179" s="37">
        <v>1</v>
      </c>
      <c r="G179" s="37">
        <v>11</v>
      </c>
      <c r="H179" s="40">
        <f ca="1">LEFT(Music_Data[[#This Row],[Duration_minutes]],3)/60</f>
        <v>2.85</v>
      </c>
      <c r="I179" s="39">
        <v>9.3800000000000003E-4</v>
      </c>
      <c r="J179" s="41" t="str">
        <f t="shared" si="2"/>
        <v>No muy popular</v>
      </c>
      <c r="K179" s="43">
        <v>43304</v>
      </c>
    </row>
    <row r="180" spans="1:11">
      <c r="A180" s="34">
        <v>0.85499999999999998</v>
      </c>
      <c r="B180" s="32">
        <v>126</v>
      </c>
      <c r="C180" s="33">
        <v>0.63800000000000001</v>
      </c>
      <c r="D180" s="34">
        <v>0.73099999999999998</v>
      </c>
      <c r="E180" s="32">
        <v>84</v>
      </c>
      <c r="F180" s="32">
        <v>1</v>
      </c>
      <c r="G180" s="32">
        <v>7</v>
      </c>
      <c r="H180" s="35">
        <f ca="1">LEFT(Music_Data[[#This Row],[Duration_minutes]],3)/60</f>
        <v>1.9666666666666666</v>
      </c>
      <c r="I180" s="34">
        <v>7.5700000000000003E-3</v>
      </c>
      <c r="J180" s="36" t="str">
        <f t="shared" si="2"/>
        <v>No muy popular</v>
      </c>
      <c r="K180" s="42">
        <v>45058</v>
      </c>
    </row>
    <row r="181" spans="1:11">
      <c r="A181" s="39">
        <v>0.64200000000000002</v>
      </c>
      <c r="B181" s="37">
        <v>117</v>
      </c>
      <c r="C181" s="38">
        <v>0.745</v>
      </c>
      <c r="D181" s="39">
        <v>0.22600000000000001</v>
      </c>
      <c r="E181" s="37">
        <v>84</v>
      </c>
      <c r="F181" s="37">
        <v>0</v>
      </c>
      <c r="G181" s="37">
        <v>7</v>
      </c>
      <c r="H181" s="40">
        <f ca="1">LEFT(Music_Data[[#This Row],[Duration_minutes]],3)/60</f>
        <v>1.7833333333333334</v>
      </c>
      <c r="I181" s="39">
        <v>2.0400000000000001E-2</v>
      </c>
      <c r="J181" s="41" t="str">
        <f t="shared" si="2"/>
        <v>No muy popular</v>
      </c>
      <c r="K181" s="43">
        <v>45482</v>
      </c>
    </row>
    <row r="182" spans="1:11">
      <c r="A182" s="34">
        <v>0.82899999999999996</v>
      </c>
      <c r="B182" s="32">
        <v>130</v>
      </c>
      <c r="C182" s="33">
        <v>0.47599999999999998</v>
      </c>
      <c r="D182" s="34">
        <v>0.505</v>
      </c>
      <c r="E182" s="32">
        <v>84</v>
      </c>
      <c r="F182" s="32">
        <v>0</v>
      </c>
      <c r="G182" s="32">
        <v>10</v>
      </c>
      <c r="H182" s="35">
        <f ca="1">LEFT(Music_Data[[#This Row],[Duration_minutes]],3)/60</f>
        <v>2.2999999999999998</v>
      </c>
      <c r="I182" s="34">
        <v>1.72E-2</v>
      </c>
      <c r="J182" s="36" t="str">
        <f t="shared" si="2"/>
        <v>No muy popular</v>
      </c>
      <c r="K182" s="42">
        <v>45127</v>
      </c>
    </row>
    <row r="183" spans="1:11">
      <c r="A183" s="39">
        <v>0.55200000000000005</v>
      </c>
      <c r="B183" s="37">
        <v>130</v>
      </c>
      <c r="C183" s="38">
        <v>0.64</v>
      </c>
      <c r="D183" s="39">
        <v>0.112</v>
      </c>
      <c r="E183" s="37">
        <v>84</v>
      </c>
      <c r="F183" s="37">
        <v>1</v>
      </c>
      <c r="G183" s="37">
        <v>2</v>
      </c>
      <c r="H183" s="40">
        <f ca="1">LEFT(Music_Data[[#This Row],[Duration_minutes]],3)/60</f>
        <v>15.333333333333334</v>
      </c>
      <c r="I183" s="39">
        <v>2.1499999999999998E-2</v>
      </c>
      <c r="J183" s="41" t="str">
        <f t="shared" si="2"/>
        <v>No muy popular</v>
      </c>
      <c r="K183" s="43">
        <v>45050</v>
      </c>
    </row>
    <row r="184" spans="1:11">
      <c r="A184" s="34">
        <v>0.45300000000000001</v>
      </c>
      <c r="B184" s="32">
        <v>130</v>
      </c>
      <c r="C184" s="33">
        <v>0.91500000000000004</v>
      </c>
      <c r="D184" s="34">
        <v>0.28699999999999998</v>
      </c>
      <c r="E184" s="32">
        <v>84</v>
      </c>
      <c r="F184" s="32">
        <v>0</v>
      </c>
      <c r="G184" s="32">
        <v>10</v>
      </c>
      <c r="H184" s="35">
        <f ca="1">LEFT(Music_Data[[#This Row],[Duration_minutes]],3)/60</f>
        <v>1.9833333333333334</v>
      </c>
      <c r="I184" s="34">
        <v>8.72E-2</v>
      </c>
      <c r="J184" s="36" t="str">
        <f t="shared" si="2"/>
        <v>No muy popular</v>
      </c>
      <c r="K184" s="42">
        <v>45212</v>
      </c>
    </row>
    <row r="185" spans="1:11">
      <c r="A185" s="39">
        <v>0.70599999999999996</v>
      </c>
      <c r="B185" s="37">
        <v>129</v>
      </c>
      <c r="C185" s="38">
        <v>0.72199999999999998</v>
      </c>
      <c r="D185" s="39">
        <v>0.59899999999999998</v>
      </c>
      <c r="E185" s="37">
        <v>84</v>
      </c>
      <c r="F185" s="37">
        <v>1</v>
      </c>
      <c r="G185" s="37">
        <v>9</v>
      </c>
      <c r="H185" s="40">
        <f ca="1">LEFT(Music_Data[[#This Row],[Duration_minutes]],3)/60</f>
        <v>2.2166666666666668</v>
      </c>
      <c r="I185" s="39">
        <v>7.1999999999999995E-2</v>
      </c>
      <c r="J185" s="41" t="str">
        <f t="shared" si="2"/>
        <v>No muy popular</v>
      </c>
      <c r="K185" s="43">
        <v>44642</v>
      </c>
    </row>
    <row r="186" spans="1:11">
      <c r="A186" s="34">
        <v>0.64300000000000002</v>
      </c>
      <c r="B186" s="32">
        <v>864</v>
      </c>
      <c r="C186" s="33">
        <v>0.74</v>
      </c>
      <c r="D186" s="34">
        <v>0.96</v>
      </c>
      <c r="E186" s="32">
        <v>84</v>
      </c>
      <c r="F186" s="32">
        <v>1</v>
      </c>
      <c r="G186" s="32">
        <v>10</v>
      </c>
      <c r="H186" s="35">
        <f ca="1">LEFT(Music_Data[[#This Row],[Duration_minutes]],3)/60</f>
        <v>2.0166666666666666</v>
      </c>
      <c r="I186" s="34">
        <v>4.1000000000000002E-2</v>
      </c>
      <c r="J186" s="36" t="str">
        <f t="shared" si="2"/>
        <v>No muy popular</v>
      </c>
      <c r="K186" s="42">
        <v>45282</v>
      </c>
    </row>
    <row r="187" spans="1:11">
      <c r="A187" s="39">
        <v>0.77800000000000002</v>
      </c>
      <c r="B187" s="37">
        <v>130</v>
      </c>
      <c r="C187" s="38">
        <v>0.91100000000000003</v>
      </c>
      <c r="D187" s="39">
        <v>0.34499999999999997</v>
      </c>
      <c r="E187" s="37">
        <v>84</v>
      </c>
      <c r="F187" s="37">
        <v>1</v>
      </c>
      <c r="G187" s="37">
        <v>5</v>
      </c>
      <c r="H187" s="40">
        <f ca="1">LEFT(Music_Data[[#This Row],[Duration_minutes]],3)/60</f>
        <v>3.3166666666666669</v>
      </c>
      <c r="I187" s="39">
        <v>8.8700000000000001E-2</v>
      </c>
      <c r="J187" s="41" t="str">
        <f t="shared" si="2"/>
        <v>No muy popular</v>
      </c>
      <c r="K187" s="43">
        <v>45426</v>
      </c>
    </row>
    <row r="188" spans="1:11">
      <c r="A188" s="34">
        <v>0.55200000000000005</v>
      </c>
      <c r="B188" s="32">
        <v>849</v>
      </c>
      <c r="C188" s="33">
        <v>0.64</v>
      </c>
      <c r="D188" s="34">
        <v>0.112</v>
      </c>
      <c r="E188" s="32">
        <v>84</v>
      </c>
      <c r="F188" s="32">
        <v>1</v>
      </c>
      <c r="G188" s="32">
        <v>2</v>
      </c>
      <c r="H188" s="35">
        <f ca="1">LEFT(Music_Data[[#This Row],[Duration_minutes]],3)/60</f>
        <v>2.6166666666666667</v>
      </c>
      <c r="I188" s="34">
        <v>2.1499999999999998E-2</v>
      </c>
      <c r="J188" s="36" t="str">
        <f t="shared" si="2"/>
        <v>No muy popular</v>
      </c>
      <c r="K188" s="42">
        <v>45183</v>
      </c>
    </row>
    <row r="189" spans="1:11">
      <c r="A189" s="39">
        <v>0.442</v>
      </c>
      <c r="B189" s="37">
        <v>924</v>
      </c>
      <c r="C189" s="38">
        <v>0.55700000000000005</v>
      </c>
      <c r="D189" s="39">
        <v>0.21299999999999999</v>
      </c>
      <c r="E189" s="37">
        <v>84</v>
      </c>
      <c r="F189" s="37">
        <v>1</v>
      </c>
      <c r="G189" s="37">
        <v>5</v>
      </c>
      <c r="H189" s="40">
        <f ca="1">LEFT(Music_Data[[#This Row],[Duration_minutes]],3)/60</f>
        <v>5.25</v>
      </c>
      <c r="I189" s="39">
        <v>0.73099999999999998</v>
      </c>
      <c r="J189" s="41" t="str">
        <f t="shared" si="2"/>
        <v>No muy popular</v>
      </c>
      <c r="K189" s="43">
        <v>41275</v>
      </c>
    </row>
    <row r="190" spans="1:11">
      <c r="A190" s="34">
        <v>0.55200000000000005</v>
      </c>
      <c r="B190" s="32">
        <v>128</v>
      </c>
      <c r="C190" s="33">
        <v>0.34599999999999997</v>
      </c>
      <c r="D190" s="34">
        <v>7.8899999999999998E-2</v>
      </c>
      <c r="E190" s="32">
        <v>84</v>
      </c>
      <c r="F190" s="32">
        <v>0</v>
      </c>
      <c r="G190" s="32">
        <v>0</v>
      </c>
      <c r="H190" s="35">
        <f ca="1">LEFT(Music_Data[[#This Row],[Duration_minutes]],3)/60</f>
        <v>2.2833333333333332</v>
      </c>
      <c r="I190" s="34">
        <v>0.41699999999999998</v>
      </c>
      <c r="J190" s="36" t="str">
        <f t="shared" si="2"/>
        <v>No muy popular</v>
      </c>
      <c r="K190" s="42">
        <v>45072</v>
      </c>
    </row>
    <row r="191" spans="1:11">
      <c r="A191" s="39">
        <v>0.82199999999999995</v>
      </c>
      <c r="B191" s="37">
        <v>875</v>
      </c>
      <c r="C191" s="38">
        <v>0.60399999999999998</v>
      </c>
      <c r="D191" s="39">
        <v>0.28799999999999998</v>
      </c>
      <c r="E191" s="37">
        <v>84</v>
      </c>
      <c r="F191" s="37">
        <v>1</v>
      </c>
      <c r="G191" s="37">
        <v>0</v>
      </c>
      <c r="H191" s="40">
        <f ca="1">LEFT(Music_Data[[#This Row],[Duration_minutes]],3)/60</f>
        <v>10.783333333333333</v>
      </c>
      <c r="I191" s="39">
        <v>6.7200000000000003E-3</v>
      </c>
      <c r="J191" s="41" t="str">
        <f t="shared" si="2"/>
        <v>No muy popular</v>
      </c>
      <c r="K191" s="43">
        <v>43987</v>
      </c>
    </row>
    <row r="192" spans="1:11">
      <c r="A192" s="34">
        <v>0.54300000000000004</v>
      </c>
      <c r="B192" s="32">
        <v>172</v>
      </c>
      <c r="C192" s="33">
        <v>0.35899999999999999</v>
      </c>
      <c r="D192" s="34">
        <v>0.45300000000000001</v>
      </c>
      <c r="E192" s="32">
        <v>84</v>
      </c>
      <c r="F192" s="32">
        <v>1</v>
      </c>
      <c r="G192" s="32">
        <v>7</v>
      </c>
      <c r="H192" s="35">
        <f ca="1">LEFT(Music_Data[[#This Row],[Duration_minutes]],3)/60</f>
        <v>2.5666666666666669</v>
      </c>
      <c r="I192" s="34">
        <v>0.49199999999999999</v>
      </c>
      <c r="J192" s="36" t="str">
        <f t="shared" si="2"/>
        <v>No muy popular</v>
      </c>
      <c r="K192" s="42">
        <v>44789</v>
      </c>
    </row>
    <row r="193" spans="1:11">
      <c r="A193" s="39">
        <v>0.379</v>
      </c>
      <c r="B193" s="37">
        <v>628</v>
      </c>
      <c r="C193" s="38">
        <v>0.61399999999999999</v>
      </c>
      <c r="D193" s="39">
        <v>0.20100000000000001</v>
      </c>
      <c r="E193" s="37">
        <v>84</v>
      </c>
      <c r="F193" s="37">
        <v>1</v>
      </c>
      <c r="G193" s="37">
        <v>4</v>
      </c>
      <c r="H193" s="40">
        <f ca="1">LEFT(Music_Data[[#This Row],[Duration_minutes]],3)/60</f>
        <v>4.583333333333333</v>
      </c>
      <c r="I193" s="39">
        <v>0.60699999999999998</v>
      </c>
      <c r="J193" s="41" t="str">
        <f t="shared" si="2"/>
        <v>No muy popular</v>
      </c>
      <c r="K193" s="43">
        <v>40368</v>
      </c>
    </row>
    <row r="194" spans="1:11">
      <c r="A194" s="34">
        <v>0.93899999999999995</v>
      </c>
      <c r="B194" s="32">
        <v>952</v>
      </c>
      <c r="C194" s="33">
        <v>0.67100000000000004</v>
      </c>
      <c r="D194" s="34">
        <v>0.53</v>
      </c>
      <c r="E194" s="32">
        <v>84</v>
      </c>
      <c r="F194" s="32">
        <v>1</v>
      </c>
      <c r="G194" s="32">
        <v>8</v>
      </c>
      <c r="H194" s="35">
        <f ca="1">LEFT(Music_Data[[#This Row],[Duration_minutes]],3)/60</f>
        <v>13.066666666666666</v>
      </c>
      <c r="I194" s="34">
        <v>0.191</v>
      </c>
      <c r="J194" s="36" t="str">
        <f t="shared" si="2"/>
        <v>No muy popular</v>
      </c>
      <c r="K194" s="42">
        <v>44001</v>
      </c>
    </row>
    <row r="195" spans="1:11">
      <c r="A195" s="39">
        <v>0.90200000000000002</v>
      </c>
      <c r="B195" s="37">
        <v>132</v>
      </c>
      <c r="C195" s="38">
        <v>0.57299999999999995</v>
      </c>
      <c r="D195" s="39">
        <v>0.876</v>
      </c>
      <c r="E195" s="37">
        <v>84</v>
      </c>
      <c r="F195" s="37">
        <v>0</v>
      </c>
      <c r="G195" s="37">
        <v>6</v>
      </c>
      <c r="H195" s="40">
        <f ca="1">LEFT(Music_Data[[#This Row],[Duration_minutes]],3)/60</f>
        <v>5.95</v>
      </c>
      <c r="I195" s="39">
        <v>1.7999999999999999E-2</v>
      </c>
      <c r="J195" s="41" t="str">
        <f t="shared" si="2"/>
        <v>No muy popular</v>
      </c>
      <c r="K195" s="43">
        <v>37987</v>
      </c>
    </row>
    <row r="196" spans="1:11">
      <c r="A196" s="34">
        <v>0.82399999999999995</v>
      </c>
      <c r="B196" s="32">
        <v>696</v>
      </c>
      <c r="C196" s="33">
        <v>0.77800000000000002</v>
      </c>
      <c r="D196" s="34">
        <v>0.75800000000000001</v>
      </c>
      <c r="E196" s="32">
        <v>84</v>
      </c>
      <c r="F196" s="32">
        <v>0</v>
      </c>
      <c r="G196" s="32">
        <v>10</v>
      </c>
      <c r="H196" s="35">
        <f ca="1">LEFT(Music_Data[[#This Row],[Duration_minutes]],3)/60</f>
        <v>1.75</v>
      </c>
      <c r="I196" s="34">
        <v>0.28399999999999997</v>
      </c>
      <c r="J196" s="36" t="str">
        <f t="shared" ref="J196:J259" si="3">IF(E196&gt;=94,"Muy Popular",IF(E196&gt;=86,"Popular",IF(E196&gt;=78,"No muy popular","Casi nada popular")))</f>
        <v>No muy popular</v>
      </c>
      <c r="K196" s="42">
        <v>43809</v>
      </c>
    </row>
    <row r="197" spans="1:11">
      <c r="A197" s="39">
        <v>0.79100000000000004</v>
      </c>
      <c r="B197" s="37">
        <v>170</v>
      </c>
      <c r="C197" s="38">
        <v>0.89400000000000002</v>
      </c>
      <c r="D197" s="39">
        <v>0.58299999999999996</v>
      </c>
      <c r="E197" s="37">
        <v>84</v>
      </c>
      <c r="F197" s="37">
        <v>1</v>
      </c>
      <c r="G197" s="37">
        <v>2</v>
      </c>
      <c r="H197" s="40">
        <f ca="1">LEFT(Music_Data[[#This Row],[Duration_minutes]],3)/60</f>
        <v>5.25</v>
      </c>
      <c r="I197" s="39">
        <v>1.83E-2</v>
      </c>
      <c r="J197" s="41" t="str">
        <f t="shared" si="3"/>
        <v>No muy popular</v>
      </c>
      <c r="K197" s="43">
        <v>39350</v>
      </c>
    </row>
    <row r="198" spans="1:11">
      <c r="A198" s="34">
        <v>0.53200000000000003</v>
      </c>
      <c r="B198" s="32">
        <v>583</v>
      </c>
      <c r="C198" s="33">
        <v>0.54800000000000004</v>
      </c>
      <c r="D198" s="34">
        <v>0.40500000000000003</v>
      </c>
      <c r="E198" s="32">
        <v>84</v>
      </c>
      <c r="F198" s="32">
        <v>1</v>
      </c>
      <c r="G198" s="32">
        <v>5</v>
      </c>
      <c r="H198" s="35">
        <f ca="1">LEFT(Music_Data[[#This Row],[Duration_minutes]],3)/60</f>
        <v>2.7666666666666666</v>
      </c>
      <c r="I198" s="34">
        <v>0.186</v>
      </c>
      <c r="J198" s="36" t="str">
        <f t="shared" si="3"/>
        <v>No muy popular</v>
      </c>
      <c r="K198" s="42">
        <v>27760</v>
      </c>
    </row>
    <row r="199" spans="1:11">
      <c r="A199" s="39">
        <v>0.70499999999999996</v>
      </c>
      <c r="B199" s="37">
        <v>870</v>
      </c>
      <c r="C199" s="38">
        <v>0.81799999999999995</v>
      </c>
      <c r="D199" s="39">
        <v>0.77200000000000002</v>
      </c>
      <c r="E199" s="37">
        <v>84</v>
      </c>
      <c r="F199" s="37">
        <v>1</v>
      </c>
      <c r="G199" s="37">
        <v>6</v>
      </c>
      <c r="H199" s="40">
        <f ca="1">LEFT(Music_Data[[#This Row],[Duration_minutes]],3)/60</f>
        <v>3.5666666666666669</v>
      </c>
      <c r="I199" s="39">
        <v>8.3599999999999994E-3</v>
      </c>
      <c r="J199" s="41" t="str">
        <f t="shared" si="3"/>
        <v>No muy popular</v>
      </c>
      <c r="K199" s="43">
        <v>28814</v>
      </c>
    </row>
    <row r="200" spans="1:11">
      <c r="A200" s="34">
        <v>0.216</v>
      </c>
      <c r="B200" s="32">
        <v>121</v>
      </c>
      <c r="C200" s="33">
        <v>0.55500000000000005</v>
      </c>
      <c r="D200" s="34">
        <v>0.504</v>
      </c>
      <c r="E200" s="32">
        <v>84</v>
      </c>
      <c r="F200" s="32">
        <v>1</v>
      </c>
      <c r="G200" s="32">
        <v>3</v>
      </c>
      <c r="H200" s="35">
        <f ca="1">LEFT(Music_Data[[#This Row],[Duration_minutes]],3)/60</f>
        <v>2.8833333333333333</v>
      </c>
      <c r="I200" s="34">
        <v>0.55700000000000005</v>
      </c>
      <c r="J200" s="36" t="str">
        <f t="shared" si="3"/>
        <v>No muy popular</v>
      </c>
      <c r="K200" s="42">
        <v>29952</v>
      </c>
    </row>
    <row r="201" spans="1:11">
      <c r="A201" s="39">
        <v>0.55100000000000005</v>
      </c>
      <c r="B201" s="37">
        <v>187</v>
      </c>
      <c r="C201" s="38">
        <v>0.52700000000000002</v>
      </c>
      <c r="D201" s="39">
        <v>0.443</v>
      </c>
      <c r="E201" s="37">
        <v>84</v>
      </c>
      <c r="F201" s="37">
        <v>1</v>
      </c>
      <c r="G201" s="37">
        <v>7</v>
      </c>
      <c r="H201" s="40">
        <f ca="1">LEFT(Music_Data[[#This Row],[Duration_minutes]],3)/60</f>
        <v>2.5333333333333332</v>
      </c>
      <c r="I201" s="39">
        <v>0.38400000000000001</v>
      </c>
      <c r="J201" s="41" t="str">
        <f t="shared" si="3"/>
        <v>No muy popular</v>
      </c>
      <c r="K201" s="43">
        <v>28491</v>
      </c>
    </row>
    <row r="202" spans="1:11">
      <c r="A202" s="34">
        <v>0.51800000000000002</v>
      </c>
      <c r="B202" s="32">
        <v>103</v>
      </c>
      <c r="C202" s="33">
        <v>0.875</v>
      </c>
      <c r="D202" s="34">
        <v>0.37</v>
      </c>
      <c r="E202" s="32">
        <v>84</v>
      </c>
      <c r="F202" s="32">
        <v>1</v>
      </c>
      <c r="G202" s="32">
        <v>2</v>
      </c>
      <c r="H202" s="35">
        <f ca="1">LEFT(Music_Data[[#This Row],[Duration_minutes]],3)/60</f>
        <v>4.1166666666666663</v>
      </c>
      <c r="I202" s="34">
        <v>6.3799999999999996E-2</v>
      </c>
      <c r="J202" s="36" t="str">
        <f t="shared" si="3"/>
        <v>No muy popular</v>
      </c>
      <c r="K202" s="42">
        <v>42832</v>
      </c>
    </row>
    <row r="203" spans="1:11">
      <c r="A203" s="39">
        <v>0.51800000000000002</v>
      </c>
      <c r="B203" s="37">
        <v>126</v>
      </c>
      <c r="C203" s="38">
        <v>0.875</v>
      </c>
      <c r="D203" s="39">
        <v>0.37</v>
      </c>
      <c r="E203" s="37">
        <v>84</v>
      </c>
      <c r="F203" s="37">
        <v>1</v>
      </c>
      <c r="G203" s="37">
        <v>2</v>
      </c>
      <c r="H203" s="40">
        <f ca="1">LEFT(Music_Data[[#This Row],[Duration_minutes]],3)/60</f>
        <v>3.55</v>
      </c>
      <c r="I203" s="39">
        <v>6.3799999999999996E-2</v>
      </c>
      <c r="J203" s="41" t="str">
        <f t="shared" si="3"/>
        <v>No muy popular</v>
      </c>
      <c r="K203" s="43">
        <v>45240</v>
      </c>
    </row>
    <row r="204" spans="1:11">
      <c r="A204" s="34">
        <v>0.71199999999999997</v>
      </c>
      <c r="B204" s="32">
        <v>126</v>
      </c>
      <c r="C204" s="33">
        <v>0.84799999999999998</v>
      </c>
      <c r="D204" s="34">
        <v>0.69199999999999995</v>
      </c>
      <c r="E204" s="32">
        <v>84</v>
      </c>
      <c r="F204" s="32">
        <v>0</v>
      </c>
      <c r="G204" s="32">
        <v>1</v>
      </c>
      <c r="H204" s="35">
        <f ca="1">LEFT(Music_Data[[#This Row],[Duration_minutes]],3)/60</f>
        <v>3.55</v>
      </c>
      <c r="I204" s="34">
        <v>0.221</v>
      </c>
      <c r="J204" s="36" t="str">
        <f t="shared" si="3"/>
        <v>No muy popular</v>
      </c>
      <c r="K204" s="42">
        <v>45240</v>
      </c>
    </row>
    <row r="205" spans="1:11">
      <c r="A205" s="39">
        <v>0.77800000000000002</v>
      </c>
      <c r="B205" s="37">
        <v>129</v>
      </c>
      <c r="C205" s="38">
        <v>0.91100000000000003</v>
      </c>
      <c r="D205" s="39">
        <v>0.34499999999999997</v>
      </c>
      <c r="E205" s="37">
        <v>84</v>
      </c>
      <c r="F205" s="37">
        <v>1</v>
      </c>
      <c r="G205" s="37">
        <v>5</v>
      </c>
      <c r="H205" s="40">
        <f ca="1">LEFT(Music_Data[[#This Row],[Duration_minutes]],3)/60</f>
        <v>4.2</v>
      </c>
      <c r="I205" s="39">
        <v>8.8700000000000001E-2</v>
      </c>
      <c r="J205" s="41" t="str">
        <f t="shared" si="3"/>
        <v>No muy popular</v>
      </c>
      <c r="K205" s="43">
        <v>40711</v>
      </c>
    </row>
    <row r="206" spans="1:11">
      <c r="A206" s="34">
        <v>0.65200000000000002</v>
      </c>
      <c r="B206" s="32">
        <v>950</v>
      </c>
      <c r="C206" s="33">
        <v>0.47</v>
      </c>
      <c r="D206" s="34">
        <v>0.104</v>
      </c>
      <c r="E206" s="32">
        <v>84</v>
      </c>
      <c r="F206" s="32">
        <v>1</v>
      </c>
      <c r="G206" s="32">
        <v>2</v>
      </c>
      <c r="H206" s="35">
        <f ca="1">LEFT(Music_Data[[#This Row],[Duration_minutes]],3)/60</f>
        <v>4.0666666666666664</v>
      </c>
      <c r="I206" s="34">
        <v>8.3099999999999993E-2</v>
      </c>
      <c r="J206" s="36" t="str">
        <f t="shared" si="3"/>
        <v>No muy popular</v>
      </c>
      <c r="K206" s="42">
        <v>42580</v>
      </c>
    </row>
    <row r="207" spans="1:11">
      <c r="A207" s="39">
        <v>0.57399999999999995</v>
      </c>
      <c r="B207" s="37">
        <v>199</v>
      </c>
      <c r="C207" s="38">
        <v>0.66900000000000004</v>
      </c>
      <c r="D207" s="39">
        <v>0.27300000000000002</v>
      </c>
      <c r="E207" s="37">
        <v>84</v>
      </c>
      <c r="F207" s="37">
        <v>0</v>
      </c>
      <c r="G207" s="37">
        <v>4</v>
      </c>
      <c r="H207" s="40">
        <f ca="1">LEFT(Music_Data[[#This Row],[Duration_minutes]],3)/60</f>
        <v>3.4166666666666665</v>
      </c>
      <c r="I207" s="39">
        <v>1.7500000000000002E-2</v>
      </c>
      <c r="J207" s="41" t="str">
        <f t="shared" si="3"/>
        <v>No muy popular</v>
      </c>
      <c r="K207" s="43">
        <v>42587</v>
      </c>
    </row>
    <row r="208" spans="1:11">
      <c r="A208" s="34">
        <v>0.251</v>
      </c>
      <c r="B208" s="32">
        <v>119</v>
      </c>
      <c r="C208" s="33">
        <v>0.746</v>
      </c>
      <c r="D208" s="34">
        <v>0.18</v>
      </c>
      <c r="E208" s="32">
        <v>84</v>
      </c>
      <c r="F208" s="32">
        <v>0</v>
      </c>
      <c r="G208" s="32">
        <v>11</v>
      </c>
      <c r="H208" s="35">
        <f ca="1">LEFT(Music_Data[[#This Row],[Duration_minutes]],3)/60</f>
        <v>3.5666666666666669</v>
      </c>
      <c r="I208" s="34">
        <v>0.78200000000000003</v>
      </c>
      <c r="J208" s="36" t="str">
        <f t="shared" si="3"/>
        <v>No muy popular</v>
      </c>
      <c r="K208" s="42">
        <v>45492</v>
      </c>
    </row>
    <row r="209" spans="1:11">
      <c r="A209" s="39">
        <v>0.53300000000000003</v>
      </c>
      <c r="B209" s="37">
        <v>119</v>
      </c>
      <c r="C209" s="38">
        <v>0.79700000000000004</v>
      </c>
      <c r="D209" s="39">
        <v>0.32900000000000001</v>
      </c>
      <c r="E209" s="37">
        <v>84</v>
      </c>
      <c r="F209" s="37">
        <v>0</v>
      </c>
      <c r="G209" s="37">
        <v>0</v>
      </c>
      <c r="H209" s="40">
        <f ca="1">LEFT(Music_Data[[#This Row],[Duration_minutes]],3)/60</f>
        <v>3.5666666666666669</v>
      </c>
      <c r="I209" s="39">
        <v>1.72E-2</v>
      </c>
      <c r="J209" s="41" t="str">
        <f t="shared" si="3"/>
        <v>No muy popular</v>
      </c>
      <c r="K209" s="43">
        <v>45492</v>
      </c>
    </row>
    <row r="210" spans="1:11">
      <c r="A210" s="34">
        <v>0.89</v>
      </c>
      <c r="B210" s="32">
        <v>126</v>
      </c>
      <c r="C210" s="33">
        <v>0.502</v>
      </c>
      <c r="D210" s="34">
        <v>0.25900000000000001</v>
      </c>
      <c r="E210" s="32">
        <v>83</v>
      </c>
      <c r="F210" s="32">
        <v>1</v>
      </c>
      <c r="G210" s="32">
        <v>4</v>
      </c>
      <c r="H210" s="35">
        <f ca="1">LEFT(Music_Data[[#This Row],[Duration_minutes]],3)/60</f>
        <v>2.4166666666666665</v>
      </c>
      <c r="I210" s="34">
        <v>1.47E-4</v>
      </c>
      <c r="J210" s="36" t="str">
        <f t="shared" si="3"/>
        <v>No muy popular</v>
      </c>
      <c r="K210" s="42">
        <v>45492</v>
      </c>
    </row>
    <row r="211" spans="1:11">
      <c r="A211" s="39">
        <v>0.7</v>
      </c>
      <c r="B211" s="37">
        <v>126</v>
      </c>
      <c r="C211" s="38">
        <v>0.31</v>
      </c>
      <c r="D211" s="39">
        <v>0.76300000000000001</v>
      </c>
      <c r="E211" s="37">
        <v>83</v>
      </c>
      <c r="F211" s="37">
        <v>1</v>
      </c>
      <c r="G211" s="37">
        <v>9</v>
      </c>
      <c r="H211" s="40">
        <f ca="1">LEFT(Music_Data[[#This Row],[Duration_minutes]],3)/60</f>
        <v>2.4166666666666665</v>
      </c>
      <c r="I211" s="39">
        <v>1.0999999999999999E-2</v>
      </c>
      <c r="J211" s="41" t="str">
        <f t="shared" si="3"/>
        <v>No muy popular</v>
      </c>
      <c r="K211" s="43">
        <v>45492</v>
      </c>
    </row>
    <row r="212" spans="1:11">
      <c r="A212" s="34">
        <v>0.373</v>
      </c>
      <c r="B212" s="32">
        <v>125</v>
      </c>
      <c r="C212" s="33">
        <v>0.67100000000000004</v>
      </c>
      <c r="D212" s="34">
        <v>0.73199999999999998</v>
      </c>
      <c r="E212" s="32">
        <v>83</v>
      </c>
      <c r="F212" s="32">
        <v>1</v>
      </c>
      <c r="G212" s="32">
        <v>9</v>
      </c>
      <c r="H212" s="35">
        <f ca="1">LEFT(Music_Data[[#This Row],[Duration_minutes]],3)/60</f>
        <v>2.9333333333333331</v>
      </c>
      <c r="I212" s="34">
        <v>0.25700000000000001</v>
      </c>
      <c r="J212" s="36" t="str">
        <f t="shared" si="3"/>
        <v>No muy popular</v>
      </c>
      <c r="K212" s="42">
        <v>41640</v>
      </c>
    </row>
    <row r="213" spans="1:11">
      <c r="A213" s="39">
        <v>0.67600000000000005</v>
      </c>
      <c r="B213" s="37">
        <v>128</v>
      </c>
      <c r="C213" s="38">
        <v>0.81399999999999995</v>
      </c>
      <c r="D213" s="39">
        <v>0.312</v>
      </c>
      <c r="E213" s="37">
        <v>83</v>
      </c>
      <c r="F213" s="37">
        <v>0</v>
      </c>
      <c r="G213" s="37">
        <v>11</v>
      </c>
      <c r="H213" s="40">
        <f ca="1">LEFT(Music_Data[[#This Row],[Duration_minutes]],3)/60</f>
        <v>3.7833333333333332</v>
      </c>
      <c r="I213" s="39">
        <v>7.0899999999999999E-3</v>
      </c>
      <c r="J213" s="41" t="str">
        <f t="shared" si="3"/>
        <v>No muy popular</v>
      </c>
      <c r="K213" s="43">
        <v>41943</v>
      </c>
    </row>
    <row r="214" spans="1:11">
      <c r="A214" s="34">
        <v>0.71499999999999997</v>
      </c>
      <c r="B214" s="32">
        <v>129</v>
      </c>
      <c r="C214" s="33">
        <v>0.47499999999999998</v>
      </c>
      <c r="D214" s="34">
        <v>0.159</v>
      </c>
      <c r="E214" s="32">
        <v>83</v>
      </c>
      <c r="F214" s="32">
        <v>1</v>
      </c>
      <c r="G214" s="32">
        <v>8</v>
      </c>
      <c r="H214" s="35">
        <f ca="1">LEFT(Music_Data[[#This Row],[Duration_minutes]],3)/60</f>
        <v>3.4</v>
      </c>
      <c r="I214" s="34">
        <v>8.6300000000000002E-2</v>
      </c>
      <c r="J214" s="36" t="str">
        <f t="shared" si="3"/>
        <v>No muy popular</v>
      </c>
      <c r="K214" s="42">
        <v>2012</v>
      </c>
    </row>
    <row r="215" spans="1:11">
      <c r="A215" s="39">
        <v>0.78700000000000003</v>
      </c>
      <c r="B215" s="37">
        <v>127</v>
      </c>
      <c r="C215" s="38">
        <v>0.70399999999999996</v>
      </c>
      <c r="D215" s="39">
        <v>0.31</v>
      </c>
      <c r="E215" s="37">
        <v>83</v>
      </c>
      <c r="F215" s="37">
        <v>0</v>
      </c>
      <c r="G215" s="37">
        <v>11</v>
      </c>
      <c r="H215" s="40">
        <f ca="1">LEFT(Music_Data[[#This Row],[Duration_minutes]],3)/60</f>
        <v>3.7</v>
      </c>
      <c r="I215" s="39">
        <v>9.2599999999999991E-3</v>
      </c>
      <c r="J215" s="41" t="str">
        <f t="shared" si="3"/>
        <v>No muy popular</v>
      </c>
      <c r="K215" s="43">
        <v>41943</v>
      </c>
    </row>
    <row r="216" spans="1:11">
      <c r="A216" s="34">
        <v>0.61799999999999999</v>
      </c>
      <c r="B216" s="32">
        <v>127</v>
      </c>
      <c r="C216" s="33">
        <v>0.85299999999999998</v>
      </c>
      <c r="D216" s="34">
        <v>0.32</v>
      </c>
      <c r="E216" s="32">
        <v>83</v>
      </c>
      <c r="F216" s="32">
        <v>1</v>
      </c>
      <c r="G216" s="32">
        <v>6</v>
      </c>
      <c r="H216" s="35">
        <f ca="1">LEFT(Music_Data[[#This Row],[Duration_minutes]],3)/60</f>
        <v>3.7</v>
      </c>
      <c r="I216" s="34">
        <v>0.63300000000000001</v>
      </c>
      <c r="J216" s="36" t="str">
        <f t="shared" si="3"/>
        <v>No muy popular</v>
      </c>
      <c r="K216" s="42">
        <v>41943</v>
      </c>
    </row>
    <row r="217" spans="1:11">
      <c r="A217" s="39">
        <v>0.751</v>
      </c>
      <c r="B217" s="37">
        <v>179</v>
      </c>
      <c r="C217" s="38">
        <v>0.70099999999999996</v>
      </c>
      <c r="D217" s="39">
        <v>0.22</v>
      </c>
      <c r="E217" s="37">
        <v>83</v>
      </c>
      <c r="F217" s="37">
        <v>1</v>
      </c>
      <c r="G217" s="37">
        <v>0</v>
      </c>
      <c r="H217" s="40">
        <f ca="1">LEFT(Music_Data[[#This Row],[Duration_minutes]],3)/60</f>
        <v>3.5333333333333332</v>
      </c>
      <c r="I217" s="39">
        <v>0.123</v>
      </c>
      <c r="J217" s="41" t="str">
        <f t="shared" si="3"/>
        <v>No muy popular</v>
      </c>
      <c r="K217" s="43">
        <v>43448</v>
      </c>
    </row>
    <row r="218" spans="1:11">
      <c r="A218" s="34">
        <v>0.95699999999999996</v>
      </c>
      <c r="B218" s="32">
        <v>126</v>
      </c>
      <c r="C218" s="33">
        <v>0.80400000000000005</v>
      </c>
      <c r="D218" s="34">
        <v>0.96199999999999997</v>
      </c>
      <c r="E218" s="32">
        <v>83</v>
      </c>
      <c r="F218" s="32">
        <v>1</v>
      </c>
      <c r="G218" s="32">
        <v>0</v>
      </c>
      <c r="H218" s="35">
        <f ca="1">LEFT(Music_Data[[#This Row],[Duration_minutes]],3)/60</f>
        <v>4.083333333333333</v>
      </c>
      <c r="I218" s="34">
        <v>0.125</v>
      </c>
      <c r="J218" s="36" t="str">
        <f t="shared" si="3"/>
        <v>No muy popular</v>
      </c>
      <c r="K218" s="42">
        <v>41250</v>
      </c>
    </row>
    <row r="219" spans="1:11">
      <c r="A219" s="39">
        <v>0.67600000000000005</v>
      </c>
      <c r="B219" s="37">
        <v>125</v>
      </c>
      <c r="C219" s="38">
        <v>0.81399999999999995</v>
      </c>
      <c r="D219" s="39">
        <v>0.312</v>
      </c>
      <c r="E219" s="37">
        <v>83</v>
      </c>
      <c r="F219" s="37">
        <v>0</v>
      </c>
      <c r="G219" s="37">
        <v>11</v>
      </c>
      <c r="H219" s="40">
        <f ca="1">LEFT(Music_Data[[#This Row],[Duration_minutes]],3)/60</f>
        <v>3.0666666666666669</v>
      </c>
      <c r="I219" s="39">
        <v>7.0899999999999999E-3</v>
      </c>
      <c r="J219" s="41" t="str">
        <f t="shared" si="3"/>
        <v>No muy popular</v>
      </c>
      <c r="K219" s="43">
        <v>43259</v>
      </c>
    </row>
    <row r="220" spans="1:11">
      <c r="A220" s="34">
        <v>0.93400000000000005</v>
      </c>
      <c r="B220" s="32">
        <v>126</v>
      </c>
      <c r="C220" s="33">
        <v>0.41699999999999998</v>
      </c>
      <c r="D220" s="34">
        <v>0.28699999999999998</v>
      </c>
      <c r="E220" s="32">
        <v>83</v>
      </c>
      <c r="F220" s="32">
        <v>0</v>
      </c>
      <c r="G220" s="32">
        <v>7</v>
      </c>
      <c r="H220" s="35">
        <f ca="1">LEFT(Music_Data[[#This Row],[Duration_minutes]],3)/60</f>
        <v>1.7</v>
      </c>
      <c r="I220" s="34">
        <v>2.7799999999999998E-4</v>
      </c>
      <c r="J220" s="36" t="str">
        <f t="shared" si="3"/>
        <v>No muy popular</v>
      </c>
      <c r="K220" s="42">
        <v>44491</v>
      </c>
    </row>
    <row r="221" spans="1:11">
      <c r="A221" s="39">
        <v>0.373</v>
      </c>
      <c r="B221" s="37">
        <v>118</v>
      </c>
      <c r="C221" s="38">
        <v>0.67100000000000004</v>
      </c>
      <c r="D221" s="39">
        <v>0.73199999999999998</v>
      </c>
      <c r="E221" s="37">
        <v>83</v>
      </c>
      <c r="F221" s="37">
        <v>1</v>
      </c>
      <c r="G221" s="37">
        <v>9</v>
      </c>
      <c r="H221" s="40">
        <f ca="1">LEFT(Music_Data[[#This Row],[Duration_minutes]],3)/60</f>
        <v>3</v>
      </c>
      <c r="I221" s="39">
        <v>0.25700000000000001</v>
      </c>
      <c r="J221" s="41" t="str">
        <f t="shared" si="3"/>
        <v>No muy popular</v>
      </c>
      <c r="K221" s="43">
        <v>42293</v>
      </c>
    </row>
    <row r="222" spans="1:11">
      <c r="A222" s="34">
        <v>0.7</v>
      </c>
      <c r="B222" s="32">
        <v>117</v>
      </c>
      <c r="C222" s="33">
        <v>0.31</v>
      </c>
      <c r="D222" s="34">
        <v>0.76300000000000001</v>
      </c>
      <c r="E222" s="32">
        <v>83</v>
      </c>
      <c r="F222" s="32">
        <v>1</v>
      </c>
      <c r="G222" s="32">
        <v>9</v>
      </c>
      <c r="H222" s="35">
        <f ca="1">LEFT(Music_Data[[#This Row],[Duration_minutes]],3)/60</f>
        <v>2.6166666666666667</v>
      </c>
      <c r="I222" s="34">
        <v>1.0999999999999999E-2</v>
      </c>
      <c r="J222" s="36" t="str">
        <f t="shared" si="3"/>
        <v>No muy popular</v>
      </c>
      <c r="K222" s="42">
        <v>43672</v>
      </c>
    </row>
    <row r="223" spans="1:11">
      <c r="A223" s="39">
        <v>0.628</v>
      </c>
      <c r="B223" s="37">
        <v>159</v>
      </c>
      <c r="C223" s="38">
        <v>0.66800000000000004</v>
      </c>
      <c r="D223" s="39">
        <v>0.56799999999999995</v>
      </c>
      <c r="E223" s="37">
        <v>83</v>
      </c>
      <c r="F223" s="37">
        <v>1</v>
      </c>
      <c r="G223" s="37">
        <v>8</v>
      </c>
      <c r="H223" s="40">
        <f ca="1">LEFT(Music_Data[[#This Row],[Duration_minutes]],3)/60</f>
        <v>3.4666666666666668</v>
      </c>
      <c r="I223" s="39">
        <v>0.129</v>
      </c>
      <c r="J223" s="41" t="str">
        <f t="shared" si="3"/>
        <v>No muy popular</v>
      </c>
      <c r="K223" s="43">
        <v>42405</v>
      </c>
    </row>
    <row r="224" spans="1:11">
      <c r="A224" s="34">
        <v>0.47</v>
      </c>
      <c r="B224" s="32">
        <v>128</v>
      </c>
      <c r="C224" s="33">
        <v>0.59799999999999998</v>
      </c>
      <c r="D224" s="34">
        <v>0.879</v>
      </c>
      <c r="E224" s="32">
        <v>83</v>
      </c>
      <c r="F224" s="32">
        <v>1</v>
      </c>
      <c r="G224" s="32">
        <v>8</v>
      </c>
      <c r="H224" s="35">
        <f ca="1">LEFT(Music_Data[[#This Row],[Duration_minutes]],3)/60</f>
        <v>3.5333333333333332</v>
      </c>
      <c r="I224" s="34">
        <v>0.61699999999999999</v>
      </c>
      <c r="J224" s="36" t="str">
        <f t="shared" si="3"/>
        <v>No muy popular</v>
      </c>
      <c r="K224" s="42">
        <v>41943</v>
      </c>
    </row>
    <row r="225" spans="1:11">
      <c r="A225" s="39">
        <v>0.52900000000000003</v>
      </c>
      <c r="B225" s="37">
        <v>122</v>
      </c>
      <c r="C225" s="38">
        <v>0.67100000000000004</v>
      </c>
      <c r="D225" s="39">
        <v>0.20300000000000001</v>
      </c>
      <c r="E225" s="37">
        <v>83</v>
      </c>
      <c r="F225" s="37">
        <v>1</v>
      </c>
      <c r="G225" s="37">
        <v>0</v>
      </c>
      <c r="H225" s="40">
        <f ca="1">LEFT(Music_Data[[#This Row],[Duration_minutes]],3)/60</f>
        <v>3.4666666666666668</v>
      </c>
      <c r="I225" s="39">
        <v>7.6899999999999996E-2</v>
      </c>
      <c r="J225" s="41" t="str">
        <f t="shared" si="3"/>
        <v>No muy popular</v>
      </c>
      <c r="K225" s="43">
        <v>45282</v>
      </c>
    </row>
    <row r="226" spans="1:11">
      <c r="A226" s="34">
        <v>0.26400000000000001</v>
      </c>
      <c r="B226" s="32">
        <v>101</v>
      </c>
      <c r="C226" s="33">
        <v>0.42199999999999999</v>
      </c>
      <c r="D226" s="34">
        <v>0.33100000000000002</v>
      </c>
      <c r="E226" s="32">
        <v>83</v>
      </c>
      <c r="F226" s="32">
        <v>1</v>
      </c>
      <c r="G226" s="32">
        <v>8</v>
      </c>
      <c r="H226" s="35">
        <f ca="1">LEFT(Music_Data[[#This Row],[Duration_minutes]],3)/60</f>
        <v>3.2833333333333332</v>
      </c>
      <c r="I226" s="34">
        <v>0.92200000000000004</v>
      </c>
      <c r="J226" s="36" t="str">
        <f t="shared" si="3"/>
        <v>No muy popular</v>
      </c>
      <c r="K226" s="42">
        <v>42496</v>
      </c>
    </row>
    <row r="227" spans="1:11">
      <c r="A227" s="39">
        <v>0.54700000000000004</v>
      </c>
      <c r="B227" s="37">
        <v>127</v>
      </c>
      <c r="C227" s="38">
        <v>0.77800000000000002</v>
      </c>
      <c r="D227" s="39">
        <v>0.442</v>
      </c>
      <c r="E227" s="37">
        <v>83</v>
      </c>
      <c r="F227" s="37">
        <v>1</v>
      </c>
      <c r="G227" s="37">
        <v>2</v>
      </c>
      <c r="H227" s="40">
        <f ca="1">LEFT(Music_Data[[#This Row],[Duration_minutes]],3)/60</f>
        <v>3.3</v>
      </c>
      <c r="I227" s="39">
        <v>0.34399999999999997</v>
      </c>
      <c r="J227" s="41" t="str">
        <f t="shared" si="3"/>
        <v>No muy popular</v>
      </c>
      <c r="K227" s="43">
        <v>45526</v>
      </c>
    </row>
    <row r="228" spans="1:11">
      <c r="A228" s="34">
        <v>0.76300000000000001</v>
      </c>
      <c r="B228" s="32">
        <v>127</v>
      </c>
      <c r="C228" s="33">
        <v>0.69499999999999995</v>
      </c>
      <c r="D228" s="34">
        <v>0.55100000000000005</v>
      </c>
      <c r="E228" s="32">
        <v>83</v>
      </c>
      <c r="F228" s="32">
        <v>1</v>
      </c>
      <c r="G228" s="32">
        <v>0</v>
      </c>
      <c r="H228" s="35">
        <f ca="1">LEFT(Music_Data[[#This Row],[Duration_minutes]],3)/60</f>
        <v>3.8333333333333335</v>
      </c>
      <c r="I228" s="34">
        <v>0.189</v>
      </c>
      <c r="J228" s="36" t="str">
        <f t="shared" si="3"/>
        <v>No muy popular</v>
      </c>
      <c r="K228" s="42">
        <v>42279</v>
      </c>
    </row>
    <row r="229" spans="1:11">
      <c r="A229" s="39">
        <v>0.42499999999999999</v>
      </c>
      <c r="B229" s="37">
        <v>130</v>
      </c>
      <c r="C229" s="38">
        <v>0.35699999999999998</v>
      </c>
      <c r="D229" s="39">
        <v>0.27</v>
      </c>
      <c r="E229" s="37">
        <v>83</v>
      </c>
      <c r="F229" s="37">
        <v>1</v>
      </c>
      <c r="G229" s="37">
        <v>5</v>
      </c>
      <c r="H229" s="40">
        <f ca="1">LEFT(Music_Data[[#This Row],[Duration_minutes]],3)/60</f>
        <v>4.7333333333333334</v>
      </c>
      <c r="I229" s="39">
        <v>0.58399999999999996</v>
      </c>
      <c r="J229" s="41" t="str">
        <f t="shared" si="3"/>
        <v>No muy popular</v>
      </c>
      <c r="K229" s="43">
        <v>40662</v>
      </c>
    </row>
    <row r="230" spans="1:11">
      <c r="A230" s="34">
        <v>0.74099999999999999</v>
      </c>
      <c r="B230" s="32">
        <v>123</v>
      </c>
      <c r="C230" s="33">
        <v>0.60099999999999998</v>
      </c>
      <c r="D230" s="34">
        <v>0.441</v>
      </c>
      <c r="E230" s="32">
        <v>83</v>
      </c>
      <c r="F230" s="32">
        <v>1</v>
      </c>
      <c r="G230" s="32">
        <v>2</v>
      </c>
      <c r="H230" s="35">
        <f ca="1">LEFT(Music_Data[[#This Row],[Duration_minutes]],3)/60</f>
        <v>3.65</v>
      </c>
      <c r="I230" s="34">
        <v>0.185</v>
      </c>
      <c r="J230" s="36" t="str">
        <f t="shared" si="3"/>
        <v>No muy popular</v>
      </c>
      <c r="K230" s="42">
        <v>42272</v>
      </c>
    </row>
    <row r="231" spans="1:11">
      <c r="A231" s="39">
        <v>0.71299999999999997</v>
      </c>
      <c r="B231" s="37">
        <v>123</v>
      </c>
      <c r="C231" s="38">
        <v>0.74199999999999999</v>
      </c>
      <c r="D231" s="39">
        <v>0.879</v>
      </c>
      <c r="E231" s="37">
        <v>83</v>
      </c>
      <c r="F231" s="37">
        <v>0</v>
      </c>
      <c r="G231" s="37">
        <v>1</v>
      </c>
      <c r="H231" s="40">
        <f ca="1">LEFT(Music_Data[[#This Row],[Duration_minutes]],3)/60</f>
        <v>3.3833333333333333</v>
      </c>
      <c r="I231" s="39">
        <v>2.0500000000000001E-2</v>
      </c>
      <c r="J231" s="41" t="str">
        <f t="shared" si="3"/>
        <v>No muy popular</v>
      </c>
      <c r="K231" s="43">
        <v>42944</v>
      </c>
    </row>
    <row r="232" spans="1:11">
      <c r="A232" s="34">
        <v>0.86599999999999999</v>
      </c>
      <c r="B232" s="32">
        <v>123</v>
      </c>
      <c r="C232" s="33">
        <v>0.57799999999999996</v>
      </c>
      <c r="D232" s="34">
        <v>0.61899999999999999</v>
      </c>
      <c r="E232" s="32">
        <v>83</v>
      </c>
      <c r="F232" s="32">
        <v>1</v>
      </c>
      <c r="G232" s="32">
        <v>1</v>
      </c>
      <c r="H232" s="35">
        <f ca="1">LEFT(Music_Data[[#This Row],[Duration_minutes]],3)/60</f>
        <v>3.7</v>
      </c>
      <c r="I232" s="34">
        <v>7.0099999999999997E-3</v>
      </c>
      <c r="J232" s="36" t="str">
        <f t="shared" si="3"/>
        <v>No muy popular</v>
      </c>
      <c r="K232" s="42">
        <v>42489</v>
      </c>
    </row>
    <row r="233" spans="1:11">
      <c r="A233" s="39">
        <v>0.88700000000000001</v>
      </c>
      <c r="B233" s="37">
        <v>116</v>
      </c>
      <c r="C233" s="38">
        <v>0.53200000000000003</v>
      </c>
      <c r="D233" s="39">
        <v>0.79400000000000004</v>
      </c>
      <c r="E233" s="37">
        <v>83</v>
      </c>
      <c r="F233" s="37">
        <v>1</v>
      </c>
      <c r="G233" s="37">
        <v>0</v>
      </c>
      <c r="H233" s="40">
        <f ca="1">LEFT(Music_Data[[#This Row],[Duration_minutes]],3)/60</f>
        <v>4.1333333333333337</v>
      </c>
      <c r="I233" s="39">
        <v>7.7799999999999994E-2</v>
      </c>
      <c r="J233" s="41" t="str">
        <f t="shared" si="3"/>
        <v>No muy popular</v>
      </c>
      <c r="K233" s="43">
        <v>41383</v>
      </c>
    </row>
    <row r="234" spans="1:11">
      <c r="A234" s="34">
        <v>0.78300000000000003</v>
      </c>
      <c r="B234" s="32">
        <v>125</v>
      </c>
      <c r="C234" s="33">
        <v>0.53200000000000003</v>
      </c>
      <c r="D234" s="34">
        <v>0.64300000000000002</v>
      </c>
      <c r="E234" s="32">
        <v>83</v>
      </c>
      <c r="F234" s="32">
        <v>1</v>
      </c>
      <c r="G234" s="32">
        <v>2</v>
      </c>
      <c r="H234" s="35">
        <f ca="1">LEFT(Music_Data[[#This Row],[Duration_minutes]],3)/60</f>
        <v>2.7333333333333334</v>
      </c>
      <c r="I234" s="34">
        <v>3.8E-3</v>
      </c>
      <c r="J234" s="36" t="str">
        <f t="shared" si="3"/>
        <v>No muy popular</v>
      </c>
      <c r="K234" s="42">
        <v>45541</v>
      </c>
    </row>
    <row r="235" spans="1:11">
      <c r="A235" s="39">
        <v>0.83799999999999997</v>
      </c>
      <c r="B235" s="37">
        <v>129</v>
      </c>
      <c r="C235" s="38">
        <v>0.77400000000000002</v>
      </c>
      <c r="D235" s="39">
        <v>0.92400000000000004</v>
      </c>
      <c r="E235" s="37">
        <v>83</v>
      </c>
      <c r="F235" s="37">
        <v>0</v>
      </c>
      <c r="G235" s="37">
        <v>5</v>
      </c>
      <c r="H235" s="40">
        <f ca="1">LEFT(Music_Data[[#This Row],[Duration_minutes]],3)/60</f>
        <v>2.6</v>
      </c>
      <c r="I235" s="39">
        <v>2.4899999999999999E-2</v>
      </c>
      <c r="J235" s="41" t="str">
        <f t="shared" si="3"/>
        <v>No muy popular</v>
      </c>
      <c r="K235" s="43">
        <v>45583</v>
      </c>
    </row>
    <row r="236" spans="1:11">
      <c r="A236" s="34">
        <v>0.71099999999999997</v>
      </c>
      <c r="B236" s="32">
        <v>127</v>
      </c>
      <c r="C236" s="33">
        <v>0.69199999999999995</v>
      </c>
      <c r="D236" s="34">
        <v>0.875</v>
      </c>
      <c r="E236" s="32">
        <v>83</v>
      </c>
      <c r="F236" s="32">
        <v>0</v>
      </c>
      <c r="G236" s="32">
        <v>0</v>
      </c>
      <c r="H236" s="35">
        <f ca="1">LEFT(Music_Data[[#This Row],[Duration_minutes]],3)/60</f>
        <v>3.8666666666666667</v>
      </c>
      <c r="I236" s="34">
        <v>0.22500000000000001</v>
      </c>
      <c r="J236" s="36" t="str">
        <f t="shared" si="3"/>
        <v>No muy popular</v>
      </c>
      <c r="K236" s="42">
        <v>41082</v>
      </c>
    </row>
    <row r="237" spans="1:11">
      <c r="A237" s="39">
        <v>0.83699999999999997</v>
      </c>
      <c r="B237" s="37">
        <v>121</v>
      </c>
      <c r="C237" s="38">
        <v>0.755</v>
      </c>
      <c r="D237" s="39">
        <v>0.71399999999999997</v>
      </c>
      <c r="E237" s="37">
        <v>83</v>
      </c>
      <c r="F237" s="37">
        <v>0</v>
      </c>
      <c r="G237" s="37">
        <v>2</v>
      </c>
      <c r="H237" s="40">
        <f ca="1">LEFT(Music_Data[[#This Row],[Duration_minutes]],3)/60</f>
        <v>2.5166666666666666</v>
      </c>
      <c r="I237" s="39">
        <v>9.9099999999999994E-2</v>
      </c>
      <c r="J237" s="41" t="str">
        <f t="shared" si="3"/>
        <v>No muy popular</v>
      </c>
      <c r="K237" s="43">
        <v>44610</v>
      </c>
    </row>
    <row r="238" spans="1:11">
      <c r="A238" s="34">
        <v>0.76</v>
      </c>
      <c r="B238" s="32">
        <v>114</v>
      </c>
      <c r="C238" s="33">
        <v>0.65500000000000003</v>
      </c>
      <c r="D238" s="34">
        <v>0.40899999999999997</v>
      </c>
      <c r="E238" s="32">
        <v>83</v>
      </c>
      <c r="F238" s="32">
        <v>0</v>
      </c>
      <c r="G238" s="32">
        <v>0</v>
      </c>
      <c r="H238" s="35">
        <f ca="1">LEFT(Music_Data[[#This Row],[Duration_minutes]],3)/60</f>
        <v>3.55</v>
      </c>
      <c r="I238" s="34">
        <v>7.9699999999999993E-2</v>
      </c>
      <c r="J238" s="36" t="str">
        <f t="shared" si="3"/>
        <v>No muy popular</v>
      </c>
      <c r="K238" s="42">
        <v>41640</v>
      </c>
    </row>
    <row r="239" spans="1:11">
      <c r="A239" s="39">
        <v>0.93400000000000005</v>
      </c>
      <c r="B239" s="37">
        <v>133</v>
      </c>
      <c r="C239" s="38">
        <v>0.41699999999999998</v>
      </c>
      <c r="D239" s="39">
        <v>0.28699999999999998</v>
      </c>
      <c r="E239" s="37">
        <v>83</v>
      </c>
      <c r="F239" s="37">
        <v>0</v>
      </c>
      <c r="G239" s="37">
        <v>7</v>
      </c>
      <c r="H239" s="40">
        <f ca="1">LEFT(Music_Data[[#This Row],[Duration_minutes]],3)/60</f>
        <v>3.25</v>
      </c>
      <c r="I239" s="39">
        <v>2.7799999999999998E-4</v>
      </c>
      <c r="J239" s="41" t="str">
        <f t="shared" si="3"/>
        <v>No muy popular</v>
      </c>
      <c r="K239" s="43">
        <v>42580</v>
      </c>
    </row>
    <row r="240" spans="1:11">
      <c r="A240" s="34">
        <v>0.94299999999999995</v>
      </c>
      <c r="B240" s="32">
        <v>128</v>
      </c>
      <c r="C240" s="33">
        <v>0.33100000000000002</v>
      </c>
      <c r="D240" s="34">
        <v>0.29599999999999999</v>
      </c>
      <c r="E240" s="32">
        <v>83</v>
      </c>
      <c r="F240" s="32">
        <v>0</v>
      </c>
      <c r="G240" s="32">
        <v>4</v>
      </c>
      <c r="H240" s="35">
        <f ca="1">LEFT(Music_Data[[#This Row],[Duration_minutes]],3)/60</f>
        <v>2.5333333333333332</v>
      </c>
      <c r="I240" s="34">
        <v>7.2100000000000003E-3</v>
      </c>
      <c r="J240" s="36" t="str">
        <f t="shared" si="3"/>
        <v>No muy popular</v>
      </c>
      <c r="K240" s="42">
        <v>45345</v>
      </c>
    </row>
    <row r="241" spans="1:11">
      <c r="A241" s="39">
        <v>0.92500000000000004</v>
      </c>
      <c r="B241" s="37">
        <v>125</v>
      </c>
      <c r="C241" s="38">
        <v>0.749</v>
      </c>
      <c r="D241" s="39">
        <v>0.64100000000000001</v>
      </c>
      <c r="E241" s="37">
        <v>83</v>
      </c>
      <c r="F241" s="37">
        <v>1</v>
      </c>
      <c r="G241" s="37">
        <v>10</v>
      </c>
      <c r="H241" s="40">
        <f ca="1">LEFT(Music_Data[[#This Row],[Duration_minutes]],3)/60</f>
        <v>2.75</v>
      </c>
      <c r="I241" s="39">
        <v>0.24099999999999999</v>
      </c>
      <c r="J241" s="41" t="str">
        <f t="shared" si="3"/>
        <v>No muy popular</v>
      </c>
      <c r="K241" s="43">
        <v>44729</v>
      </c>
    </row>
    <row r="242" spans="1:11">
      <c r="A242" s="34">
        <v>0.187</v>
      </c>
      <c r="B242" s="32">
        <v>126</v>
      </c>
      <c r="C242" s="33">
        <v>0.30299999999999999</v>
      </c>
      <c r="D242" s="34">
        <v>0.21199999999999999</v>
      </c>
      <c r="E242" s="32">
        <v>83</v>
      </c>
      <c r="F242" s="32">
        <v>1</v>
      </c>
      <c r="G242" s="32">
        <v>2</v>
      </c>
      <c r="H242" s="35">
        <f ca="1">LEFT(Music_Data[[#This Row],[Duration_minutes]],3)/60</f>
        <v>3.0666666666666669</v>
      </c>
      <c r="I242" s="34">
        <v>0.98899999999999999</v>
      </c>
      <c r="J242" s="36" t="str">
        <f t="shared" si="3"/>
        <v>No muy popular</v>
      </c>
      <c r="K242" s="42">
        <v>41943</v>
      </c>
    </row>
    <row r="243" spans="1:11">
      <c r="A243" s="39">
        <v>0.61799999999999999</v>
      </c>
      <c r="B243" s="37">
        <v>127</v>
      </c>
      <c r="C243" s="38">
        <v>0.85299999999999998</v>
      </c>
      <c r="D243" s="39">
        <v>0.32</v>
      </c>
      <c r="E243" s="37">
        <v>83</v>
      </c>
      <c r="F243" s="37">
        <v>1</v>
      </c>
      <c r="G243" s="37">
        <v>6</v>
      </c>
      <c r="H243" s="40">
        <f ca="1">LEFT(Music_Data[[#This Row],[Duration_minutes]],3)/60</f>
        <v>3.9</v>
      </c>
      <c r="I243" s="39">
        <v>0.63300000000000001</v>
      </c>
      <c r="J243" s="41" t="str">
        <f t="shared" si="3"/>
        <v>No muy popular</v>
      </c>
      <c r="K243" s="43">
        <v>40506</v>
      </c>
    </row>
    <row r="244" spans="1:11">
      <c r="A244" s="34">
        <v>0.78700000000000003</v>
      </c>
      <c r="B244" s="32">
        <v>125</v>
      </c>
      <c r="C244" s="33">
        <v>0.70399999999999996</v>
      </c>
      <c r="D244" s="34">
        <v>0.31</v>
      </c>
      <c r="E244" s="32">
        <v>83</v>
      </c>
      <c r="F244" s="32">
        <v>0</v>
      </c>
      <c r="G244" s="32">
        <v>11</v>
      </c>
      <c r="H244" s="35">
        <f ca="1">LEFT(Music_Data[[#This Row],[Duration_minutes]],3)/60</f>
        <v>3.1</v>
      </c>
      <c r="I244" s="34">
        <v>9.2599999999999991E-3</v>
      </c>
      <c r="J244" s="36" t="str">
        <f t="shared" si="3"/>
        <v>No muy popular</v>
      </c>
      <c r="K244" s="42">
        <v>44652</v>
      </c>
    </row>
    <row r="245" spans="1:11">
      <c r="A245" s="39">
        <v>0.61799999999999999</v>
      </c>
      <c r="B245" s="37">
        <v>121</v>
      </c>
      <c r="C245" s="38">
        <v>0.85299999999999998</v>
      </c>
      <c r="D245" s="39">
        <v>0.32</v>
      </c>
      <c r="E245" s="37">
        <v>83</v>
      </c>
      <c r="F245" s="37">
        <v>1</v>
      </c>
      <c r="G245" s="37">
        <v>6</v>
      </c>
      <c r="H245" s="40">
        <f ca="1">LEFT(Music_Data[[#This Row],[Duration_minutes]],3)/60</f>
        <v>3.25</v>
      </c>
      <c r="I245" s="39">
        <v>0.63300000000000001</v>
      </c>
      <c r="J245" s="41" t="str">
        <f t="shared" si="3"/>
        <v>No muy popular</v>
      </c>
      <c r="K245" s="43">
        <v>42678</v>
      </c>
    </row>
    <row r="246" spans="1:11">
      <c r="A246" s="34">
        <v>0.51900000000000002</v>
      </c>
      <c r="B246" s="32">
        <v>121</v>
      </c>
      <c r="C246" s="33">
        <v>0.76300000000000001</v>
      </c>
      <c r="D246" s="34">
        <v>0.80400000000000005</v>
      </c>
      <c r="E246" s="32">
        <v>83</v>
      </c>
      <c r="F246" s="32">
        <v>0</v>
      </c>
      <c r="G246" s="32">
        <v>6</v>
      </c>
      <c r="H246" s="35">
        <f ca="1">LEFT(Music_Data[[#This Row],[Duration_minutes]],3)/60</f>
        <v>3.25</v>
      </c>
      <c r="I246" s="34">
        <v>0.22</v>
      </c>
      <c r="J246" s="36" t="str">
        <f t="shared" si="3"/>
        <v>No muy popular</v>
      </c>
      <c r="K246" s="42">
        <v>42678</v>
      </c>
    </row>
    <row r="247" spans="1:11">
      <c r="A247" s="39">
        <v>0.73799999999999999</v>
      </c>
      <c r="B247" s="37">
        <v>108</v>
      </c>
      <c r="C247" s="38">
        <v>0.84099999999999997</v>
      </c>
      <c r="D247" s="39">
        <v>0.48399999999999999</v>
      </c>
      <c r="E247" s="37">
        <v>83</v>
      </c>
      <c r="F247" s="37">
        <v>0</v>
      </c>
      <c r="G247" s="37">
        <v>7</v>
      </c>
      <c r="H247" s="40">
        <f ca="1">LEFT(Music_Data[[#This Row],[Duration_minutes]],3)/60</f>
        <v>2.9666666666666668</v>
      </c>
      <c r="I247" s="39">
        <v>0.52</v>
      </c>
      <c r="J247" s="41" t="str">
        <f t="shared" si="3"/>
        <v>No muy popular</v>
      </c>
      <c r="K247" s="43">
        <v>45310</v>
      </c>
    </row>
    <row r="248" spans="1:11">
      <c r="A248" s="34">
        <v>0.58299999999999996</v>
      </c>
      <c r="B248" s="32">
        <v>108</v>
      </c>
      <c r="C248" s="33">
        <v>0.66900000000000004</v>
      </c>
      <c r="D248" s="34">
        <v>0.27100000000000002</v>
      </c>
      <c r="E248" s="32">
        <v>83</v>
      </c>
      <c r="F248" s="32">
        <v>1</v>
      </c>
      <c r="G248" s="32">
        <v>1</v>
      </c>
      <c r="H248" s="35">
        <f ca="1">LEFT(Music_Data[[#This Row],[Duration_minutes]],3)/60</f>
        <v>2.9666666666666668</v>
      </c>
      <c r="I248" s="34">
        <v>0.60299999999999998</v>
      </c>
      <c r="J248" s="36" t="str">
        <f t="shared" si="3"/>
        <v>No muy popular</v>
      </c>
      <c r="K248" s="42">
        <v>45310</v>
      </c>
    </row>
    <row r="249" spans="1:11">
      <c r="A249" s="39">
        <v>0.628</v>
      </c>
      <c r="B249" s="37">
        <v>130</v>
      </c>
      <c r="C249" s="38">
        <v>0.63900000000000001</v>
      </c>
      <c r="D249" s="39">
        <v>0.43</v>
      </c>
      <c r="E249" s="37">
        <v>83</v>
      </c>
      <c r="F249" s="37">
        <v>0</v>
      </c>
      <c r="G249" s="37">
        <v>6</v>
      </c>
      <c r="H249" s="40">
        <f ca="1">LEFT(Music_Data[[#This Row],[Duration_minutes]],3)/60</f>
        <v>4.7166666666666668</v>
      </c>
      <c r="I249" s="39">
        <v>3.8100000000000002E-2</v>
      </c>
      <c r="J249" s="41" t="str">
        <f t="shared" si="3"/>
        <v>No muy popular</v>
      </c>
      <c r="K249" s="43">
        <v>41275</v>
      </c>
    </row>
    <row r="250" spans="1:11">
      <c r="A250" s="34">
        <v>0.67800000000000005</v>
      </c>
      <c r="B250" s="32">
        <v>119</v>
      </c>
      <c r="C250" s="33">
        <v>0.59499999999999997</v>
      </c>
      <c r="D250" s="34">
        <v>0.25900000000000001</v>
      </c>
      <c r="E250" s="32">
        <v>83</v>
      </c>
      <c r="F250" s="32">
        <v>1</v>
      </c>
      <c r="G250" s="32">
        <v>9</v>
      </c>
      <c r="H250" s="35">
        <f ca="1">LEFT(Music_Data[[#This Row],[Duration_minutes]],3)/60</f>
        <v>3.3</v>
      </c>
      <c r="I250" s="34">
        <v>1.9900000000000001E-2</v>
      </c>
      <c r="J250" s="36" t="str">
        <f t="shared" si="3"/>
        <v>No muy popular</v>
      </c>
      <c r="K250" s="42">
        <v>41950</v>
      </c>
    </row>
    <row r="251" spans="1:11">
      <c r="A251" s="39">
        <v>0.58099999999999996</v>
      </c>
      <c r="B251" s="37">
        <v>121</v>
      </c>
      <c r="C251" s="38">
        <v>0.61299999999999999</v>
      </c>
      <c r="D251" s="39">
        <v>0.55100000000000005</v>
      </c>
      <c r="E251" s="37">
        <v>83</v>
      </c>
      <c r="F251" s="37">
        <v>0</v>
      </c>
      <c r="G251" s="37">
        <v>0</v>
      </c>
      <c r="H251" s="40">
        <f ca="1">LEFT(Music_Data[[#This Row],[Duration_minutes]],3)/60</f>
        <v>3</v>
      </c>
      <c r="I251" s="39">
        <v>0.53700000000000003</v>
      </c>
      <c r="J251" s="41" t="str">
        <f t="shared" si="3"/>
        <v>No muy popular</v>
      </c>
      <c r="K251" s="43">
        <v>44113</v>
      </c>
    </row>
    <row r="252" spans="1:11">
      <c r="A252" s="34">
        <v>0.41599999999999998</v>
      </c>
      <c r="B252" s="32">
        <v>101</v>
      </c>
      <c r="C252" s="33">
        <v>0.32400000000000001</v>
      </c>
      <c r="D252" s="34">
        <v>0.151</v>
      </c>
      <c r="E252" s="32">
        <v>83</v>
      </c>
      <c r="F252" s="32">
        <v>0</v>
      </c>
      <c r="G252" s="32">
        <v>11</v>
      </c>
      <c r="H252" s="35">
        <f ca="1">LEFT(Music_Data[[#This Row],[Duration_minutes]],3)/60</f>
        <v>2.6666666666666665</v>
      </c>
      <c r="I252" s="34">
        <v>0.26200000000000001</v>
      </c>
      <c r="J252" s="36" t="str">
        <f t="shared" si="3"/>
        <v>No muy popular</v>
      </c>
      <c r="K252" s="42">
        <v>44323</v>
      </c>
    </row>
    <row r="253" spans="1:11">
      <c r="A253" s="39">
        <v>0.42499999999999999</v>
      </c>
      <c r="B253" s="37">
        <v>119</v>
      </c>
      <c r="C253" s="38">
        <v>0.35699999999999998</v>
      </c>
      <c r="D253" s="39">
        <v>0.27</v>
      </c>
      <c r="E253" s="37">
        <v>83</v>
      </c>
      <c r="F253" s="37">
        <v>1</v>
      </c>
      <c r="G253" s="37">
        <v>5</v>
      </c>
      <c r="H253" s="40">
        <f ca="1">LEFT(Music_Data[[#This Row],[Duration_minutes]],3)/60</f>
        <v>4.1333333333333337</v>
      </c>
      <c r="I253" s="39">
        <v>0.58399999999999996</v>
      </c>
      <c r="J253" s="41" t="str">
        <f t="shared" si="3"/>
        <v>No muy popular</v>
      </c>
      <c r="K253" s="43">
        <v>45450</v>
      </c>
    </row>
    <row r="254" spans="1:11">
      <c r="A254" s="34">
        <v>0.52900000000000003</v>
      </c>
      <c r="B254" s="32">
        <v>119</v>
      </c>
      <c r="C254" s="33">
        <v>0.67100000000000004</v>
      </c>
      <c r="D254" s="34">
        <v>0.20300000000000001</v>
      </c>
      <c r="E254" s="32">
        <v>83</v>
      </c>
      <c r="F254" s="32">
        <v>1</v>
      </c>
      <c r="G254" s="32">
        <v>0</v>
      </c>
      <c r="H254" s="35">
        <f ca="1">LEFT(Music_Data[[#This Row],[Duration_minutes]],3)/60</f>
        <v>3.4666666666666668</v>
      </c>
      <c r="I254" s="34">
        <v>7.6899999999999996E-2</v>
      </c>
      <c r="J254" s="36" t="str">
        <f t="shared" si="3"/>
        <v>No muy popular</v>
      </c>
      <c r="K254" s="42">
        <v>41677</v>
      </c>
    </row>
    <row r="255" spans="1:11">
      <c r="A255" s="39">
        <v>0.76300000000000001</v>
      </c>
      <c r="B255" s="37">
        <v>129</v>
      </c>
      <c r="C255" s="38">
        <v>0.69499999999999995</v>
      </c>
      <c r="D255" s="39">
        <v>0.55100000000000005</v>
      </c>
      <c r="E255" s="37">
        <v>83</v>
      </c>
      <c r="F255" s="37">
        <v>1</v>
      </c>
      <c r="G255" s="37">
        <v>0</v>
      </c>
      <c r="H255" s="40">
        <f ca="1">LEFT(Music_Data[[#This Row],[Duration_minutes]],3)/60</f>
        <v>3.85</v>
      </c>
      <c r="I255" s="39">
        <v>0.189</v>
      </c>
      <c r="J255" s="41" t="str">
        <f t="shared" si="3"/>
        <v>No muy popular</v>
      </c>
      <c r="K255" s="43">
        <v>45092</v>
      </c>
    </row>
    <row r="256" spans="1:11">
      <c r="A256" s="34">
        <v>0.78700000000000003</v>
      </c>
      <c r="B256" s="32">
        <v>127</v>
      </c>
      <c r="C256" s="33">
        <v>0.70399999999999996</v>
      </c>
      <c r="D256" s="34">
        <v>0.31</v>
      </c>
      <c r="E256" s="32">
        <v>83</v>
      </c>
      <c r="F256" s="32">
        <v>0</v>
      </c>
      <c r="G256" s="32">
        <v>11</v>
      </c>
      <c r="H256" s="35">
        <f ca="1">LEFT(Music_Data[[#This Row],[Duration_minutes]],3)/60</f>
        <v>3.5833333333333335</v>
      </c>
      <c r="I256" s="34">
        <v>9.2599999999999991E-3</v>
      </c>
      <c r="J256" s="36" t="str">
        <f t="shared" si="3"/>
        <v>No muy popular</v>
      </c>
      <c r="K256" s="42">
        <v>40866</v>
      </c>
    </row>
    <row r="257" spans="1:11">
      <c r="A257" s="39">
        <v>0.78700000000000003</v>
      </c>
      <c r="B257" s="37">
        <v>119</v>
      </c>
      <c r="C257" s="38">
        <v>0.73399999999999999</v>
      </c>
      <c r="D257" s="39">
        <v>0.67200000000000004</v>
      </c>
      <c r="E257" s="37">
        <v>82</v>
      </c>
      <c r="F257" s="37">
        <v>0</v>
      </c>
      <c r="G257" s="37">
        <v>5</v>
      </c>
      <c r="H257" s="40">
        <f ca="1">LEFT(Music_Data[[#This Row],[Duration_minutes]],3)/60</f>
        <v>3.4333333333333331</v>
      </c>
      <c r="I257" s="39">
        <v>0.126</v>
      </c>
      <c r="J257" s="41" t="str">
        <f t="shared" si="3"/>
        <v>No muy popular</v>
      </c>
      <c r="K257" s="43">
        <v>40179</v>
      </c>
    </row>
    <row r="258" spans="1:11">
      <c r="A258" s="34">
        <v>0.56299999999999994</v>
      </c>
      <c r="B258" s="32">
        <v>119</v>
      </c>
      <c r="C258" s="33">
        <v>0.83299999999999996</v>
      </c>
      <c r="D258" s="34">
        <v>0.34300000000000003</v>
      </c>
      <c r="E258" s="32">
        <v>82</v>
      </c>
      <c r="F258" s="32">
        <v>0</v>
      </c>
      <c r="G258" s="32">
        <v>4</v>
      </c>
      <c r="H258" s="35">
        <f ca="1">LEFT(Music_Data[[#This Row],[Duration_minutes]],3)/60</f>
        <v>3.4333333333333331</v>
      </c>
      <c r="I258" s="34">
        <v>0.52800000000000002</v>
      </c>
      <c r="J258" s="36" t="str">
        <f t="shared" si="3"/>
        <v>No muy popular</v>
      </c>
      <c r="K258" s="42">
        <v>40179</v>
      </c>
    </row>
    <row r="259" spans="1:11">
      <c r="A259" s="39">
        <v>0.66800000000000004</v>
      </c>
      <c r="B259" s="37">
        <v>118</v>
      </c>
      <c r="C259" s="38">
        <v>0.64600000000000002</v>
      </c>
      <c r="D259" s="39">
        <v>0.64</v>
      </c>
      <c r="E259" s="37">
        <v>82</v>
      </c>
      <c r="F259" s="37">
        <v>1</v>
      </c>
      <c r="G259" s="37">
        <v>2</v>
      </c>
      <c r="H259" s="40">
        <f ca="1">LEFT(Music_Data[[#This Row],[Duration_minutes]],3)/60</f>
        <v>2.75</v>
      </c>
      <c r="I259" s="39">
        <v>0.49099999999999999</v>
      </c>
      <c r="J259" s="41" t="str">
        <f t="shared" si="3"/>
        <v>No muy popular</v>
      </c>
      <c r="K259" s="43">
        <v>45415</v>
      </c>
    </row>
    <row r="260" spans="1:11">
      <c r="A260" s="34">
        <v>0.44600000000000001</v>
      </c>
      <c r="B260" s="32">
        <v>141</v>
      </c>
      <c r="C260" s="33">
        <v>0.74299999999999999</v>
      </c>
      <c r="D260" s="34">
        <v>0.27800000000000002</v>
      </c>
      <c r="E260" s="32">
        <v>82</v>
      </c>
      <c r="F260" s="32">
        <v>0</v>
      </c>
      <c r="G260" s="32">
        <v>4</v>
      </c>
      <c r="H260" s="35">
        <f ca="1">LEFT(Music_Data[[#This Row],[Duration_minutes]],3)/60</f>
        <v>4.6166666666666663</v>
      </c>
      <c r="I260" s="34">
        <v>3.8999999999999998E-3</v>
      </c>
      <c r="J260" s="36" t="str">
        <f t="shared" ref="J260:J323" si="4">IF(E260&gt;=94,"Muy Popular",IF(E260&gt;=86,"Popular",IF(E260&gt;=78,"No muy popular","Casi nada popular")))</f>
        <v>No muy popular</v>
      </c>
      <c r="K260" s="42">
        <v>43945</v>
      </c>
    </row>
    <row r="261" spans="1:11">
      <c r="A261" s="39">
        <v>0.34499999999999997</v>
      </c>
      <c r="B261" s="37">
        <v>122</v>
      </c>
      <c r="C261" s="38">
        <v>0.55900000000000005</v>
      </c>
      <c r="D261" s="39">
        <v>0.45800000000000002</v>
      </c>
      <c r="E261" s="37">
        <v>82</v>
      </c>
      <c r="F261" s="37">
        <v>1</v>
      </c>
      <c r="G261" s="37">
        <v>4</v>
      </c>
      <c r="H261" s="40">
        <f ca="1">LEFT(Music_Data[[#This Row],[Duration_minutes]],3)/60</f>
        <v>5.333333333333333</v>
      </c>
      <c r="I261" s="39">
        <v>5.7599999999999998E-2</v>
      </c>
      <c r="J261" s="41" t="str">
        <f t="shared" si="4"/>
        <v>No muy popular</v>
      </c>
      <c r="K261" s="43">
        <v>36962</v>
      </c>
    </row>
    <row r="262" spans="1:11">
      <c r="A262" s="34">
        <v>0.66800000000000004</v>
      </c>
      <c r="B262" s="32">
        <v>870</v>
      </c>
      <c r="C262" s="33">
        <v>0.57299999999999995</v>
      </c>
      <c r="D262" s="34">
        <v>0.14499999999999999</v>
      </c>
      <c r="E262" s="32">
        <v>82</v>
      </c>
      <c r="F262" s="32">
        <v>0</v>
      </c>
      <c r="G262" s="32">
        <v>7</v>
      </c>
      <c r="H262" s="35">
        <f ca="1">LEFT(Music_Data[[#This Row],[Duration_minutes]],3)/60</f>
        <v>3.0666666666666669</v>
      </c>
      <c r="I262" s="34">
        <v>0.189</v>
      </c>
      <c r="J262" s="36" t="str">
        <f t="shared" si="4"/>
        <v>No muy popular</v>
      </c>
      <c r="K262" s="42">
        <v>45303</v>
      </c>
    </row>
    <row r="263" spans="1:11">
      <c r="A263" s="39">
        <v>0.56299999999999994</v>
      </c>
      <c r="B263" s="37">
        <v>126</v>
      </c>
      <c r="C263" s="38">
        <v>0.83299999999999996</v>
      </c>
      <c r="D263" s="39">
        <v>0.34300000000000003</v>
      </c>
      <c r="E263" s="37">
        <v>82</v>
      </c>
      <c r="F263" s="37">
        <v>0</v>
      </c>
      <c r="G263" s="37">
        <v>4</v>
      </c>
      <c r="H263" s="40">
        <f ca="1">LEFT(Music_Data[[#This Row],[Duration_minutes]],3)/60</f>
        <v>3.7833333333333332</v>
      </c>
      <c r="I263" s="39">
        <v>0.52800000000000002</v>
      </c>
      <c r="J263" s="41" t="str">
        <f t="shared" si="4"/>
        <v>No muy popular</v>
      </c>
      <c r="K263" s="43">
        <v>42160</v>
      </c>
    </row>
    <row r="264" spans="1:11">
      <c r="A264" s="34">
        <v>0.72399999999999998</v>
      </c>
      <c r="B264" s="32">
        <v>119</v>
      </c>
      <c r="C264" s="33">
        <v>0.55600000000000005</v>
      </c>
      <c r="D264" s="34">
        <v>0.68100000000000005</v>
      </c>
      <c r="E264" s="32">
        <v>82</v>
      </c>
      <c r="F264" s="32">
        <v>1</v>
      </c>
      <c r="G264" s="32">
        <v>0</v>
      </c>
      <c r="H264" s="35">
        <f ca="1">LEFT(Music_Data[[#This Row],[Duration_minutes]],3)/60</f>
        <v>3.95</v>
      </c>
      <c r="I264" s="34">
        <v>0.26700000000000002</v>
      </c>
      <c r="J264" s="36" t="str">
        <f t="shared" si="4"/>
        <v>No muy popular</v>
      </c>
      <c r="K264" s="42">
        <v>42244</v>
      </c>
    </row>
    <row r="265" spans="1:11">
      <c r="A265" s="39">
        <v>0.83199999999999996</v>
      </c>
      <c r="B265" s="37">
        <v>959</v>
      </c>
      <c r="C265" s="38">
        <v>0.74199999999999999</v>
      </c>
      <c r="D265" s="39">
        <v>0.71599999999999997</v>
      </c>
      <c r="E265" s="37">
        <v>82</v>
      </c>
      <c r="F265" s="37">
        <v>1</v>
      </c>
      <c r="G265" s="37">
        <v>8</v>
      </c>
      <c r="H265" s="40">
        <f ca="1">LEFT(Music_Data[[#This Row],[Duration_minutes]],3)/60</f>
        <v>5.2666666666666666</v>
      </c>
      <c r="I265" s="39">
        <v>8.5699999999999998E-2</v>
      </c>
      <c r="J265" s="41" t="str">
        <f t="shared" si="4"/>
        <v>No muy popular</v>
      </c>
      <c r="K265" s="43">
        <v>41640</v>
      </c>
    </row>
    <row r="266" spans="1:11">
      <c r="A266" s="34">
        <v>0.57799999999999996</v>
      </c>
      <c r="B266" s="32">
        <v>120</v>
      </c>
      <c r="C266" s="33">
        <v>0.73399999999999999</v>
      </c>
      <c r="D266" s="34">
        <v>0.88</v>
      </c>
      <c r="E266" s="32">
        <v>82</v>
      </c>
      <c r="F266" s="32">
        <v>1</v>
      </c>
      <c r="G266" s="32">
        <v>1</v>
      </c>
      <c r="H266" s="35">
        <f ca="1">LEFT(Music_Data[[#This Row],[Duration_minutes]],3)/60</f>
        <v>3.3166666666666669</v>
      </c>
      <c r="I266" s="34">
        <v>0.155</v>
      </c>
      <c r="J266" s="36" t="str">
        <f t="shared" si="4"/>
        <v>No muy popular</v>
      </c>
      <c r="K266" s="42">
        <v>45604</v>
      </c>
    </row>
    <row r="267" spans="1:11">
      <c r="A267" s="39">
        <v>0.82299999999999995</v>
      </c>
      <c r="B267" s="37">
        <v>117</v>
      </c>
      <c r="C267" s="38">
        <v>0.64600000000000002</v>
      </c>
      <c r="D267" s="39">
        <v>0.41799999999999998</v>
      </c>
      <c r="E267" s="37">
        <v>82</v>
      </c>
      <c r="F267" s="37">
        <v>0</v>
      </c>
      <c r="G267" s="37">
        <v>2</v>
      </c>
      <c r="H267" s="40">
        <f ca="1">LEFT(Music_Data[[#This Row],[Duration_minutes]],3)/60</f>
        <v>3.2666666666666666</v>
      </c>
      <c r="I267" s="39">
        <v>0.21299999999999999</v>
      </c>
      <c r="J267" s="41" t="str">
        <f t="shared" si="4"/>
        <v>No muy popular</v>
      </c>
      <c r="K267" s="43">
        <v>43413</v>
      </c>
    </row>
    <row r="268" spans="1:11">
      <c r="A268" s="34">
        <v>0.83499999999999996</v>
      </c>
      <c r="B268" s="32">
        <v>113</v>
      </c>
      <c r="C268" s="33">
        <v>0.52700000000000002</v>
      </c>
      <c r="D268" s="34">
        <v>0.65400000000000003</v>
      </c>
      <c r="E268" s="32">
        <v>82</v>
      </c>
      <c r="F268" s="32">
        <v>1</v>
      </c>
      <c r="G268" s="32">
        <v>6</v>
      </c>
      <c r="H268" s="35">
        <f ca="1">LEFT(Music_Data[[#This Row],[Duration_minutes]],3)/60</f>
        <v>4.5166666666666666</v>
      </c>
      <c r="I268" s="34">
        <v>1.66E-2</v>
      </c>
      <c r="J268" s="36" t="str">
        <f t="shared" si="4"/>
        <v>No muy popular</v>
      </c>
      <c r="K268" s="42">
        <v>42503</v>
      </c>
    </row>
    <row r="269" spans="1:11">
      <c r="A269" s="39">
        <v>0.96299999999999997</v>
      </c>
      <c r="B269" s="37">
        <v>126</v>
      </c>
      <c r="C269" s="38">
        <v>0.58099999999999996</v>
      </c>
      <c r="D269" s="39">
        <v>0.78800000000000003</v>
      </c>
      <c r="E269" s="37">
        <v>82</v>
      </c>
      <c r="F269" s="37">
        <v>1</v>
      </c>
      <c r="G269" s="37">
        <v>11</v>
      </c>
      <c r="H269" s="40">
        <f ca="1">LEFT(Music_Data[[#This Row],[Duration_minutes]],3)/60</f>
        <v>2.6333333333333333</v>
      </c>
      <c r="I269" s="39">
        <v>2.9499999999999998E-2</v>
      </c>
      <c r="J269" s="41" t="str">
        <f t="shared" si="4"/>
        <v>No muy popular</v>
      </c>
      <c r="K269" s="43">
        <v>44358</v>
      </c>
    </row>
    <row r="270" spans="1:11">
      <c r="A270" s="34">
        <v>0.45700000000000002</v>
      </c>
      <c r="B270" s="32">
        <v>120</v>
      </c>
      <c r="C270" s="33">
        <v>0.59199999999999997</v>
      </c>
      <c r="D270" s="34">
        <v>0.22500000000000001</v>
      </c>
      <c r="E270" s="32">
        <v>82</v>
      </c>
      <c r="F270" s="32">
        <v>0</v>
      </c>
      <c r="G270" s="32">
        <v>9</v>
      </c>
      <c r="H270" s="35">
        <f ca="1">LEFT(Music_Data[[#This Row],[Duration_minutes]],3)/60</f>
        <v>3.4666666666666668</v>
      </c>
      <c r="I270" s="34">
        <v>0.66100000000000003</v>
      </c>
      <c r="J270" s="36" t="str">
        <f t="shared" si="4"/>
        <v>No muy popular</v>
      </c>
      <c r="K270" s="42">
        <v>45226</v>
      </c>
    </row>
    <row r="271" spans="1:11">
      <c r="A271" s="39">
        <v>0.79200000000000004</v>
      </c>
      <c r="B271" s="37">
        <v>120</v>
      </c>
      <c r="C271" s="38">
        <v>0.68700000000000006</v>
      </c>
      <c r="D271" s="39">
        <v>0.67100000000000004</v>
      </c>
      <c r="E271" s="37">
        <v>82</v>
      </c>
      <c r="F271" s="37">
        <v>1</v>
      </c>
      <c r="G271" s="37">
        <v>5</v>
      </c>
      <c r="H271" s="40">
        <f ca="1">LEFT(Music_Data[[#This Row],[Duration_minutes]],3)/60</f>
        <v>3.4666666666666668</v>
      </c>
      <c r="I271" s="39">
        <v>0.191</v>
      </c>
      <c r="J271" s="41" t="str">
        <f t="shared" si="4"/>
        <v>No muy popular</v>
      </c>
      <c r="K271" s="43">
        <v>45226</v>
      </c>
    </row>
    <row r="272" spans="1:11">
      <c r="A272" s="34">
        <v>0.52200000000000002</v>
      </c>
      <c r="B272" s="32">
        <v>121</v>
      </c>
      <c r="C272" s="33">
        <v>0.755</v>
      </c>
      <c r="D272" s="34">
        <v>0.92500000000000004</v>
      </c>
      <c r="E272" s="32">
        <v>82</v>
      </c>
      <c r="F272" s="32">
        <v>1</v>
      </c>
      <c r="G272" s="32">
        <v>2</v>
      </c>
      <c r="H272" s="35">
        <f ca="1">LEFT(Music_Data[[#This Row],[Duration_minutes]],3)/60</f>
        <v>3.2333333333333334</v>
      </c>
      <c r="I272" s="34">
        <v>0.53300000000000003</v>
      </c>
      <c r="J272" s="36" t="str">
        <f t="shared" si="4"/>
        <v>No muy popular</v>
      </c>
      <c r="K272" s="42">
        <v>42664</v>
      </c>
    </row>
    <row r="273" spans="1:11">
      <c r="A273" s="39">
        <v>0.622</v>
      </c>
      <c r="B273" s="37">
        <v>859</v>
      </c>
      <c r="C273" s="38">
        <v>0.84699999999999998</v>
      </c>
      <c r="D273" s="39">
        <v>0.22</v>
      </c>
      <c r="E273" s="37">
        <v>82</v>
      </c>
      <c r="F273" s="37">
        <v>0</v>
      </c>
      <c r="G273" s="37">
        <v>1</v>
      </c>
      <c r="H273" s="40">
        <f ca="1">LEFT(Music_Data[[#This Row],[Duration_minutes]],3)/60</f>
        <v>3.2</v>
      </c>
      <c r="I273" s="39">
        <v>0.11899999999999999</v>
      </c>
      <c r="J273" s="41" t="str">
        <f t="shared" si="4"/>
        <v>No muy popular</v>
      </c>
      <c r="K273" s="43">
        <v>41953</v>
      </c>
    </row>
    <row r="274" spans="1:11">
      <c r="A274" s="34">
        <v>0.66800000000000004</v>
      </c>
      <c r="B274" s="32">
        <v>104</v>
      </c>
      <c r="C274" s="33">
        <v>0.64600000000000002</v>
      </c>
      <c r="D274" s="34">
        <v>0.64</v>
      </c>
      <c r="E274" s="32">
        <v>82</v>
      </c>
      <c r="F274" s="32">
        <v>1</v>
      </c>
      <c r="G274" s="32">
        <v>2</v>
      </c>
      <c r="H274" s="35">
        <f ca="1">LEFT(Music_Data[[#This Row],[Duration_minutes]],3)/60</f>
        <v>3.6666666666666665</v>
      </c>
      <c r="I274" s="34">
        <v>0.49099999999999999</v>
      </c>
      <c r="J274" s="36" t="str">
        <f t="shared" si="4"/>
        <v>No muy popular</v>
      </c>
      <c r="K274" s="42">
        <v>42587</v>
      </c>
    </row>
    <row r="275" spans="1:11">
      <c r="A275" s="39">
        <v>0.64200000000000002</v>
      </c>
      <c r="B275" s="37">
        <v>117</v>
      </c>
      <c r="C275" s="38">
        <v>0.46300000000000002</v>
      </c>
      <c r="D275" s="39">
        <v>0.33900000000000002</v>
      </c>
      <c r="E275" s="37">
        <v>82</v>
      </c>
      <c r="F275" s="37">
        <v>1</v>
      </c>
      <c r="G275" s="37">
        <v>1</v>
      </c>
      <c r="H275" s="40">
        <f ca="1">LEFT(Music_Data[[#This Row],[Duration_minutes]],3)/60</f>
        <v>3.1</v>
      </c>
      <c r="I275" s="39">
        <v>0.314</v>
      </c>
      <c r="J275" s="41" t="str">
        <f t="shared" si="4"/>
        <v>No muy popular</v>
      </c>
      <c r="K275" s="43">
        <v>43147</v>
      </c>
    </row>
    <row r="276" spans="1:11">
      <c r="A276" s="34">
        <v>0.72699999999999998</v>
      </c>
      <c r="B276" s="32">
        <v>128</v>
      </c>
      <c r="C276" s="33">
        <v>0.88700000000000001</v>
      </c>
      <c r="D276" s="34">
        <v>0.93200000000000005</v>
      </c>
      <c r="E276" s="32">
        <v>82</v>
      </c>
      <c r="F276" s="32">
        <v>0</v>
      </c>
      <c r="G276" s="32">
        <v>4</v>
      </c>
      <c r="H276" s="35">
        <f ca="1">LEFT(Music_Data[[#This Row],[Duration_minutes]],3)/60</f>
        <v>3.2</v>
      </c>
      <c r="I276" s="34">
        <v>0.38100000000000001</v>
      </c>
      <c r="J276" s="36" t="str">
        <f t="shared" si="4"/>
        <v>No muy popular</v>
      </c>
      <c r="K276" s="42">
        <v>39575</v>
      </c>
    </row>
    <row r="277" spans="1:11">
      <c r="A277" s="39">
        <v>0.94199999999999995</v>
      </c>
      <c r="B277" s="37">
        <v>910</v>
      </c>
      <c r="C277" s="38">
        <v>0.52700000000000002</v>
      </c>
      <c r="D277" s="39">
        <v>0.495</v>
      </c>
      <c r="E277" s="37">
        <v>82</v>
      </c>
      <c r="F277" s="37">
        <v>0</v>
      </c>
      <c r="G277" s="37">
        <v>1</v>
      </c>
      <c r="H277" s="40">
        <f ca="1">LEFT(Music_Data[[#This Row],[Duration_minutes]],3)/60</f>
        <v>4.3</v>
      </c>
      <c r="I277" s="39">
        <v>1.15E-2</v>
      </c>
      <c r="J277" s="41" t="str">
        <f t="shared" si="4"/>
        <v>No muy popular</v>
      </c>
      <c r="K277" s="43">
        <v>2010</v>
      </c>
    </row>
    <row r="278" spans="1:11">
      <c r="A278" s="34">
        <v>0.56299999999999994</v>
      </c>
      <c r="B278" s="32">
        <v>117</v>
      </c>
      <c r="C278" s="33">
        <v>0.83299999999999996</v>
      </c>
      <c r="D278" s="34">
        <v>0.34300000000000003</v>
      </c>
      <c r="E278" s="32">
        <v>82</v>
      </c>
      <c r="F278" s="32">
        <v>0</v>
      </c>
      <c r="G278" s="32">
        <v>4</v>
      </c>
      <c r="H278" s="35">
        <f ca="1">LEFT(Music_Data[[#This Row],[Duration_minutes]],3)/60</f>
        <v>2.3166666666666669</v>
      </c>
      <c r="I278" s="34">
        <v>0.52800000000000002</v>
      </c>
      <c r="J278" s="36" t="str">
        <f t="shared" si="4"/>
        <v>No muy popular</v>
      </c>
      <c r="K278" s="42">
        <v>44400</v>
      </c>
    </row>
    <row r="279" spans="1:11">
      <c r="A279" s="39">
        <v>0.621</v>
      </c>
      <c r="B279" s="37">
        <v>123</v>
      </c>
      <c r="C279" s="38">
        <v>0.52500000000000002</v>
      </c>
      <c r="D279" s="39">
        <v>0.59199999999999997</v>
      </c>
      <c r="E279" s="37">
        <v>82</v>
      </c>
      <c r="F279" s="37">
        <v>1</v>
      </c>
      <c r="G279" s="37">
        <v>7</v>
      </c>
      <c r="H279" s="40">
        <f ca="1">LEFT(Music_Data[[#This Row],[Duration_minutes]],3)/60</f>
        <v>2.5833333333333335</v>
      </c>
      <c r="I279" s="39">
        <v>4.8899999999999999E-2</v>
      </c>
      <c r="J279" s="41" t="str">
        <f t="shared" si="4"/>
        <v>No muy popular</v>
      </c>
      <c r="K279" s="43">
        <v>44680</v>
      </c>
    </row>
    <row r="280" spans="1:11">
      <c r="A280" s="34">
        <v>0.622</v>
      </c>
      <c r="B280" s="32">
        <v>119</v>
      </c>
      <c r="C280" s="33">
        <v>0.84699999999999998</v>
      </c>
      <c r="D280" s="34">
        <v>0.22</v>
      </c>
      <c r="E280" s="32">
        <v>82</v>
      </c>
      <c r="F280" s="32">
        <v>0</v>
      </c>
      <c r="G280" s="32">
        <v>1</v>
      </c>
      <c r="H280" s="35">
        <f ca="1">LEFT(Music_Data[[#This Row],[Duration_minutes]],3)/60</f>
        <v>3.5833333333333335</v>
      </c>
      <c r="I280" s="34">
        <v>0.11899999999999999</v>
      </c>
      <c r="J280" s="36" t="str">
        <f t="shared" si="4"/>
        <v>No muy popular</v>
      </c>
      <c r="K280" s="42">
        <v>42195</v>
      </c>
    </row>
    <row r="281" spans="1:11">
      <c r="A281" s="39">
        <v>0.55200000000000005</v>
      </c>
      <c r="B281" s="37">
        <v>130</v>
      </c>
      <c r="C281" s="38">
        <v>0.76500000000000001</v>
      </c>
      <c r="D281" s="39">
        <v>0.49199999999999999</v>
      </c>
      <c r="E281" s="37">
        <v>82</v>
      </c>
      <c r="F281" s="37">
        <v>0</v>
      </c>
      <c r="G281" s="37">
        <v>1</v>
      </c>
      <c r="H281" s="40">
        <f ca="1">LEFT(Music_Data[[#This Row],[Duration_minutes]],3)/60</f>
        <v>3.7</v>
      </c>
      <c r="I281" s="39">
        <v>0.17499999999999999</v>
      </c>
      <c r="J281" s="41" t="str">
        <f t="shared" si="4"/>
        <v>No muy popular</v>
      </c>
      <c r="K281" s="43">
        <v>42073</v>
      </c>
    </row>
    <row r="282" spans="1:11">
      <c r="A282" s="34">
        <v>0.66800000000000004</v>
      </c>
      <c r="B282" s="32">
        <v>101</v>
      </c>
      <c r="C282" s="33">
        <v>0.57299999999999995</v>
      </c>
      <c r="D282" s="34">
        <v>0.14499999999999999</v>
      </c>
      <c r="E282" s="32">
        <v>82</v>
      </c>
      <c r="F282" s="32">
        <v>0</v>
      </c>
      <c r="G282" s="32">
        <v>7</v>
      </c>
      <c r="H282" s="35">
        <f ca="1">LEFT(Music_Data[[#This Row],[Duration_minutes]],3)/60</f>
        <v>3.1333333333333333</v>
      </c>
      <c r="I282" s="34">
        <v>0.189</v>
      </c>
      <c r="J282" s="36" t="str">
        <f t="shared" si="4"/>
        <v>No muy popular</v>
      </c>
      <c r="K282" s="42">
        <v>45205</v>
      </c>
    </row>
    <row r="283" spans="1:11">
      <c r="A283" s="39">
        <v>0.754</v>
      </c>
      <c r="B283" s="37">
        <v>112</v>
      </c>
      <c r="C283" s="38">
        <v>0.752</v>
      </c>
      <c r="D283" s="39">
        <v>0.755</v>
      </c>
      <c r="E283" s="37">
        <v>82</v>
      </c>
      <c r="F283" s="37">
        <v>1</v>
      </c>
      <c r="G283" s="37">
        <v>1</v>
      </c>
      <c r="H283" s="40">
        <f ca="1">LEFT(Music_Data[[#This Row],[Duration_minutes]],3)/60</f>
        <v>2.9333333333333331</v>
      </c>
      <c r="I283" s="39">
        <v>1.5100000000000001E-2</v>
      </c>
      <c r="J283" s="41" t="str">
        <f t="shared" si="4"/>
        <v>No muy popular</v>
      </c>
      <c r="K283" s="43">
        <v>43795</v>
      </c>
    </row>
    <row r="284" spans="1:11">
      <c r="A284" s="34">
        <v>0.41699999999999998</v>
      </c>
      <c r="B284" s="32">
        <v>102</v>
      </c>
      <c r="C284" s="33">
        <v>0.20899999999999999</v>
      </c>
      <c r="D284" s="34">
        <v>0.124</v>
      </c>
      <c r="E284" s="32">
        <v>82</v>
      </c>
      <c r="F284" s="32">
        <v>1</v>
      </c>
      <c r="G284" s="32">
        <v>3</v>
      </c>
      <c r="H284" s="35">
        <f ca="1">LEFT(Music_Data[[#This Row],[Duration_minutes]],3)/60</f>
        <v>3.5</v>
      </c>
      <c r="I284" s="34">
        <v>0.16400000000000001</v>
      </c>
      <c r="J284" s="36" t="str">
        <f t="shared" si="4"/>
        <v>No muy popular</v>
      </c>
      <c r="K284" s="42">
        <v>42789</v>
      </c>
    </row>
    <row r="285" spans="1:11">
      <c r="A285" s="39">
        <v>0.60299999999999998</v>
      </c>
      <c r="B285" s="37">
        <v>128</v>
      </c>
      <c r="C285" s="38">
        <v>0.71199999999999997</v>
      </c>
      <c r="D285" s="39">
        <v>0.67</v>
      </c>
      <c r="E285" s="37">
        <v>82</v>
      </c>
      <c r="F285" s="37">
        <v>1</v>
      </c>
      <c r="G285" s="37">
        <v>8</v>
      </c>
      <c r="H285" s="40">
        <f ca="1">LEFT(Music_Data[[#This Row],[Duration_minutes]],3)/60</f>
        <v>4.5166666666666666</v>
      </c>
      <c r="I285" s="39">
        <v>0.186</v>
      </c>
      <c r="J285" s="41" t="str">
        <f t="shared" si="4"/>
        <v>No muy popular</v>
      </c>
      <c r="K285" s="43">
        <v>40909</v>
      </c>
    </row>
    <row r="286" spans="1:11">
      <c r="A286" s="34">
        <v>0.32700000000000001</v>
      </c>
      <c r="B286" s="32">
        <v>120</v>
      </c>
      <c r="C286" s="33">
        <v>0.77500000000000002</v>
      </c>
      <c r="D286" s="34">
        <v>0.59499999999999997</v>
      </c>
      <c r="E286" s="32">
        <v>82</v>
      </c>
      <c r="F286" s="32">
        <v>1</v>
      </c>
      <c r="G286" s="32">
        <v>11</v>
      </c>
      <c r="H286" s="35">
        <f ca="1">LEFT(Music_Data[[#This Row],[Duration_minutes]],3)/60</f>
        <v>3.7833333333333332</v>
      </c>
      <c r="I286" s="34">
        <v>0.84099999999999997</v>
      </c>
      <c r="J286" s="36" t="str">
        <f t="shared" si="4"/>
        <v>No muy popular</v>
      </c>
      <c r="K286" s="42">
        <v>41792</v>
      </c>
    </row>
    <row r="287" spans="1:11">
      <c r="A287" s="39">
        <v>0.86199999999999999</v>
      </c>
      <c r="B287" s="37">
        <v>125</v>
      </c>
      <c r="C287" s="38">
        <v>0.71199999999999997</v>
      </c>
      <c r="D287" s="39">
        <v>0.80900000000000005</v>
      </c>
      <c r="E287" s="37">
        <v>82</v>
      </c>
      <c r="F287" s="37">
        <v>0</v>
      </c>
      <c r="G287" s="37">
        <v>5</v>
      </c>
      <c r="H287" s="40">
        <f ca="1">LEFT(Music_Data[[#This Row],[Duration_minutes]],3)/60</f>
        <v>2.6166666666666667</v>
      </c>
      <c r="I287" s="39">
        <v>5.2499999999999998E-2</v>
      </c>
      <c r="J287" s="41" t="str">
        <f t="shared" si="4"/>
        <v>No muy popular</v>
      </c>
      <c r="K287" s="43">
        <v>44498</v>
      </c>
    </row>
    <row r="288" spans="1:11">
      <c r="A288" s="34">
        <v>0.87</v>
      </c>
      <c r="B288" s="32">
        <v>126</v>
      </c>
      <c r="C288" s="33">
        <v>0.54300000000000004</v>
      </c>
      <c r="D288" s="34">
        <v>0.754</v>
      </c>
      <c r="E288" s="32">
        <v>82</v>
      </c>
      <c r="F288" s="32">
        <v>1</v>
      </c>
      <c r="G288" s="32">
        <v>9</v>
      </c>
      <c r="H288" s="35">
        <f ca="1">LEFT(Music_Data[[#This Row],[Duration_minutes]],3)/60</f>
        <v>3.5666666666666669</v>
      </c>
      <c r="I288" s="34">
        <v>0.35799999999999998</v>
      </c>
      <c r="J288" s="36" t="str">
        <f t="shared" si="4"/>
        <v>No muy popular</v>
      </c>
      <c r="K288" s="42">
        <v>41306</v>
      </c>
    </row>
    <row r="289" spans="1:11">
      <c r="A289" s="39">
        <v>0.82299999999999995</v>
      </c>
      <c r="B289" s="37">
        <v>120</v>
      </c>
      <c r="C289" s="38">
        <v>0.64600000000000002</v>
      </c>
      <c r="D289" s="39">
        <v>0.41799999999999998</v>
      </c>
      <c r="E289" s="37">
        <v>82</v>
      </c>
      <c r="F289" s="37">
        <v>0</v>
      </c>
      <c r="G289" s="37">
        <v>2</v>
      </c>
      <c r="H289" s="40">
        <f ca="1">LEFT(Music_Data[[#This Row],[Duration_minutes]],3)/60</f>
        <v>2.3333333333333335</v>
      </c>
      <c r="I289" s="39">
        <v>0.21299999999999999</v>
      </c>
      <c r="J289" s="41" t="str">
        <f t="shared" si="4"/>
        <v>No muy popular</v>
      </c>
      <c r="K289" s="43">
        <v>45016</v>
      </c>
    </row>
    <row r="290" spans="1:11">
      <c r="A290" s="34">
        <v>0.80700000000000005</v>
      </c>
      <c r="B290" s="32">
        <v>120</v>
      </c>
      <c r="C290" s="33">
        <v>0.72899999999999998</v>
      </c>
      <c r="D290" s="34">
        <v>0.76500000000000001</v>
      </c>
      <c r="E290" s="32">
        <v>82</v>
      </c>
      <c r="F290" s="32">
        <v>1</v>
      </c>
      <c r="G290" s="32">
        <v>6</v>
      </c>
      <c r="H290" s="35">
        <f ca="1">LEFT(Music_Data[[#This Row],[Duration_minutes]],3)/60</f>
        <v>2.3333333333333335</v>
      </c>
      <c r="I290" s="34">
        <v>0.18099999999999999</v>
      </c>
      <c r="J290" s="36" t="str">
        <f t="shared" si="4"/>
        <v>No muy popular</v>
      </c>
      <c r="K290" s="42">
        <v>45016</v>
      </c>
    </row>
    <row r="291" spans="1:11">
      <c r="A291" s="39">
        <v>0.96299999999999997</v>
      </c>
      <c r="B291" s="37">
        <v>129</v>
      </c>
      <c r="C291" s="38">
        <v>0.58099999999999996</v>
      </c>
      <c r="D291" s="39">
        <v>0.78800000000000003</v>
      </c>
      <c r="E291" s="37">
        <v>82</v>
      </c>
      <c r="F291" s="37">
        <v>1</v>
      </c>
      <c r="G291" s="37">
        <v>11</v>
      </c>
      <c r="H291" s="40">
        <f ca="1">LEFT(Music_Data[[#This Row],[Duration_minutes]],3)/60</f>
        <v>2.2833333333333332</v>
      </c>
      <c r="I291" s="39">
        <v>2.9499999999999998E-2</v>
      </c>
      <c r="J291" s="41" t="str">
        <f t="shared" si="4"/>
        <v>No muy popular</v>
      </c>
      <c r="K291" s="43">
        <v>45513</v>
      </c>
    </row>
    <row r="292" spans="1:11">
      <c r="A292" s="34">
        <v>0.83499999999999996</v>
      </c>
      <c r="B292" s="32">
        <v>130</v>
      </c>
      <c r="C292" s="33">
        <v>0.52700000000000002</v>
      </c>
      <c r="D292" s="34">
        <v>0.65400000000000003</v>
      </c>
      <c r="E292" s="32">
        <v>82</v>
      </c>
      <c r="F292" s="32">
        <v>1</v>
      </c>
      <c r="G292" s="32">
        <v>6</v>
      </c>
      <c r="H292" s="35">
        <f ca="1">LEFT(Music_Data[[#This Row],[Duration_minutes]],3)/60</f>
        <v>4.3666666666666663</v>
      </c>
      <c r="I292" s="34">
        <v>1.66E-2</v>
      </c>
      <c r="J292" s="36" t="str">
        <f t="shared" si="4"/>
        <v>No muy popular</v>
      </c>
      <c r="K292" s="42">
        <v>40544</v>
      </c>
    </row>
    <row r="293" spans="1:11">
      <c r="A293" s="39">
        <v>0.80200000000000005</v>
      </c>
      <c r="B293" s="37">
        <v>113</v>
      </c>
      <c r="C293" s="38">
        <v>0.72099999999999997</v>
      </c>
      <c r="D293" s="39">
        <v>0.72399999999999998</v>
      </c>
      <c r="E293" s="37">
        <v>82</v>
      </c>
      <c r="F293" s="37">
        <v>1</v>
      </c>
      <c r="G293" s="37">
        <v>1</v>
      </c>
      <c r="H293" s="40">
        <f ca="1">LEFT(Music_Data[[#This Row],[Duration_minutes]],3)/60</f>
        <v>11.583333333333334</v>
      </c>
      <c r="I293" s="39">
        <v>9.2100000000000001E-2</v>
      </c>
      <c r="J293" s="41" t="str">
        <f t="shared" si="4"/>
        <v>No muy popular</v>
      </c>
      <c r="K293" s="43">
        <v>44672</v>
      </c>
    </row>
    <row r="294" spans="1:11">
      <c r="A294" s="34">
        <v>0.55600000000000005</v>
      </c>
      <c r="B294" s="32">
        <v>750</v>
      </c>
      <c r="C294" s="33">
        <v>0.53100000000000003</v>
      </c>
      <c r="D294" s="34">
        <v>0.156</v>
      </c>
      <c r="E294" s="32">
        <v>82</v>
      </c>
      <c r="F294" s="32">
        <v>1</v>
      </c>
      <c r="G294" s="32">
        <v>5</v>
      </c>
      <c r="H294" s="35">
        <f ca="1">LEFT(Music_Data[[#This Row],[Duration_minutes]],3)/60</f>
        <v>2.3333333333333335</v>
      </c>
      <c r="I294" s="34">
        <v>0.40699999999999997</v>
      </c>
      <c r="J294" s="36" t="str">
        <f t="shared" si="4"/>
        <v>No muy popular</v>
      </c>
      <c r="K294" s="42">
        <v>45506</v>
      </c>
    </row>
    <row r="295" spans="1:11">
      <c r="A295" s="39">
        <v>0.71699999999999997</v>
      </c>
      <c r="B295" s="37">
        <v>119</v>
      </c>
      <c r="C295" s="38">
        <v>0.59499999999999997</v>
      </c>
      <c r="D295" s="39">
        <v>0.54700000000000004</v>
      </c>
      <c r="E295" s="37">
        <v>82</v>
      </c>
      <c r="F295" s="37">
        <v>1</v>
      </c>
      <c r="G295" s="37">
        <v>0</v>
      </c>
      <c r="H295" s="40">
        <f ca="1">LEFT(Music_Data[[#This Row],[Duration_minutes]],3)/60</f>
        <v>3.3666666666666667</v>
      </c>
      <c r="I295" s="39">
        <v>7.7899999999999997E-2</v>
      </c>
      <c r="J295" s="41" t="str">
        <f t="shared" si="4"/>
        <v>No muy popular</v>
      </c>
      <c r="K295" s="43">
        <v>40179</v>
      </c>
    </row>
    <row r="296" spans="1:11">
      <c r="A296" s="34">
        <v>0.64600000000000002</v>
      </c>
      <c r="B296" s="32">
        <v>120</v>
      </c>
      <c r="C296" s="33">
        <v>0.75600000000000001</v>
      </c>
      <c r="D296" s="34">
        <v>0.42899999999999999</v>
      </c>
      <c r="E296" s="32">
        <v>82</v>
      </c>
      <c r="F296" s="32">
        <v>1</v>
      </c>
      <c r="G296" s="32">
        <v>7</v>
      </c>
      <c r="H296" s="35">
        <f ca="1">LEFT(Music_Data[[#This Row],[Duration_minutes]],3)/60</f>
        <v>2.7333333333333334</v>
      </c>
      <c r="I296" s="34">
        <v>0.152</v>
      </c>
      <c r="J296" s="36" t="str">
        <f t="shared" si="4"/>
        <v>No muy popular</v>
      </c>
      <c r="K296" s="42">
        <v>44090</v>
      </c>
    </row>
    <row r="297" spans="1:11">
      <c r="A297" s="39">
        <v>0.70099999999999996</v>
      </c>
      <c r="B297" s="37">
        <v>122</v>
      </c>
      <c r="C297" s="38">
        <v>0.73</v>
      </c>
      <c r="D297" s="39">
        <v>0.78500000000000003</v>
      </c>
      <c r="E297" s="37">
        <v>82</v>
      </c>
      <c r="F297" s="37">
        <v>0</v>
      </c>
      <c r="G297" s="37">
        <v>5</v>
      </c>
      <c r="H297" s="40">
        <f ca="1">LEFT(Music_Data[[#This Row],[Duration_minutes]],3)/60</f>
        <v>2.7666666666666666</v>
      </c>
      <c r="I297" s="39">
        <v>0.13200000000000001</v>
      </c>
      <c r="J297" s="41" t="str">
        <f t="shared" si="4"/>
        <v>No muy popular</v>
      </c>
      <c r="K297" s="43">
        <v>43818</v>
      </c>
    </row>
    <row r="298" spans="1:11">
      <c r="A298" s="34">
        <v>0.73699999999999999</v>
      </c>
      <c r="B298" s="32">
        <v>129</v>
      </c>
      <c r="C298" s="33">
        <v>0.70799999999999996</v>
      </c>
      <c r="D298" s="34">
        <v>0.60699999999999998</v>
      </c>
      <c r="E298" s="32">
        <v>82</v>
      </c>
      <c r="F298" s="32">
        <v>1</v>
      </c>
      <c r="G298" s="32">
        <v>1</v>
      </c>
      <c r="H298" s="35">
        <f ca="1">LEFT(Music_Data[[#This Row],[Duration_minutes]],3)/60</f>
        <v>3.1333333333333333</v>
      </c>
      <c r="I298" s="34">
        <v>7.3899999999999993E-2</v>
      </c>
      <c r="J298" s="36" t="str">
        <f t="shared" si="4"/>
        <v>No muy popular</v>
      </c>
      <c r="K298" s="42">
        <v>45506</v>
      </c>
    </row>
    <row r="299" spans="1:11">
      <c r="A299" s="39">
        <v>0.621</v>
      </c>
      <c r="B299" s="37">
        <v>121</v>
      </c>
      <c r="C299" s="38">
        <v>0.45500000000000002</v>
      </c>
      <c r="D299" s="39">
        <v>0.28000000000000003</v>
      </c>
      <c r="E299" s="37">
        <v>82</v>
      </c>
      <c r="F299" s="37">
        <v>0</v>
      </c>
      <c r="G299" s="37">
        <v>0</v>
      </c>
      <c r="H299" s="40">
        <f ca="1">LEFT(Music_Data[[#This Row],[Duration_minutes]],3)/60</f>
        <v>7.15</v>
      </c>
      <c r="I299" s="39">
        <v>0.65100000000000002</v>
      </c>
      <c r="J299" s="41" t="str">
        <f t="shared" si="4"/>
        <v>No muy popular</v>
      </c>
      <c r="K299" s="43">
        <v>35447</v>
      </c>
    </row>
    <row r="300" spans="1:11">
      <c r="A300" s="34">
        <v>0.64200000000000002</v>
      </c>
      <c r="B300" s="32">
        <v>130</v>
      </c>
      <c r="C300" s="33">
        <v>0.46300000000000002</v>
      </c>
      <c r="D300" s="34">
        <v>0.33900000000000002</v>
      </c>
      <c r="E300" s="32">
        <v>82</v>
      </c>
      <c r="F300" s="32">
        <v>1</v>
      </c>
      <c r="G300" s="32">
        <v>1</v>
      </c>
      <c r="H300" s="35">
        <f ca="1">LEFT(Music_Data[[#This Row],[Duration_minutes]],3)/60</f>
        <v>3.35</v>
      </c>
      <c r="I300" s="34">
        <v>0.314</v>
      </c>
      <c r="J300" s="36" t="str">
        <f t="shared" si="4"/>
        <v>No muy popular</v>
      </c>
      <c r="K300" s="42">
        <v>41250</v>
      </c>
    </row>
    <row r="301" spans="1:11">
      <c r="A301" s="39">
        <v>0.64200000000000002</v>
      </c>
      <c r="B301" s="37">
        <v>140</v>
      </c>
      <c r="C301" s="38">
        <v>0.46300000000000002</v>
      </c>
      <c r="D301" s="39">
        <v>0.33900000000000002</v>
      </c>
      <c r="E301" s="37">
        <v>82</v>
      </c>
      <c r="F301" s="37">
        <v>1</v>
      </c>
      <c r="G301" s="37">
        <v>1</v>
      </c>
      <c r="H301" s="40">
        <f ca="1">LEFT(Music_Data[[#This Row],[Duration_minutes]],3)/60</f>
        <v>2.8166666666666669</v>
      </c>
      <c r="I301" s="39">
        <v>0.314</v>
      </c>
      <c r="J301" s="41" t="str">
        <f t="shared" si="4"/>
        <v>No muy popular</v>
      </c>
      <c r="K301" s="43">
        <v>45058</v>
      </c>
    </row>
    <row r="302" spans="1:11">
      <c r="A302" s="34">
        <v>0.91</v>
      </c>
      <c r="B302" s="32">
        <v>120</v>
      </c>
      <c r="C302" s="33">
        <v>0.67</v>
      </c>
      <c r="D302" s="34">
        <v>0.78600000000000003</v>
      </c>
      <c r="E302" s="32">
        <v>81</v>
      </c>
      <c r="F302" s="32">
        <v>0</v>
      </c>
      <c r="G302" s="32">
        <v>0</v>
      </c>
      <c r="H302" s="35">
        <f ca="1">LEFT(Music_Data[[#This Row],[Duration_minutes]],3)/60</f>
        <v>2.3333333333333335</v>
      </c>
      <c r="I302" s="34">
        <v>9.3899999999999997E-2</v>
      </c>
      <c r="J302" s="36" t="str">
        <f t="shared" si="4"/>
        <v>No muy popular</v>
      </c>
      <c r="K302" s="42">
        <v>45555</v>
      </c>
    </row>
    <row r="303" spans="1:11">
      <c r="A303" s="39">
        <v>0.64600000000000002</v>
      </c>
      <c r="B303" s="37">
        <v>125</v>
      </c>
      <c r="C303" s="38">
        <v>0.64500000000000002</v>
      </c>
      <c r="D303" s="39">
        <v>0.29499999999999998</v>
      </c>
      <c r="E303" s="37">
        <v>81</v>
      </c>
      <c r="F303" s="37">
        <v>1</v>
      </c>
      <c r="G303" s="37">
        <v>5</v>
      </c>
      <c r="H303" s="40">
        <f ca="1">LEFT(Music_Data[[#This Row],[Duration_minutes]],3)/60</f>
        <v>2.6166666666666667</v>
      </c>
      <c r="I303" s="39">
        <v>6.1499999999999999E-2</v>
      </c>
      <c r="J303" s="41" t="str">
        <f t="shared" si="4"/>
        <v>No muy popular</v>
      </c>
      <c r="K303" s="43">
        <v>41513</v>
      </c>
    </row>
    <row r="304" spans="1:11">
      <c r="A304" s="34">
        <v>0.50800000000000001</v>
      </c>
      <c r="B304" s="32">
        <v>127</v>
      </c>
      <c r="C304" s="33">
        <v>0.57899999999999996</v>
      </c>
      <c r="D304" s="34">
        <v>0.60899999999999999</v>
      </c>
      <c r="E304" s="32">
        <v>81</v>
      </c>
      <c r="F304" s="32">
        <v>1</v>
      </c>
      <c r="G304" s="32">
        <v>2</v>
      </c>
      <c r="H304" s="35">
        <f ca="1">LEFT(Music_Data[[#This Row],[Duration_minutes]],3)/60</f>
        <v>2.95</v>
      </c>
      <c r="I304" s="34">
        <v>5.7400000000000003E-3</v>
      </c>
      <c r="J304" s="36" t="str">
        <f t="shared" si="4"/>
        <v>No muy popular</v>
      </c>
      <c r="K304" s="42">
        <v>44596</v>
      </c>
    </row>
    <row r="305" spans="1:11">
      <c r="A305" s="39">
        <v>0.76700000000000002</v>
      </c>
      <c r="B305" s="37">
        <v>126</v>
      </c>
      <c r="C305" s="38">
        <v>0.59199999999999997</v>
      </c>
      <c r="D305" s="39">
        <v>0.32800000000000001</v>
      </c>
      <c r="E305" s="37">
        <v>81</v>
      </c>
      <c r="F305" s="37">
        <v>0</v>
      </c>
      <c r="G305" s="37">
        <v>9</v>
      </c>
      <c r="H305" s="40">
        <f ca="1">LEFT(Music_Data[[#This Row],[Duration_minutes]],3)/60</f>
        <v>3.6166666666666667</v>
      </c>
      <c r="I305" s="39">
        <v>2.0999999999999999E-3</v>
      </c>
      <c r="J305" s="41" t="str">
        <f t="shared" si="4"/>
        <v>No muy popular</v>
      </c>
      <c r="K305" s="43">
        <v>45142</v>
      </c>
    </row>
    <row r="306" spans="1:11">
      <c r="A306" s="34">
        <v>0.79500000000000004</v>
      </c>
      <c r="B306" s="32">
        <v>132</v>
      </c>
      <c r="C306" s="33">
        <v>0.46400000000000002</v>
      </c>
      <c r="D306" s="34">
        <v>0.61199999999999999</v>
      </c>
      <c r="E306" s="32">
        <v>81</v>
      </c>
      <c r="F306" s="32">
        <v>1</v>
      </c>
      <c r="G306" s="32">
        <v>1</v>
      </c>
      <c r="H306" s="35">
        <f ca="1">LEFT(Music_Data[[#This Row],[Duration_minutes]],3)/60</f>
        <v>3.15</v>
      </c>
      <c r="I306" s="34">
        <v>4.9299999999999997E-2</v>
      </c>
      <c r="J306" s="36" t="str">
        <f t="shared" si="4"/>
        <v>No muy popular</v>
      </c>
      <c r="K306" s="42">
        <v>45113</v>
      </c>
    </row>
    <row r="307" spans="1:11">
      <c r="A307" s="39">
        <v>0.88100000000000001</v>
      </c>
      <c r="B307" s="37">
        <v>100</v>
      </c>
      <c r="C307" s="38">
        <v>0.41299999999999998</v>
      </c>
      <c r="D307" s="39">
        <v>0.36399999999999999</v>
      </c>
      <c r="E307" s="37">
        <v>81</v>
      </c>
      <c r="F307" s="37">
        <v>0</v>
      </c>
      <c r="G307" s="37">
        <v>11</v>
      </c>
      <c r="H307" s="40">
        <f ca="1">LEFT(Music_Data[[#This Row],[Duration_minutes]],3)/60</f>
        <v>3.7666666666666666</v>
      </c>
      <c r="I307" s="39">
        <v>5.9899999999999999E-5</v>
      </c>
      <c r="J307" s="41" t="str">
        <f t="shared" si="4"/>
        <v>No muy popular</v>
      </c>
      <c r="K307" s="43">
        <v>42171</v>
      </c>
    </row>
    <row r="308" spans="1:11">
      <c r="A308" s="34">
        <v>0.76700000000000002</v>
      </c>
      <c r="B308" s="32">
        <v>100</v>
      </c>
      <c r="C308" s="33">
        <v>0.53200000000000003</v>
      </c>
      <c r="D308" s="34">
        <v>0.755</v>
      </c>
      <c r="E308" s="32">
        <v>81</v>
      </c>
      <c r="F308" s="32">
        <v>1</v>
      </c>
      <c r="G308" s="32">
        <v>7</v>
      </c>
      <c r="H308" s="35">
        <f ca="1">LEFT(Music_Data[[#This Row],[Duration_minutes]],3)/60</f>
        <v>3.7666666666666666</v>
      </c>
      <c r="I308" s="34">
        <v>2.8700000000000002E-3</v>
      </c>
      <c r="J308" s="36" t="str">
        <f t="shared" si="4"/>
        <v>No muy popular</v>
      </c>
      <c r="K308" s="42">
        <v>42171</v>
      </c>
    </row>
    <row r="309" spans="1:11">
      <c r="A309" s="39">
        <v>0.66300000000000003</v>
      </c>
      <c r="B309" s="37">
        <v>115</v>
      </c>
      <c r="C309" s="38">
        <v>0.76</v>
      </c>
      <c r="D309" s="39">
        <v>0.20899999999999999</v>
      </c>
      <c r="E309" s="37">
        <v>81</v>
      </c>
      <c r="F309" s="37">
        <v>0</v>
      </c>
      <c r="G309" s="37">
        <v>9</v>
      </c>
      <c r="H309" s="40">
        <f ca="1">LEFT(Music_Data[[#This Row],[Duration_minutes]],3)/60</f>
        <v>4.0999999999999996</v>
      </c>
      <c r="I309" s="39">
        <v>0.109</v>
      </c>
      <c r="J309" s="41" t="str">
        <f t="shared" si="4"/>
        <v>No muy popular</v>
      </c>
      <c r="K309" s="43">
        <v>45555</v>
      </c>
    </row>
    <row r="310" spans="1:11">
      <c r="A310" s="34">
        <v>0.76400000000000001</v>
      </c>
      <c r="B310" s="32">
        <v>130</v>
      </c>
      <c r="C310" s="33">
        <v>0.88200000000000001</v>
      </c>
      <c r="D310" s="34">
        <v>0.88600000000000001</v>
      </c>
      <c r="E310" s="32">
        <v>81</v>
      </c>
      <c r="F310" s="32">
        <v>1</v>
      </c>
      <c r="G310" s="32">
        <v>11</v>
      </c>
      <c r="H310" s="35">
        <f ca="1">LEFT(Music_Data[[#This Row],[Duration_minutes]],3)/60</f>
        <v>2.8166666666666669</v>
      </c>
      <c r="I310" s="34">
        <v>0.35899999999999999</v>
      </c>
      <c r="J310" s="36" t="str">
        <f t="shared" si="4"/>
        <v>No muy popular</v>
      </c>
      <c r="K310" s="42">
        <v>45533</v>
      </c>
    </row>
    <row r="311" spans="1:11">
      <c r="A311" s="39">
        <v>0.434</v>
      </c>
      <c r="B311" s="37">
        <v>113</v>
      </c>
      <c r="C311" s="38">
        <v>0.83299999999999996</v>
      </c>
      <c r="D311" s="39">
        <v>0.28100000000000003</v>
      </c>
      <c r="E311" s="37">
        <v>81</v>
      </c>
      <c r="F311" s="37">
        <v>1</v>
      </c>
      <c r="G311" s="37">
        <v>2</v>
      </c>
      <c r="H311" s="40">
        <f ca="1">LEFT(Music_Data[[#This Row],[Duration_minutes]],3)/60</f>
        <v>2.5666666666666669</v>
      </c>
      <c r="I311" s="39">
        <v>1.0200000000000001E-2</v>
      </c>
      <c r="J311" s="41" t="str">
        <f t="shared" si="4"/>
        <v>No muy popular</v>
      </c>
      <c r="K311" s="43">
        <v>44672</v>
      </c>
    </row>
    <row r="312" spans="1:11">
      <c r="A312" s="34">
        <v>0.434</v>
      </c>
      <c r="B312" s="32">
        <v>820</v>
      </c>
      <c r="C312" s="33">
        <v>0.83299999999999996</v>
      </c>
      <c r="D312" s="34">
        <v>0.28100000000000003</v>
      </c>
      <c r="E312" s="32">
        <v>81</v>
      </c>
      <c r="F312" s="32">
        <v>1</v>
      </c>
      <c r="G312" s="32">
        <v>2</v>
      </c>
      <c r="H312" s="35">
        <f ca="1">LEFT(Music_Data[[#This Row],[Duration_minutes]],3)/60</f>
        <v>16.600000000000001</v>
      </c>
      <c r="I312" s="34">
        <v>1.0200000000000001E-2</v>
      </c>
      <c r="J312" s="36" t="str">
        <f t="shared" si="4"/>
        <v>No muy popular</v>
      </c>
      <c r="K312" s="42">
        <v>45100</v>
      </c>
    </row>
    <row r="313" spans="1:11">
      <c r="A313" s="39">
        <v>0.73</v>
      </c>
      <c r="B313" s="37">
        <v>125</v>
      </c>
      <c r="C313" s="38">
        <v>0.83399999999999996</v>
      </c>
      <c r="D313" s="39">
        <v>0.44600000000000001</v>
      </c>
      <c r="E313" s="37">
        <v>81</v>
      </c>
      <c r="F313" s="37">
        <v>1</v>
      </c>
      <c r="G313" s="37">
        <v>8</v>
      </c>
      <c r="H313" s="40">
        <f ca="1">LEFT(Music_Data[[#This Row],[Duration_minutes]],3)/60</f>
        <v>3.5</v>
      </c>
      <c r="I313" s="39">
        <v>5.13E-3</v>
      </c>
      <c r="J313" s="41" t="str">
        <f t="shared" si="4"/>
        <v>No muy popular</v>
      </c>
      <c r="K313" s="43">
        <v>42146</v>
      </c>
    </row>
    <row r="314" spans="1:11">
      <c r="A314" s="34">
        <v>0.442</v>
      </c>
      <c r="B314" s="32">
        <v>129</v>
      </c>
      <c r="C314" s="33">
        <v>0.77600000000000002</v>
      </c>
      <c r="D314" s="34">
        <v>0.83799999999999997</v>
      </c>
      <c r="E314" s="32">
        <v>81</v>
      </c>
      <c r="F314" s="32">
        <v>0</v>
      </c>
      <c r="G314" s="32">
        <v>6</v>
      </c>
      <c r="H314" s="35">
        <f ca="1">LEFT(Music_Data[[#This Row],[Duration_minutes]],3)/60</f>
        <v>3.4</v>
      </c>
      <c r="I314" s="34">
        <v>0.31900000000000001</v>
      </c>
      <c r="J314" s="36" t="str">
        <f t="shared" si="4"/>
        <v>No muy popular</v>
      </c>
      <c r="K314" s="42">
        <v>41397</v>
      </c>
    </row>
    <row r="315" spans="1:11">
      <c r="A315" s="39">
        <v>0.83399999999999996</v>
      </c>
      <c r="B315" s="37">
        <v>128</v>
      </c>
      <c r="C315" s="38">
        <v>0.78300000000000003</v>
      </c>
      <c r="D315" s="39">
        <v>0.92</v>
      </c>
      <c r="E315" s="37">
        <v>81</v>
      </c>
      <c r="F315" s="37">
        <v>0</v>
      </c>
      <c r="G315" s="37">
        <v>3</v>
      </c>
      <c r="H315" s="40">
        <f ca="1">LEFT(Music_Data[[#This Row],[Duration_minutes]],3)/60</f>
        <v>2.7666666666666666</v>
      </c>
      <c r="I315" s="39">
        <v>0.53900000000000003</v>
      </c>
      <c r="J315" s="41" t="str">
        <f t="shared" si="4"/>
        <v>No muy popular</v>
      </c>
      <c r="K315" s="43">
        <v>41859</v>
      </c>
    </row>
    <row r="316" spans="1:11">
      <c r="A316" s="34">
        <v>0.79500000000000004</v>
      </c>
      <c r="B316" s="32">
        <v>106</v>
      </c>
      <c r="C316" s="33">
        <v>0.80100000000000005</v>
      </c>
      <c r="D316" s="34">
        <v>0.754</v>
      </c>
      <c r="E316" s="32">
        <v>81</v>
      </c>
      <c r="F316" s="32">
        <v>0</v>
      </c>
      <c r="G316" s="32">
        <v>1</v>
      </c>
      <c r="H316" s="35">
        <f ca="1">LEFT(Music_Data[[#This Row],[Duration_minutes]],3)/60</f>
        <v>5.75</v>
      </c>
      <c r="I316" s="34">
        <v>4.1700000000000001E-2</v>
      </c>
      <c r="J316" s="36" t="str">
        <f t="shared" si="4"/>
        <v>No muy popular</v>
      </c>
      <c r="K316" s="42">
        <v>36962</v>
      </c>
    </row>
    <row r="317" spans="1:11">
      <c r="A317" s="39">
        <v>0.44400000000000001</v>
      </c>
      <c r="B317" s="37">
        <v>123</v>
      </c>
      <c r="C317" s="38">
        <v>0.60899999999999999</v>
      </c>
      <c r="D317" s="39">
        <v>0.16600000000000001</v>
      </c>
      <c r="E317" s="37">
        <v>81</v>
      </c>
      <c r="F317" s="37">
        <v>1</v>
      </c>
      <c r="G317" s="37">
        <v>7</v>
      </c>
      <c r="H317" s="40">
        <f ca="1">LEFT(Music_Data[[#This Row],[Duration_minutes]],3)/60</f>
        <v>4.4333333333333336</v>
      </c>
      <c r="I317" s="39">
        <v>0.60299999999999998</v>
      </c>
      <c r="J317" s="41" t="str">
        <f t="shared" si="4"/>
        <v>No muy popular</v>
      </c>
      <c r="K317" s="43">
        <v>36893</v>
      </c>
    </row>
    <row r="318" spans="1:11">
      <c r="A318" s="34">
        <v>0.85599999999999998</v>
      </c>
      <c r="B318" s="32">
        <v>750</v>
      </c>
      <c r="C318" s="33">
        <v>0.59599999999999997</v>
      </c>
      <c r="D318" s="34">
        <v>0.74299999999999999</v>
      </c>
      <c r="E318" s="32">
        <v>81</v>
      </c>
      <c r="F318" s="32">
        <v>0</v>
      </c>
      <c r="G318" s="32">
        <v>4</v>
      </c>
      <c r="H318" s="35">
        <f ca="1">LEFT(Music_Data[[#This Row],[Duration_minutes]],3)/60</f>
        <v>4.7</v>
      </c>
      <c r="I318" s="34">
        <v>2.1100000000000001E-2</v>
      </c>
      <c r="J318" s="36" t="str">
        <f t="shared" si="4"/>
        <v>No muy popular</v>
      </c>
      <c r="K318" s="42">
        <v>41428</v>
      </c>
    </row>
    <row r="319" spans="1:11">
      <c r="A319" s="39">
        <v>0.60399999999999998</v>
      </c>
      <c r="B319" s="37">
        <v>750</v>
      </c>
      <c r="C319" s="38">
        <v>0.56100000000000005</v>
      </c>
      <c r="D319" s="39">
        <v>0.24199999999999999</v>
      </c>
      <c r="E319" s="37">
        <v>81</v>
      </c>
      <c r="F319" s="37">
        <v>1</v>
      </c>
      <c r="G319" s="37">
        <v>9</v>
      </c>
      <c r="H319" s="40">
        <f ca="1">LEFT(Music_Data[[#This Row],[Duration_minutes]],3)/60</f>
        <v>4.7</v>
      </c>
      <c r="I319" s="39">
        <v>0.19900000000000001</v>
      </c>
      <c r="J319" s="41" t="str">
        <f t="shared" si="4"/>
        <v>No muy popular</v>
      </c>
      <c r="K319" s="43">
        <v>41428</v>
      </c>
    </row>
    <row r="320" spans="1:11">
      <c r="A320" s="34">
        <v>0.73299999999999998</v>
      </c>
      <c r="B320" s="32">
        <v>124</v>
      </c>
      <c r="C320" s="33">
        <v>0.625</v>
      </c>
      <c r="D320" s="34">
        <v>0.24399999999999999</v>
      </c>
      <c r="E320" s="32">
        <v>81</v>
      </c>
      <c r="F320" s="32">
        <v>1</v>
      </c>
      <c r="G320" s="32">
        <v>2</v>
      </c>
      <c r="H320" s="35">
        <f ca="1">LEFT(Music_Data[[#This Row],[Duration_minutes]],3)/60</f>
        <v>3.6666666666666665</v>
      </c>
      <c r="I320" s="34">
        <v>5.9800000000000001E-3</v>
      </c>
      <c r="J320" s="36" t="str">
        <f t="shared" si="4"/>
        <v>No muy popular</v>
      </c>
      <c r="K320" s="42">
        <v>45149</v>
      </c>
    </row>
    <row r="321" spans="1:11">
      <c r="A321" s="39">
        <v>0.76100000000000001</v>
      </c>
      <c r="B321" s="37">
        <v>121</v>
      </c>
      <c r="C321" s="38">
        <v>0.63400000000000001</v>
      </c>
      <c r="D321" s="39">
        <v>0.78500000000000003</v>
      </c>
      <c r="E321" s="37">
        <v>81</v>
      </c>
      <c r="F321" s="37">
        <v>1</v>
      </c>
      <c r="G321" s="37">
        <v>5</v>
      </c>
      <c r="H321" s="40">
        <f ca="1">LEFT(Music_Data[[#This Row],[Duration_minutes]],3)/60</f>
        <v>4.2166666666666668</v>
      </c>
      <c r="I321" s="39">
        <v>5.3699999999999998E-3</v>
      </c>
      <c r="J321" s="41" t="str">
        <f t="shared" si="4"/>
        <v>No muy popular</v>
      </c>
      <c r="K321" s="43">
        <v>45499</v>
      </c>
    </row>
    <row r="322" spans="1:11">
      <c r="A322" s="34">
        <v>0.53700000000000003</v>
      </c>
      <c r="B322" s="32">
        <v>122</v>
      </c>
      <c r="C322" s="33">
        <v>0.92100000000000004</v>
      </c>
      <c r="D322" s="34">
        <v>0.71099999999999997</v>
      </c>
      <c r="E322" s="32">
        <v>81</v>
      </c>
      <c r="F322" s="32">
        <v>0</v>
      </c>
      <c r="G322" s="32">
        <v>9</v>
      </c>
      <c r="H322" s="35">
        <f ca="1">LEFT(Music_Data[[#This Row],[Duration_minutes]],3)/60</f>
        <v>2.9166666666666665</v>
      </c>
      <c r="I322" s="34">
        <v>0.55600000000000005</v>
      </c>
      <c r="J322" s="36" t="str">
        <f t="shared" si="4"/>
        <v>No muy popular</v>
      </c>
      <c r="K322" s="42">
        <v>45401</v>
      </c>
    </row>
    <row r="323" spans="1:11">
      <c r="A323" s="39">
        <v>0.745</v>
      </c>
      <c r="B323" s="37">
        <v>672</v>
      </c>
      <c r="C323" s="38">
        <v>0.80800000000000005</v>
      </c>
      <c r="D323" s="39">
        <v>0.82899999999999996</v>
      </c>
      <c r="E323" s="37">
        <v>81</v>
      </c>
      <c r="F323" s="37">
        <v>0</v>
      </c>
      <c r="G323" s="37">
        <v>10</v>
      </c>
      <c r="H323" s="40">
        <f ca="1">LEFT(Music_Data[[#This Row],[Duration_minutes]],3)/60</f>
        <v>14.383333333333333</v>
      </c>
      <c r="I323" s="39">
        <v>0.14499999999999999</v>
      </c>
      <c r="J323" s="41" t="str">
        <f t="shared" si="4"/>
        <v>No muy popular</v>
      </c>
      <c r="K323" s="43">
        <v>44827</v>
      </c>
    </row>
    <row r="324" spans="1:11">
      <c r="A324" s="34">
        <v>0.74099999999999999</v>
      </c>
      <c r="B324" s="32">
        <v>116</v>
      </c>
      <c r="C324" s="33">
        <v>0.77100000000000002</v>
      </c>
      <c r="D324" s="34">
        <v>0.19</v>
      </c>
      <c r="E324" s="32">
        <v>81</v>
      </c>
      <c r="F324" s="32">
        <v>0</v>
      </c>
      <c r="G324" s="32">
        <v>5</v>
      </c>
      <c r="H324" s="35">
        <f ca="1">LEFT(Music_Data[[#This Row],[Duration_minutes]],3)/60</f>
        <v>3.8666666666666667</v>
      </c>
      <c r="I324" s="34">
        <v>2.4500000000000001E-2</v>
      </c>
      <c r="J324" s="36" t="str">
        <f t="shared" ref="J324:J387" si="5">IF(E324&gt;=94,"Muy Popular",IF(E324&gt;=86,"Popular",IF(E324&gt;=78,"No muy popular","Casi nada popular")))</f>
        <v>No muy popular</v>
      </c>
      <c r="K324" s="42">
        <v>41275</v>
      </c>
    </row>
    <row r="325" spans="1:11">
      <c r="A325" s="39">
        <v>0.95</v>
      </c>
      <c r="B325" s="37">
        <v>705</v>
      </c>
      <c r="C325" s="38">
        <v>0.67300000000000004</v>
      </c>
      <c r="D325" s="39">
        <v>0.56299999999999994</v>
      </c>
      <c r="E325" s="37">
        <v>81</v>
      </c>
      <c r="F325" s="37">
        <v>1</v>
      </c>
      <c r="G325" s="37">
        <v>11</v>
      </c>
      <c r="H325" s="40">
        <f ca="1">LEFT(Music_Data[[#This Row],[Duration_minutes]],3)/60</f>
        <v>3.55</v>
      </c>
      <c r="I325" s="39">
        <v>2.29E-2</v>
      </c>
      <c r="J325" s="41" t="str">
        <f t="shared" si="5"/>
        <v>No muy popular</v>
      </c>
      <c r="K325" s="43">
        <v>41275</v>
      </c>
    </row>
    <row r="326" spans="1:11">
      <c r="A326" s="34">
        <v>0.62</v>
      </c>
      <c r="B326" s="32">
        <v>123</v>
      </c>
      <c r="C326" s="33">
        <v>0.85699999999999998</v>
      </c>
      <c r="D326" s="34">
        <v>0.79600000000000004</v>
      </c>
      <c r="E326" s="32">
        <v>81</v>
      </c>
      <c r="F326" s="32">
        <v>1</v>
      </c>
      <c r="G326" s="32">
        <v>0</v>
      </c>
      <c r="H326" s="35">
        <f ca="1">LEFT(Music_Data[[#This Row],[Duration_minutes]],3)/60</f>
        <v>3.2833333333333332</v>
      </c>
      <c r="I326" s="34">
        <v>0.64600000000000002</v>
      </c>
      <c r="J326" s="36" t="str">
        <f t="shared" si="5"/>
        <v>No muy popular</v>
      </c>
      <c r="K326" s="42">
        <v>45273</v>
      </c>
    </row>
    <row r="327" spans="1:11">
      <c r="A327" s="39">
        <v>0.88700000000000001</v>
      </c>
      <c r="B327" s="37">
        <v>122</v>
      </c>
      <c r="C327" s="38">
        <v>0.93600000000000005</v>
      </c>
      <c r="D327" s="39">
        <v>0.88900000000000001</v>
      </c>
      <c r="E327" s="37">
        <v>81</v>
      </c>
      <c r="F327" s="37">
        <v>0</v>
      </c>
      <c r="G327" s="37">
        <v>9</v>
      </c>
      <c r="H327" s="40">
        <f ca="1">LEFT(Music_Data[[#This Row],[Duration_minutes]],3)/60</f>
        <v>3.0666666666666669</v>
      </c>
      <c r="I327" s="39">
        <v>2.92E-2</v>
      </c>
      <c r="J327" s="41" t="str">
        <f t="shared" si="5"/>
        <v>No muy popular</v>
      </c>
      <c r="K327" s="43">
        <v>45534</v>
      </c>
    </row>
    <row r="328" spans="1:11">
      <c r="A328" s="34">
        <v>0.64600000000000002</v>
      </c>
      <c r="B328" s="32">
        <v>130</v>
      </c>
      <c r="C328" s="33">
        <v>0.64500000000000002</v>
      </c>
      <c r="D328" s="34">
        <v>0.29499999999999998</v>
      </c>
      <c r="E328" s="32">
        <v>81</v>
      </c>
      <c r="F328" s="32">
        <v>1</v>
      </c>
      <c r="G328" s="32">
        <v>5</v>
      </c>
      <c r="H328" s="35">
        <f ca="1">LEFT(Music_Data[[#This Row],[Duration_minutes]],3)/60</f>
        <v>2.5833333333333335</v>
      </c>
      <c r="I328" s="34">
        <v>6.1499999999999999E-2</v>
      </c>
      <c r="J328" s="36" t="str">
        <f t="shared" si="5"/>
        <v>No muy popular</v>
      </c>
      <c r="K328" s="42">
        <v>45569</v>
      </c>
    </row>
    <row r="329" spans="1:11">
      <c r="A329" s="39">
        <v>0.58599999999999997</v>
      </c>
      <c r="B329" s="37">
        <v>123</v>
      </c>
      <c r="C329" s="38">
        <v>0.89600000000000002</v>
      </c>
      <c r="D329" s="39">
        <v>0.64200000000000002</v>
      </c>
      <c r="E329" s="37">
        <v>81</v>
      </c>
      <c r="F329" s="37">
        <v>0</v>
      </c>
      <c r="G329" s="37">
        <v>10</v>
      </c>
      <c r="H329" s="40">
        <f ca="1">LEFT(Music_Data[[#This Row],[Duration_minutes]],3)/60</f>
        <v>2.0833333333333335</v>
      </c>
      <c r="I329" s="39">
        <v>0.104</v>
      </c>
      <c r="J329" s="41" t="str">
        <f t="shared" si="5"/>
        <v>No muy popular</v>
      </c>
      <c r="K329" s="43">
        <v>44939</v>
      </c>
    </row>
    <row r="330" spans="1:11">
      <c r="A330" s="34">
        <v>0.55800000000000005</v>
      </c>
      <c r="B330" s="32">
        <v>124</v>
      </c>
      <c r="C330" s="33">
        <v>0.94299999999999995</v>
      </c>
      <c r="D330" s="34">
        <v>0.60599999999999998</v>
      </c>
      <c r="E330" s="32">
        <v>81</v>
      </c>
      <c r="F330" s="32">
        <v>1</v>
      </c>
      <c r="G330" s="32">
        <v>2</v>
      </c>
      <c r="H330" s="35">
        <f ca="1">LEFT(Music_Data[[#This Row],[Duration_minutes]],3)/60</f>
        <v>3.0166666666666666</v>
      </c>
      <c r="I330" s="34">
        <v>2.5999999999999999E-3</v>
      </c>
      <c r="J330" s="36" t="str">
        <f t="shared" si="5"/>
        <v>No muy popular</v>
      </c>
      <c r="K330" s="42">
        <v>44967</v>
      </c>
    </row>
    <row r="331" spans="1:11">
      <c r="A331" s="39">
        <v>0.75</v>
      </c>
      <c r="B331" s="37">
        <v>117</v>
      </c>
      <c r="C331" s="38">
        <v>0.73199999999999998</v>
      </c>
      <c r="D331" s="39">
        <v>0.40100000000000002</v>
      </c>
      <c r="E331" s="37">
        <v>81</v>
      </c>
      <c r="F331" s="37">
        <v>0</v>
      </c>
      <c r="G331" s="37">
        <v>11</v>
      </c>
      <c r="H331" s="40">
        <f ca="1">LEFT(Music_Data[[#This Row],[Duration_minutes]],3)/60</f>
        <v>3.6333333333333333</v>
      </c>
      <c r="I331" s="39">
        <v>2.64E-3</v>
      </c>
      <c r="J331" s="41" t="str">
        <f t="shared" si="5"/>
        <v>No muy popular</v>
      </c>
      <c r="K331" s="43">
        <v>2015</v>
      </c>
    </row>
    <row r="332" spans="1:11">
      <c r="A332" s="34">
        <v>0.76400000000000001</v>
      </c>
      <c r="B332" s="32">
        <v>120</v>
      </c>
      <c r="C332" s="33">
        <v>0.88200000000000001</v>
      </c>
      <c r="D332" s="34">
        <v>0.88600000000000001</v>
      </c>
      <c r="E332" s="32">
        <v>81</v>
      </c>
      <c r="F332" s="32">
        <v>1</v>
      </c>
      <c r="G332" s="32">
        <v>11</v>
      </c>
      <c r="H332" s="35">
        <f ca="1">LEFT(Music_Data[[#This Row],[Duration_minutes]],3)/60</f>
        <v>3.55</v>
      </c>
      <c r="I332" s="34">
        <v>0.35899999999999999</v>
      </c>
      <c r="J332" s="36" t="str">
        <f t="shared" si="5"/>
        <v>No muy popular</v>
      </c>
      <c r="K332" s="42">
        <v>45345</v>
      </c>
    </row>
    <row r="333" spans="1:11">
      <c r="A333" s="39">
        <v>0.63200000000000001</v>
      </c>
      <c r="B333" s="37">
        <v>127</v>
      </c>
      <c r="C333" s="38">
        <v>0.76200000000000001</v>
      </c>
      <c r="D333" s="39">
        <v>0.28199999999999997</v>
      </c>
      <c r="E333" s="37">
        <v>81</v>
      </c>
      <c r="F333" s="37">
        <v>0</v>
      </c>
      <c r="G333" s="37">
        <v>6</v>
      </c>
      <c r="H333" s="40">
        <f ca="1">LEFT(Music_Data[[#This Row],[Duration_minutes]],3)/60</f>
        <v>2.4333333333333331</v>
      </c>
      <c r="I333" s="39">
        <v>0.51</v>
      </c>
      <c r="J333" s="41" t="str">
        <f t="shared" si="5"/>
        <v>No muy popular</v>
      </c>
      <c r="K333" s="43">
        <v>45576</v>
      </c>
    </row>
    <row r="334" spans="1:11">
      <c r="A334" s="34">
        <v>0.77500000000000002</v>
      </c>
      <c r="B334" s="32">
        <v>130</v>
      </c>
      <c r="C334" s="33">
        <v>0.81599999999999995</v>
      </c>
      <c r="D334" s="34">
        <v>0.52700000000000002</v>
      </c>
      <c r="E334" s="32">
        <v>81</v>
      </c>
      <c r="F334" s="32">
        <v>1</v>
      </c>
      <c r="G334" s="32">
        <v>11</v>
      </c>
      <c r="H334" s="35">
        <f ca="1">LEFT(Music_Data[[#This Row],[Duration_minutes]],3)/60</f>
        <v>2.8166666666666669</v>
      </c>
      <c r="I334" s="34">
        <v>0.16</v>
      </c>
      <c r="J334" s="36" t="str">
        <f t="shared" si="5"/>
        <v>No muy popular</v>
      </c>
      <c r="K334" s="42">
        <v>45555</v>
      </c>
    </row>
    <row r="335" spans="1:11">
      <c r="A335" s="39">
        <v>0.76700000000000002</v>
      </c>
      <c r="B335" s="37">
        <v>123</v>
      </c>
      <c r="C335" s="38">
        <v>0.53200000000000003</v>
      </c>
      <c r="D335" s="39">
        <v>0.755</v>
      </c>
      <c r="E335" s="37">
        <v>81</v>
      </c>
      <c r="F335" s="37">
        <v>1</v>
      </c>
      <c r="G335" s="37">
        <v>7</v>
      </c>
      <c r="H335" s="40">
        <f ca="1">LEFT(Music_Data[[#This Row],[Duration_minutes]],3)/60</f>
        <v>2.4333333333333331</v>
      </c>
      <c r="I335" s="39">
        <v>2.8700000000000002E-3</v>
      </c>
      <c r="J335" s="41" t="str">
        <f t="shared" si="5"/>
        <v>No muy popular</v>
      </c>
      <c r="K335" s="43">
        <v>45604</v>
      </c>
    </row>
    <row r="336" spans="1:11">
      <c r="A336" s="34">
        <v>0.95899999999999996</v>
      </c>
      <c r="B336" s="32">
        <v>119</v>
      </c>
      <c r="C336" s="33">
        <v>0.54100000000000004</v>
      </c>
      <c r="D336" s="34">
        <v>0.81200000000000006</v>
      </c>
      <c r="E336" s="32">
        <v>81</v>
      </c>
      <c r="F336" s="32">
        <v>0</v>
      </c>
      <c r="G336" s="32">
        <v>0</v>
      </c>
      <c r="H336" s="35">
        <f ca="1">LEFT(Music_Data[[#This Row],[Duration_minutes]],3)/60</f>
        <v>2.95</v>
      </c>
      <c r="I336" s="34">
        <v>6.6299999999999998E-2</v>
      </c>
      <c r="J336" s="36" t="str">
        <f t="shared" si="5"/>
        <v>No muy popular</v>
      </c>
      <c r="K336" s="42">
        <v>45450</v>
      </c>
    </row>
    <row r="337" spans="1:11">
      <c r="A337" s="39">
        <v>0.52400000000000002</v>
      </c>
      <c r="B337" s="37">
        <v>130</v>
      </c>
      <c r="C337" s="38">
        <v>0.65300000000000002</v>
      </c>
      <c r="D337" s="39">
        <v>0.55300000000000005</v>
      </c>
      <c r="E337" s="37">
        <v>81</v>
      </c>
      <c r="F337" s="37">
        <v>0</v>
      </c>
      <c r="G337" s="37">
        <v>11</v>
      </c>
      <c r="H337" s="40">
        <f ca="1">LEFT(Music_Data[[#This Row],[Duration_minutes]],3)/60</f>
        <v>2.4</v>
      </c>
      <c r="I337" s="39">
        <v>0.112</v>
      </c>
      <c r="J337" s="41" t="str">
        <f t="shared" si="5"/>
        <v>No muy popular</v>
      </c>
      <c r="K337" s="43">
        <v>45303</v>
      </c>
    </row>
    <row r="338" spans="1:11">
      <c r="A338" s="34">
        <v>0.73</v>
      </c>
      <c r="B338" s="32">
        <v>979</v>
      </c>
      <c r="C338" s="33">
        <v>0.83399999999999996</v>
      </c>
      <c r="D338" s="34">
        <v>0.44600000000000001</v>
      </c>
      <c r="E338" s="32">
        <v>81</v>
      </c>
      <c r="F338" s="32">
        <v>1</v>
      </c>
      <c r="G338" s="32">
        <v>8</v>
      </c>
      <c r="H338" s="35">
        <f ca="1">LEFT(Music_Data[[#This Row],[Duration_minutes]],3)/60</f>
        <v>2.85</v>
      </c>
      <c r="I338" s="34">
        <v>5.13E-3</v>
      </c>
      <c r="J338" s="36" t="str">
        <f t="shared" si="5"/>
        <v>No muy popular</v>
      </c>
      <c r="K338" s="42">
        <v>43406</v>
      </c>
    </row>
    <row r="339" spans="1:11">
      <c r="A339" s="39">
        <v>0.76400000000000001</v>
      </c>
      <c r="B339" s="37">
        <v>749</v>
      </c>
      <c r="C339" s="38">
        <v>0.88200000000000001</v>
      </c>
      <c r="D339" s="39">
        <v>0.88600000000000001</v>
      </c>
      <c r="E339" s="37">
        <v>81</v>
      </c>
      <c r="F339" s="37">
        <v>1</v>
      </c>
      <c r="G339" s="37">
        <v>11</v>
      </c>
      <c r="H339" s="40">
        <f ca="1">LEFT(Music_Data[[#This Row],[Duration_minutes]],3)/60</f>
        <v>2.5333333333333332</v>
      </c>
      <c r="I339" s="39">
        <v>0.35899999999999999</v>
      </c>
      <c r="J339" s="41" t="str">
        <f t="shared" si="5"/>
        <v>No muy popular</v>
      </c>
      <c r="K339" s="43">
        <v>45569</v>
      </c>
    </row>
    <row r="340" spans="1:11">
      <c r="A340" s="34">
        <v>0.57399999999999995</v>
      </c>
      <c r="B340" s="32">
        <v>170</v>
      </c>
      <c r="C340" s="33">
        <v>0.45900000000000002</v>
      </c>
      <c r="D340" s="34">
        <v>0.183</v>
      </c>
      <c r="E340" s="32">
        <v>81</v>
      </c>
      <c r="F340" s="32">
        <v>1</v>
      </c>
      <c r="G340" s="32">
        <v>3</v>
      </c>
      <c r="H340" s="35">
        <f ca="1">LEFT(Music_Data[[#This Row],[Duration_minutes]],3)/60</f>
        <v>3.5333333333333332</v>
      </c>
      <c r="I340" s="34">
        <v>0.60799999999999998</v>
      </c>
      <c r="J340" s="36" t="str">
        <f t="shared" si="5"/>
        <v>No muy popular</v>
      </c>
      <c r="K340" s="42">
        <v>41821</v>
      </c>
    </row>
    <row r="341" spans="1:11">
      <c r="A341" s="39">
        <v>0.64800000000000002</v>
      </c>
      <c r="B341" s="37">
        <v>123</v>
      </c>
      <c r="C341" s="38">
        <v>0.63300000000000001</v>
      </c>
      <c r="D341" s="39">
        <v>0.49</v>
      </c>
      <c r="E341" s="37">
        <v>81</v>
      </c>
      <c r="F341" s="37">
        <v>1</v>
      </c>
      <c r="G341" s="37">
        <v>4</v>
      </c>
      <c r="H341" s="40">
        <f ca="1">LEFT(Music_Data[[#This Row],[Duration_minutes]],3)/60</f>
        <v>3.35</v>
      </c>
      <c r="I341" s="39">
        <v>0.121</v>
      </c>
      <c r="J341" s="41" t="str">
        <f t="shared" si="5"/>
        <v>No muy popular</v>
      </c>
      <c r="K341" s="43">
        <v>45100</v>
      </c>
    </row>
    <row r="342" spans="1:11">
      <c r="A342" s="34">
        <v>0.77600000000000002</v>
      </c>
      <c r="B342" s="32">
        <v>123</v>
      </c>
      <c r="C342" s="33">
        <v>0.58499999999999996</v>
      </c>
      <c r="D342" s="34">
        <v>0.42699999999999999</v>
      </c>
      <c r="E342" s="32">
        <v>81</v>
      </c>
      <c r="F342" s="32">
        <v>1</v>
      </c>
      <c r="G342" s="32">
        <v>5</v>
      </c>
      <c r="H342" s="35">
        <f ca="1">LEFT(Music_Data[[#This Row],[Duration_minutes]],3)/60</f>
        <v>2.85</v>
      </c>
      <c r="I342" s="34">
        <v>5.7200000000000001E-2</v>
      </c>
      <c r="J342" s="36" t="str">
        <f t="shared" si="5"/>
        <v>No muy popular</v>
      </c>
      <c r="K342" s="42">
        <v>45611</v>
      </c>
    </row>
    <row r="343" spans="1:11">
      <c r="A343" s="39">
        <v>0.58499999999999996</v>
      </c>
      <c r="B343" s="37">
        <v>127</v>
      </c>
      <c r="C343" s="38">
        <v>0.44900000000000001</v>
      </c>
      <c r="D343" s="39">
        <v>0.21199999999999999</v>
      </c>
      <c r="E343" s="37">
        <v>81</v>
      </c>
      <c r="F343" s="37">
        <v>1</v>
      </c>
      <c r="G343" s="37">
        <v>5</v>
      </c>
      <c r="H343" s="40">
        <f ca="1">LEFT(Music_Data[[#This Row],[Duration_minutes]],3)/60</f>
        <v>2.85</v>
      </c>
      <c r="I343" s="39">
        <v>5.0900000000000001E-2</v>
      </c>
      <c r="J343" s="41" t="str">
        <f t="shared" si="5"/>
        <v>No muy popular</v>
      </c>
      <c r="K343" s="43">
        <v>45604</v>
      </c>
    </row>
    <row r="344" spans="1:11">
      <c r="A344" s="34">
        <v>0.44500000000000001</v>
      </c>
      <c r="B344" s="32">
        <v>141</v>
      </c>
      <c r="C344" s="33">
        <v>0.78100000000000003</v>
      </c>
      <c r="D344" s="34">
        <v>0.59099999999999997</v>
      </c>
      <c r="E344" s="32">
        <v>81</v>
      </c>
      <c r="F344" s="32">
        <v>1</v>
      </c>
      <c r="G344" s="32">
        <v>2</v>
      </c>
      <c r="H344" s="35">
        <f ca="1">LEFT(Music_Data[[#This Row],[Duration_minutes]],3)/60</f>
        <v>4.55</v>
      </c>
      <c r="I344" s="34">
        <v>0.47399999999999998</v>
      </c>
      <c r="J344" s="36" t="str">
        <f t="shared" si="5"/>
        <v>No muy popular</v>
      </c>
      <c r="K344" s="42">
        <v>42503</v>
      </c>
    </row>
    <row r="345" spans="1:11">
      <c r="A345" s="39">
        <v>0.86099999999999999</v>
      </c>
      <c r="B345" s="37">
        <v>119</v>
      </c>
      <c r="C345" s="38">
        <v>0.66300000000000003</v>
      </c>
      <c r="D345" s="39">
        <v>0.65400000000000003</v>
      </c>
      <c r="E345" s="37">
        <v>81</v>
      </c>
      <c r="F345" s="37">
        <v>0</v>
      </c>
      <c r="G345" s="37">
        <v>7</v>
      </c>
      <c r="H345" s="40">
        <f ca="1">LEFT(Music_Data[[#This Row],[Duration_minutes]],3)/60</f>
        <v>3.7833333333333332</v>
      </c>
      <c r="I345" s="39">
        <v>3.3799999999999997E-2</v>
      </c>
      <c r="J345" s="41" t="str">
        <f t="shared" si="5"/>
        <v>No muy popular</v>
      </c>
      <c r="K345" s="43">
        <v>45415</v>
      </c>
    </row>
    <row r="346" spans="1:11">
      <c r="A346" s="34">
        <v>0.69899999999999995</v>
      </c>
      <c r="B346" s="32">
        <v>109</v>
      </c>
      <c r="C346" s="33">
        <v>0.75900000000000001</v>
      </c>
      <c r="D346" s="34">
        <v>0.90700000000000003</v>
      </c>
      <c r="E346" s="32">
        <v>81</v>
      </c>
      <c r="F346" s="32">
        <v>0</v>
      </c>
      <c r="G346" s="32">
        <v>0</v>
      </c>
      <c r="H346" s="35">
        <f ca="1">LEFT(Music_Data[[#This Row],[Duration_minutes]],3)/60</f>
        <v>3.5</v>
      </c>
      <c r="I346" s="34">
        <v>0.20200000000000001</v>
      </c>
      <c r="J346" s="36" t="str">
        <f t="shared" si="5"/>
        <v>No muy popular</v>
      </c>
      <c r="K346" s="42">
        <v>41275</v>
      </c>
    </row>
    <row r="347" spans="1:11">
      <c r="A347" s="39">
        <v>0.80600000000000005</v>
      </c>
      <c r="B347" s="37">
        <v>126</v>
      </c>
      <c r="C347" s="38">
        <v>0.84299999999999997</v>
      </c>
      <c r="D347" s="39">
        <v>0.61299999999999999</v>
      </c>
      <c r="E347" s="37">
        <v>81</v>
      </c>
      <c r="F347" s="37">
        <v>0</v>
      </c>
      <c r="G347" s="37">
        <v>4</v>
      </c>
      <c r="H347" s="40">
        <f ca="1">LEFT(Music_Data[[#This Row],[Duration_minutes]],3)/60</f>
        <v>2.8333333333333335</v>
      </c>
      <c r="I347" s="39">
        <v>0.14299999999999999</v>
      </c>
      <c r="J347" s="41" t="str">
        <f t="shared" si="5"/>
        <v>No muy popular</v>
      </c>
      <c r="K347" s="43">
        <v>45324</v>
      </c>
    </row>
    <row r="348" spans="1:11">
      <c r="A348" s="34">
        <v>0.80600000000000005</v>
      </c>
      <c r="B348" s="32">
        <v>117</v>
      </c>
      <c r="C348" s="33">
        <v>0.85099999999999998</v>
      </c>
      <c r="D348" s="34">
        <v>0.77400000000000002</v>
      </c>
      <c r="E348" s="32">
        <v>81</v>
      </c>
      <c r="F348" s="32">
        <v>1</v>
      </c>
      <c r="G348" s="32">
        <v>4</v>
      </c>
      <c r="H348" s="35">
        <f ca="1">LEFT(Music_Data[[#This Row],[Duration_minutes]],3)/60</f>
        <v>2.4333333333333331</v>
      </c>
      <c r="I348" s="34">
        <v>0.11899999999999999</v>
      </c>
      <c r="J348" s="36" t="str">
        <f t="shared" si="5"/>
        <v>No muy popular</v>
      </c>
      <c r="K348" s="42">
        <v>44862</v>
      </c>
    </row>
    <row r="349" spans="1:11">
      <c r="A349" s="39">
        <v>0.85599999999999998</v>
      </c>
      <c r="B349" s="37">
        <v>155</v>
      </c>
      <c r="C349" s="38">
        <v>0.59599999999999997</v>
      </c>
      <c r="D349" s="39">
        <v>0.74299999999999999</v>
      </c>
      <c r="E349" s="37">
        <v>81</v>
      </c>
      <c r="F349" s="37">
        <v>0</v>
      </c>
      <c r="G349" s="37">
        <v>4</v>
      </c>
      <c r="H349" s="40">
        <f ca="1">LEFT(Music_Data[[#This Row],[Duration_minutes]],3)/60</f>
        <v>3.5833333333333335</v>
      </c>
      <c r="I349" s="39">
        <v>2.1100000000000001E-2</v>
      </c>
      <c r="J349" s="41" t="str">
        <f t="shared" si="5"/>
        <v>No muy popular</v>
      </c>
      <c r="K349" s="43">
        <v>40308</v>
      </c>
    </row>
    <row r="350" spans="1:11">
      <c r="A350" s="34">
        <v>0.82399999999999995</v>
      </c>
      <c r="B350" s="32">
        <v>949</v>
      </c>
      <c r="C350" s="33">
        <v>0.70899999999999996</v>
      </c>
      <c r="D350" s="34">
        <v>0.86699999999999999</v>
      </c>
      <c r="E350" s="32">
        <v>81</v>
      </c>
      <c r="F350" s="32">
        <v>1</v>
      </c>
      <c r="G350" s="32">
        <v>1</v>
      </c>
      <c r="H350" s="35">
        <f ca="1">LEFT(Music_Data[[#This Row],[Duration_minutes]],3)/60</f>
        <v>3.5166666666666666</v>
      </c>
      <c r="I350" s="34">
        <v>0.20699999999999999</v>
      </c>
      <c r="J350" s="36" t="str">
        <f t="shared" si="5"/>
        <v>No muy popular</v>
      </c>
      <c r="K350" s="42">
        <v>45499</v>
      </c>
    </row>
    <row r="351" spans="1:11">
      <c r="A351" s="39">
        <v>0.76700000000000002</v>
      </c>
      <c r="B351" s="37">
        <v>117</v>
      </c>
      <c r="C351" s="38">
        <v>0.59199999999999997</v>
      </c>
      <c r="D351" s="39">
        <v>0.32800000000000001</v>
      </c>
      <c r="E351" s="37">
        <v>81</v>
      </c>
      <c r="F351" s="37">
        <v>0</v>
      </c>
      <c r="G351" s="37">
        <v>9</v>
      </c>
      <c r="H351" s="40">
        <f ca="1">LEFT(Music_Data[[#This Row],[Duration_minutes]],3)/60</f>
        <v>3.0333333333333332</v>
      </c>
      <c r="I351" s="39">
        <v>2.0999999999999999E-3</v>
      </c>
      <c r="J351" s="41" t="str">
        <f t="shared" si="5"/>
        <v>No muy popular</v>
      </c>
      <c r="K351" s="43">
        <v>44848</v>
      </c>
    </row>
    <row r="352" spans="1:11">
      <c r="A352" s="34">
        <v>0.79500000000000004</v>
      </c>
      <c r="B352" s="32">
        <v>101</v>
      </c>
      <c r="C352" s="33">
        <v>0.45800000000000002</v>
      </c>
      <c r="D352" s="34">
        <v>0.51300000000000001</v>
      </c>
      <c r="E352" s="32">
        <v>81</v>
      </c>
      <c r="F352" s="32">
        <v>1</v>
      </c>
      <c r="G352" s="32">
        <v>0</v>
      </c>
      <c r="H352" s="35">
        <f ca="1">LEFT(Music_Data[[#This Row],[Duration_minutes]],3)/60</f>
        <v>3.4</v>
      </c>
      <c r="I352" s="34">
        <v>3.16E-3</v>
      </c>
      <c r="J352" s="36" t="str">
        <f t="shared" si="5"/>
        <v>No muy popular</v>
      </c>
      <c r="K352" s="42">
        <v>41856</v>
      </c>
    </row>
    <row r="353" spans="1:11">
      <c r="A353" s="39">
        <v>0.93500000000000005</v>
      </c>
      <c r="B353" s="37">
        <v>148</v>
      </c>
      <c r="C353" s="38">
        <v>0.627</v>
      </c>
      <c r="D353" s="39">
        <v>0.28699999999999998</v>
      </c>
      <c r="E353" s="37">
        <v>81</v>
      </c>
      <c r="F353" s="37">
        <v>1</v>
      </c>
      <c r="G353" s="37">
        <v>5</v>
      </c>
      <c r="H353" s="40">
        <f ca="1">LEFT(Music_Data[[#This Row],[Duration_minutes]],3)/60</f>
        <v>2.65</v>
      </c>
      <c r="I353" s="39">
        <v>9.1999999999999998E-3</v>
      </c>
      <c r="J353" s="41" t="str">
        <f t="shared" si="5"/>
        <v>No muy popular</v>
      </c>
      <c r="K353" s="43">
        <v>45303</v>
      </c>
    </row>
    <row r="354" spans="1:11">
      <c r="A354" s="34">
        <v>0.88100000000000001</v>
      </c>
      <c r="B354" s="32">
        <v>791</v>
      </c>
      <c r="C354" s="33">
        <v>0.41299999999999998</v>
      </c>
      <c r="D354" s="34">
        <v>0.36399999999999999</v>
      </c>
      <c r="E354" s="32">
        <v>81</v>
      </c>
      <c r="F354" s="32">
        <v>0</v>
      </c>
      <c r="G354" s="32">
        <v>11</v>
      </c>
      <c r="H354" s="35">
        <f ca="1">LEFT(Music_Data[[#This Row],[Duration_minutes]],3)/60</f>
        <v>14.5</v>
      </c>
      <c r="I354" s="34">
        <v>5.9899999999999999E-5</v>
      </c>
      <c r="J354" s="36" t="str">
        <f t="shared" si="5"/>
        <v>No muy popular</v>
      </c>
      <c r="K354" s="42">
        <v>42872</v>
      </c>
    </row>
    <row r="355" spans="1:11">
      <c r="A355" s="39">
        <v>0.93799999999999994</v>
      </c>
      <c r="B355" s="37">
        <v>132</v>
      </c>
      <c r="C355" s="38">
        <v>0.61799999999999999</v>
      </c>
      <c r="D355" s="39">
        <v>0.875</v>
      </c>
      <c r="E355" s="37">
        <v>81</v>
      </c>
      <c r="F355" s="37">
        <v>1</v>
      </c>
      <c r="G355" s="37">
        <v>9</v>
      </c>
      <c r="H355" s="40">
        <f ca="1">LEFT(Music_Data[[#This Row],[Duration_minutes]],3)/60</f>
        <v>2.6666666666666665</v>
      </c>
      <c r="I355" s="39">
        <v>1.7899999999999999E-2</v>
      </c>
      <c r="J355" s="41" t="str">
        <f t="shared" si="5"/>
        <v>No muy popular</v>
      </c>
      <c r="K355" s="43">
        <v>40431</v>
      </c>
    </row>
    <row r="356" spans="1:11">
      <c r="A356" s="34">
        <v>0.77600000000000002</v>
      </c>
      <c r="B356" s="32">
        <v>129</v>
      </c>
      <c r="C356" s="33">
        <v>0.58499999999999996</v>
      </c>
      <c r="D356" s="34">
        <v>0.42699999999999999</v>
      </c>
      <c r="E356" s="32">
        <v>81</v>
      </c>
      <c r="F356" s="32">
        <v>1</v>
      </c>
      <c r="G356" s="32">
        <v>5</v>
      </c>
      <c r="H356" s="35">
        <f ca="1">LEFT(Music_Data[[#This Row],[Duration_minutes]],3)/60</f>
        <v>2.4166666666666665</v>
      </c>
      <c r="I356" s="34">
        <v>5.7200000000000001E-2</v>
      </c>
      <c r="J356" s="36" t="str">
        <f t="shared" si="5"/>
        <v>No muy popular</v>
      </c>
      <c r="K356" s="42">
        <v>45548</v>
      </c>
    </row>
    <row r="357" spans="1:11">
      <c r="A357" s="39">
        <v>0.89700000000000002</v>
      </c>
      <c r="B357" s="37">
        <v>839</v>
      </c>
      <c r="C357" s="38">
        <v>0.434</v>
      </c>
      <c r="D357" s="39">
        <v>0.68500000000000005</v>
      </c>
      <c r="E357" s="37">
        <v>81</v>
      </c>
      <c r="F357" s="37">
        <v>1</v>
      </c>
      <c r="G357" s="37">
        <v>0</v>
      </c>
      <c r="H357" s="40">
        <f ca="1">LEFT(Music_Data[[#This Row],[Duration_minutes]],3)/60</f>
        <v>3.3666666666666667</v>
      </c>
      <c r="I357" s="39">
        <v>1.03E-2</v>
      </c>
      <c r="J357" s="41" t="str">
        <f t="shared" si="5"/>
        <v>No muy popular</v>
      </c>
      <c r="K357" s="43">
        <v>44127</v>
      </c>
    </row>
    <row r="358" spans="1:11">
      <c r="A358" s="34">
        <v>0.85899999999999999</v>
      </c>
      <c r="B358" s="32">
        <v>121</v>
      </c>
      <c r="C358" s="33">
        <v>0.72799999999999998</v>
      </c>
      <c r="D358" s="34">
        <v>0.53500000000000003</v>
      </c>
      <c r="E358" s="32">
        <v>81</v>
      </c>
      <c r="F358" s="32">
        <v>0</v>
      </c>
      <c r="G358" s="32">
        <v>5</v>
      </c>
      <c r="H358" s="35">
        <f ca="1">LEFT(Music_Data[[#This Row],[Duration_minutes]],3)/60</f>
        <v>3.8166666666666669</v>
      </c>
      <c r="I358" s="34">
        <v>4.0099999999999997E-2</v>
      </c>
      <c r="J358" s="36" t="str">
        <f t="shared" si="5"/>
        <v>No muy popular</v>
      </c>
      <c r="K358" s="42">
        <v>41901</v>
      </c>
    </row>
    <row r="359" spans="1:11">
      <c r="A359" s="39">
        <v>0.85599999999999998</v>
      </c>
      <c r="B359" s="37">
        <v>123</v>
      </c>
      <c r="C359" s="38">
        <v>0.59599999999999997</v>
      </c>
      <c r="D359" s="39">
        <v>0.74299999999999999</v>
      </c>
      <c r="E359" s="37">
        <v>81</v>
      </c>
      <c r="F359" s="37">
        <v>0</v>
      </c>
      <c r="G359" s="37">
        <v>4</v>
      </c>
      <c r="H359" s="40">
        <f ca="1">LEFT(Music_Data[[#This Row],[Duration_minutes]],3)/60</f>
        <v>4.2</v>
      </c>
      <c r="I359" s="39">
        <v>2.1100000000000001E-2</v>
      </c>
      <c r="J359" s="41" t="str">
        <f t="shared" si="5"/>
        <v>No muy popular</v>
      </c>
      <c r="K359" s="43">
        <v>1972</v>
      </c>
    </row>
    <row r="360" spans="1:11">
      <c r="A360" s="34">
        <v>0.79500000000000004</v>
      </c>
      <c r="B360" s="32">
        <v>110</v>
      </c>
      <c r="C360" s="33">
        <v>0.84499999999999997</v>
      </c>
      <c r="D360" s="34">
        <v>0.68100000000000005</v>
      </c>
      <c r="E360" s="32">
        <v>81</v>
      </c>
      <c r="F360" s="32">
        <v>0</v>
      </c>
      <c r="G360" s="32">
        <v>9</v>
      </c>
      <c r="H360" s="35">
        <f ca="1">LEFT(Music_Data[[#This Row],[Duration_minutes]],3)/60</f>
        <v>3.6166666666666667</v>
      </c>
      <c r="I360" s="34">
        <v>0.34300000000000003</v>
      </c>
      <c r="J360" s="36" t="str">
        <f t="shared" si="5"/>
        <v>No muy popular</v>
      </c>
      <c r="K360" s="42">
        <v>39814</v>
      </c>
    </row>
    <row r="361" spans="1:11">
      <c r="A361" s="39">
        <v>0.71199999999999997</v>
      </c>
      <c r="B361" s="37">
        <v>130</v>
      </c>
      <c r="C361" s="38">
        <v>0.91100000000000003</v>
      </c>
      <c r="D361" s="39">
        <v>0.42499999999999999</v>
      </c>
      <c r="E361" s="37">
        <v>81</v>
      </c>
      <c r="F361" s="37">
        <v>0</v>
      </c>
      <c r="G361" s="37">
        <v>1</v>
      </c>
      <c r="H361" s="40">
        <f ca="1">LEFT(Music_Data[[#This Row],[Duration_minutes]],3)/60</f>
        <v>3</v>
      </c>
      <c r="I361" s="39">
        <v>9.01E-2</v>
      </c>
      <c r="J361" s="41" t="str">
        <f t="shared" si="5"/>
        <v>No muy popular</v>
      </c>
      <c r="K361" s="43">
        <v>45295</v>
      </c>
    </row>
    <row r="362" spans="1:11">
      <c r="A362" s="34">
        <v>0.56999999999999995</v>
      </c>
      <c r="B362" s="32">
        <v>827</v>
      </c>
      <c r="C362" s="33">
        <v>0.73399999999999999</v>
      </c>
      <c r="D362" s="34">
        <v>0.68899999999999995</v>
      </c>
      <c r="E362" s="32">
        <v>81</v>
      </c>
      <c r="F362" s="32">
        <v>0</v>
      </c>
      <c r="G362" s="32">
        <v>7</v>
      </c>
      <c r="H362" s="35">
        <f ca="1">LEFT(Music_Data[[#This Row],[Duration_minutes]],3)/60</f>
        <v>3.2</v>
      </c>
      <c r="I362" s="34">
        <v>0.84699999999999998</v>
      </c>
      <c r="J362" s="36" t="str">
        <f t="shared" si="5"/>
        <v>No muy popular</v>
      </c>
      <c r="K362" s="42">
        <v>42157</v>
      </c>
    </row>
    <row r="363" spans="1:11">
      <c r="A363" s="39">
        <v>0.66400000000000003</v>
      </c>
      <c r="B363" s="37">
        <v>144</v>
      </c>
      <c r="C363" s="38">
        <v>0.57499999999999996</v>
      </c>
      <c r="D363" s="39">
        <v>0.437</v>
      </c>
      <c r="E363" s="37">
        <v>81</v>
      </c>
      <c r="F363" s="37">
        <v>0</v>
      </c>
      <c r="G363" s="37">
        <v>4</v>
      </c>
      <c r="H363" s="40">
        <f ca="1">LEFT(Music_Data[[#This Row],[Duration_minutes]],3)/60</f>
        <v>3.3166666666666669</v>
      </c>
      <c r="I363" s="39">
        <v>0.63700000000000001</v>
      </c>
      <c r="J363" s="41" t="str">
        <f t="shared" si="5"/>
        <v>No muy popular</v>
      </c>
      <c r="K363" s="43">
        <v>43161</v>
      </c>
    </row>
    <row r="364" spans="1:11">
      <c r="A364" s="34">
        <v>0.129</v>
      </c>
      <c r="B364" s="32">
        <v>115</v>
      </c>
      <c r="C364" s="33">
        <v>0.48299999999999998</v>
      </c>
      <c r="D364" s="34">
        <v>0.20300000000000001</v>
      </c>
      <c r="E364" s="32">
        <v>81</v>
      </c>
      <c r="F364" s="32">
        <v>0</v>
      </c>
      <c r="G364" s="32">
        <v>5</v>
      </c>
      <c r="H364" s="35">
        <f ca="1">LEFT(Music_Data[[#This Row],[Duration_minutes]],3)/60</f>
        <v>4.6500000000000004</v>
      </c>
      <c r="I364" s="34">
        <v>0.94699999999999995</v>
      </c>
      <c r="J364" s="36" t="str">
        <f t="shared" si="5"/>
        <v>No muy popular</v>
      </c>
      <c r="K364" s="42">
        <v>41002</v>
      </c>
    </row>
    <row r="365" spans="1:11">
      <c r="A365" s="39">
        <v>0.75</v>
      </c>
      <c r="B365" s="37">
        <v>959</v>
      </c>
      <c r="C365" s="38">
        <v>0.73199999999999998</v>
      </c>
      <c r="D365" s="39">
        <v>0.40100000000000002</v>
      </c>
      <c r="E365" s="37">
        <v>81</v>
      </c>
      <c r="F365" s="37">
        <v>0</v>
      </c>
      <c r="G365" s="37">
        <v>11</v>
      </c>
      <c r="H365" s="40">
        <f ca="1">LEFT(Music_Data[[#This Row],[Duration_minutes]],3)/60</f>
        <v>3.4333333333333331</v>
      </c>
      <c r="I365" s="39">
        <v>2.64E-3</v>
      </c>
      <c r="J365" s="41" t="str">
        <f t="shared" si="5"/>
        <v>No muy popular</v>
      </c>
      <c r="K365" s="43">
        <v>45212</v>
      </c>
    </row>
    <row r="366" spans="1:11">
      <c r="A366" s="34">
        <v>0.94299999999999995</v>
      </c>
      <c r="B366" s="32">
        <v>122</v>
      </c>
      <c r="C366" s="33">
        <v>0.442</v>
      </c>
      <c r="D366" s="34">
        <v>0.78100000000000003</v>
      </c>
      <c r="E366" s="32">
        <v>80</v>
      </c>
      <c r="F366" s="32">
        <v>1</v>
      </c>
      <c r="G366" s="32">
        <v>3</v>
      </c>
      <c r="H366" s="35">
        <f ca="1">LEFT(Music_Data[[#This Row],[Duration_minutes]],3)/60</f>
        <v>3.3166666666666669</v>
      </c>
      <c r="I366" s="34">
        <v>2.9299999999999999E-3</v>
      </c>
      <c r="J366" s="36" t="str">
        <f t="shared" si="5"/>
        <v>No muy popular</v>
      </c>
      <c r="K366" s="42">
        <v>45245</v>
      </c>
    </row>
    <row r="367" spans="1:11">
      <c r="A367" s="39">
        <v>0.83599999999999997</v>
      </c>
      <c r="B367" s="37">
        <v>120</v>
      </c>
      <c r="C367" s="38">
        <v>0.74299999999999999</v>
      </c>
      <c r="D367" s="39">
        <v>0.82</v>
      </c>
      <c r="E367" s="37">
        <v>80</v>
      </c>
      <c r="F367" s="37">
        <v>1</v>
      </c>
      <c r="G367" s="37">
        <v>2</v>
      </c>
      <c r="H367" s="40">
        <f ca="1">LEFT(Music_Data[[#This Row],[Duration_minutes]],3)/60</f>
        <v>4.95</v>
      </c>
      <c r="I367" s="39">
        <v>8.0399999999999999E-2</v>
      </c>
      <c r="J367" s="41" t="str">
        <f t="shared" si="5"/>
        <v>No muy popular</v>
      </c>
      <c r="K367" s="43">
        <v>44848</v>
      </c>
    </row>
    <row r="368" spans="1:11">
      <c r="A368" s="34">
        <v>0.67300000000000004</v>
      </c>
      <c r="B368" s="32">
        <v>950</v>
      </c>
      <c r="C368" s="33">
        <v>0.52900000000000003</v>
      </c>
      <c r="D368" s="34">
        <v>0.36599999999999999</v>
      </c>
      <c r="E368" s="32">
        <v>80</v>
      </c>
      <c r="F368" s="32">
        <v>1</v>
      </c>
      <c r="G368" s="32">
        <v>0</v>
      </c>
      <c r="H368" s="35">
        <f ca="1">LEFT(Music_Data[[#This Row],[Duration_minutes]],3)/60</f>
        <v>2.9666666666666668</v>
      </c>
      <c r="I368" s="34">
        <v>3.0699999999999998E-4</v>
      </c>
      <c r="J368" s="36" t="str">
        <f t="shared" si="5"/>
        <v>No muy popular</v>
      </c>
      <c r="K368" s="42">
        <v>43392</v>
      </c>
    </row>
    <row r="369" spans="1:11">
      <c r="A369" s="39">
        <v>0.73299999999999998</v>
      </c>
      <c r="B369" s="37">
        <v>950</v>
      </c>
      <c r="C369" s="38">
        <v>0.84699999999999998</v>
      </c>
      <c r="D369" s="39">
        <v>0.20200000000000001</v>
      </c>
      <c r="E369" s="37">
        <v>80</v>
      </c>
      <c r="F369" s="37">
        <v>0</v>
      </c>
      <c r="G369" s="37">
        <v>10</v>
      </c>
      <c r="H369" s="40">
        <f ca="1">LEFT(Music_Data[[#This Row],[Duration_minutes]],3)/60</f>
        <v>2.9666666666666668</v>
      </c>
      <c r="I369" s="39">
        <v>5.7400000000000003E-3</v>
      </c>
      <c r="J369" s="41" t="str">
        <f t="shared" si="5"/>
        <v>No muy popular</v>
      </c>
      <c r="K369" s="43">
        <v>43392</v>
      </c>
    </row>
    <row r="370" spans="1:11">
      <c r="A370" s="34">
        <v>0.48599999999999999</v>
      </c>
      <c r="B370" s="32">
        <v>140</v>
      </c>
      <c r="C370" s="33">
        <v>0.78400000000000003</v>
      </c>
      <c r="D370" s="34">
        <v>8.9399999999999993E-2</v>
      </c>
      <c r="E370" s="32">
        <v>80</v>
      </c>
      <c r="F370" s="32">
        <v>0</v>
      </c>
      <c r="G370" s="32">
        <v>5</v>
      </c>
      <c r="H370" s="35">
        <f ca="1">LEFT(Music_Data[[#This Row],[Duration_minutes]],3)/60</f>
        <v>3.4833333333333334</v>
      </c>
      <c r="I370" s="34">
        <v>5.3800000000000001E-2</v>
      </c>
      <c r="J370" s="36" t="str">
        <f t="shared" si="5"/>
        <v>No muy popular</v>
      </c>
      <c r="K370" s="42">
        <v>45555</v>
      </c>
    </row>
    <row r="371" spans="1:11">
      <c r="A371" s="39">
        <v>0.46400000000000002</v>
      </c>
      <c r="B371" s="37">
        <v>148</v>
      </c>
      <c r="C371" s="38">
        <v>0.373</v>
      </c>
      <c r="D371" s="39">
        <v>0.30099999999999999</v>
      </c>
      <c r="E371" s="37">
        <v>80</v>
      </c>
      <c r="F371" s="37">
        <v>0</v>
      </c>
      <c r="G371" s="37">
        <v>4</v>
      </c>
      <c r="H371" s="40">
        <f ca="1">LEFT(Music_Data[[#This Row],[Duration_minutes]],3)/60</f>
        <v>6.1833333333333336</v>
      </c>
      <c r="I371" s="39">
        <v>0.86</v>
      </c>
      <c r="J371" s="41" t="str">
        <f t="shared" si="5"/>
        <v>No muy popular</v>
      </c>
      <c r="K371" s="43">
        <v>39209</v>
      </c>
    </row>
    <row r="372" spans="1:11">
      <c r="A372" s="34">
        <v>0.63100000000000001</v>
      </c>
      <c r="B372" s="32">
        <v>130</v>
      </c>
      <c r="C372" s="33">
        <v>0.70599999999999996</v>
      </c>
      <c r="D372" s="34">
        <v>0.28899999999999998</v>
      </c>
      <c r="E372" s="32">
        <v>80</v>
      </c>
      <c r="F372" s="32">
        <v>0</v>
      </c>
      <c r="G372" s="32">
        <v>0</v>
      </c>
      <c r="H372" s="35">
        <f ca="1">LEFT(Music_Data[[#This Row],[Duration_minutes]],3)/60</f>
        <v>3.8166666666666669</v>
      </c>
      <c r="I372" s="34">
        <v>0.65600000000000003</v>
      </c>
      <c r="J372" s="36" t="str">
        <f t="shared" si="5"/>
        <v>No muy popular</v>
      </c>
      <c r="K372" s="42">
        <v>26390</v>
      </c>
    </row>
    <row r="373" spans="1:11">
      <c r="A373" s="39">
        <v>0.50900000000000001</v>
      </c>
      <c r="B373" s="37">
        <v>940</v>
      </c>
      <c r="C373" s="38">
        <v>0.57799999999999996</v>
      </c>
      <c r="D373" s="39">
        <v>0.58599999999999997</v>
      </c>
      <c r="E373" s="37">
        <v>80</v>
      </c>
      <c r="F373" s="37">
        <v>1</v>
      </c>
      <c r="G373" s="37">
        <v>2</v>
      </c>
      <c r="H373" s="40">
        <f ca="1">LEFT(Music_Data[[#This Row],[Duration_minutes]],3)/60</f>
        <v>2.4500000000000002</v>
      </c>
      <c r="I373" s="39">
        <v>0.13</v>
      </c>
      <c r="J373" s="41" t="str">
        <f t="shared" si="5"/>
        <v>No muy popular</v>
      </c>
      <c r="K373" s="43">
        <v>45520</v>
      </c>
    </row>
    <row r="374" spans="1:11">
      <c r="A374" s="34">
        <v>0.58599999999999997</v>
      </c>
      <c r="B374" s="32">
        <v>171</v>
      </c>
      <c r="C374" s="33">
        <v>0.434</v>
      </c>
      <c r="D374" s="34">
        <v>0.23899999999999999</v>
      </c>
      <c r="E374" s="32">
        <v>80</v>
      </c>
      <c r="F374" s="32">
        <v>1</v>
      </c>
      <c r="G374" s="32">
        <v>9</v>
      </c>
      <c r="H374" s="35">
        <f ca="1">LEFT(Music_Data[[#This Row],[Duration_minutes]],3)/60</f>
        <v>3.1166666666666667</v>
      </c>
      <c r="I374" s="34">
        <v>0.753</v>
      </c>
      <c r="J374" s="36" t="str">
        <f t="shared" si="5"/>
        <v>No muy popular</v>
      </c>
      <c r="K374" s="42">
        <v>26330</v>
      </c>
    </row>
    <row r="375" spans="1:11">
      <c r="A375" s="39">
        <v>0.68400000000000005</v>
      </c>
      <c r="B375" s="37">
        <v>141</v>
      </c>
      <c r="C375" s="38">
        <v>0.69199999999999995</v>
      </c>
      <c r="D375" s="39">
        <v>0.40600000000000003</v>
      </c>
      <c r="E375" s="37">
        <v>80</v>
      </c>
      <c r="F375" s="37">
        <v>1</v>
      </c>
      <c r="G375" s="37">
        <v>6</v>
      </c>
      <c r="H375" s="40">
        <f ca="1">LEFT(Music_Data[[#This Row],[Duration_minutes]],3)/60</f>
        <v>3.3166666666666669</v>
      </c>
      <c r="I375" s="39">
        <v>0.13100000000000001</v>
      </c>
      <c r="J375" s="41" t="str">
        <f t="shared" si="5"/>
        <v>No muy popular</v>
      </c>
      <c r="K375" s="43">
        <v>43952</v>
      </c>
    </row>
    <row r="376" spans="1:11">
      <c r="A376" s="34">
        <v>0.307</v>
      </c>
      <c r="B376" s="32">
        <v>127</v>
      </c>
      <c r="C376" s="33">
        <v>0.81</v>
      </c>
      <c r="D376" s="34">
        <v>0.69699999999999995</v>
      </c>
      <c r="E376" s="32">
        <v>80</v>
      </c>
      <c r="F376" s="32">
        <v>1</v>
      </c>
      <c r="G376" s="32">
        <v>9</v>
      </c>
      <c r="H376" s="35">
        <f ca="1">LEFT(Music_Data[[#This Row],[Duration_minutes]],3)/60</f>
        <v>3.9333333333333331</v>
      </c>
      <c r="I376" s="34">
        <v>0.16</v>
      </c>
      <c r="J376" s="36" t="str">
        <f t="shared" si="5"/>
        <v>No muy popular</v>
      </c>
      <c r="K376" s="42">
        <v>42157</v>
      </c>
    </row>
    <row r="377" spans="1:11">
      <c r="A377" s="39">
        <v>0.751</v>
      </c>
      <c r="B377" s="37">
        <v>170</v>
      </c>
      <c r="C377" s="38">
        <v>0.88</v>
      </c>
      <c r="D377" s="39">
        <v>0.88400000000000001</v>
      </c>
      <c r="E377" s="37">
        <v>80</v>
      </c>
      <c r="F377" s="37">
        <v>0</v>
      </c>
      <c r="G377" s="37">
        <v>7</v>
      </c>
      <c r="H377" s="40">
        <f ca="1">LEFT(Music_Data[[#This Row],[Duration_minutes]],3)/60</f>
        <v>3.2333333333333334</v>
      </c>
      <c r="I377" s="39">
        <v>0.17699999999999999</v>
      </c>
      <c r="J377" s="41" t="str">
        <f t="shared" si="5"/>
        <v>No muy popular</v>
      </c>
      <c r="K377" s="43">
        <v>44848</v>
      </c>
    </row>
    <row r="378" spans="1:11">
      <c r="A378" s="34">
        <v>0.68500000000000005</v>
      </c>
      <c r="B378" s="32">
        <v>157</v>
      </c>
      <c r="C378" s="33">
        <v>0.78200000000000003</v>
      </c>
      <c r="D378" s="34">
        <v>0.60299999999999998</v>
      </c>
      <c r="E378" s="32">
        <v>80</v>
      </c>
      <c r="F378" s="32">
        <v>1</v>
      </c>
      <c r="G378" s="32">
        <v>4</v>
      </c>
      <c r="H378" s="35">
        <f ca="1">LEFT(Music_Data[[#This Row],[Duration_minutes]],3)/60</f>
        <v>3.3333333333333335</v>
      </c>
      <c r="I378" s="34">
        <v>0.16600000000000001</v>
      </c>
      <c r="J378" s="36" t="str">
        <f t="shared" si="5"/>
        <v>No muy popular</v>
      </c>
      <c r="K378" s="42">
        <v>45583</v>
      </c>
    </row>
    <row r="379" spans="1:11">
      <c r="A379" s="39">
        <v>0.627</v>
      </c>
      <c r="B379" s="37">
        <v>108</v>
      </c>
      <c r="C379" s="38">
        <v>0.46800000000000003</v>
      </c>
      <c r="D379" s="39">
        <v>0.159</v>
      </c>
      <c r="E379" s="37">
        <v>80</v>
      </c>
      <c r="F379" s="37">
        <v>1</v>
      </c>
      <c r="G379" s="37">
        <v>6</v>
      </c>
      <c r="H379" s="40">
        <f ca="1">LEFT(Music_Data[[#This Row],[Duration_minutes]],3)/60</f>
        <v>3.2666666666666666</v>
      </c>
      <c r="I379" s="39">
        <v>2.81E-2</v>
      </c>
      <c r="J379" s="41" t="str">
        <f t="shared" si="5"/>
        <v>No muy popular</v>
      </c>
      <c r="K379" s="43">
        <v>45548</v>
      </c>
    </row>
    <row r="380" spans="1:11">
      <c r="A380" s="34">
        <v>0.77</v>
      </c>
      <c r="B380" s="32">
        <v>128</v>
      </c>
      <c r="C380" s="33">
        <v>0.69399999999999995</v>
      </c>
      <c r="D380" s="34">
        <v>0.16300000000000001</v>
      </c>
      <c r="E380" s="32">
        <v>80</v>
      </c>
      <c r="F380" s="32">
        <v>1</v>
      </c>
      <c r="G380" s="32">
        <v>6</v>
      </c>
      <c r="H380" s="35">
        <f ca="1">LEFT(Music_Data[[#This Row],[Duration_minutes]],3)/60</f>
        <v>2.85</v>
      </c>
      <c r="I380" s="34">
        <v>0.17599999999999999</v>
      </c>
      <c r="J380" s="36" t="str">
        <f t="shared" si="5"/>
        <v>No muy popular</v>
      </c>
      <c r="K380" s="42">
        <v>26390</v>
      </c>
    </row>
    <row r="381" spans="1:11">
      <c r="A381" s="39">
        <v>0.78700000000000003</v>
      </c>
      <c r="B381" s="37">
        <v>999</v>
      </c>
      <c r="C381" s="38">
        <v>0.60399999999999998</v>
      </c>
      <c r="D381" s="39">
        <v>0.30099999999999999</v>
      </c>
      <c r="E381" s="37">
        <v>80</v>
      </c>
      <c r="F381" s="37">
        <v>0</v>
      </c>
      <c r="G381" s="37">
        <v>0</v>
      </c>
      <c r="H381" s="40">
        <f ca="1">LEFT(Music_Data[[#This Row],[Duration_minutes]],3)/60</f>
        <v>3.5666666666666669</v>
      </c>
      <c r="I381" s="39">
        <v>6.7900000000000002E-2</v>
      </c>
      <c r="J381" s="41" t="str">
        <f t="shared" si="5"/>
        <v>No muy popular</v>
      </c>
      <c r="K381" s="43">
        <v>43154</v>
      </c>
    </row>
    <row r="382" spans="1:11">
      <c r="A382" s="34">
        <v>0.86899999999999999</v>
      </c>
      <c r="B382" s="32">
        <v>870</v>
      </c>
      <c r="C382" s="33">
        <v>0.53300000000000003</v>
      </c>
      <c r="D382" s="34">
        <v>0.42499999999999999</v>
      </c>
      <c r="E382" s="32">
        <v>80</v>
      </c>
      <c r="F382" s="32">
        <v>1</v>
      </c>
      <c r="G382" s="32">
        <v>11</v>
      </c>
      <c r="H382" s="35">
        <f ca="1">LEFT(Music_Data[[#This Row],[Duration_minutes]],3)/60</f>
        <v>2.4500000000000002</v>
      </c>
      <c r="I382" s="34">
        <v>0.156</v>
      </c>
      <c r="J382" s="36" t="str">
        <f t="shared" si="5"/>
        <v>No muy popular</v>
      </c>
      <c r="K382" s="42">
        <v>45226</v>
      </c>
    </row>
    <row r="383" spans="1:11">
      <c r="A383" s="39">
        <v>0.51200000000000001</v>
      </c>
      <c r="B383" s="37">
        <v>157</v>
      </c>
      <c r="C383" s="38">
        <v>0.82899999999999996</v>
      </c>
      <c r="D383" s="39">
        <v>0.63800000000000001</v>
      </c>
      <c r="E383" s="37">
        <v>80</v>
      </c>
      <c r="F383" s="37">
        <v>0</v>
      </c>
      <c r="G383" s="37">
        <v>6</v>
      </c>
      <c r="H383" s="40">
        <f ca="1">LEFT(Music_Data[[#This Row],[Duration_minutes]],3)/60</f>
        <v>4.1833333333333336</v>
      </c>
      <c r="I383" s="39">
        <v>0.49199999999999999</v>
      </c>
      <c r="J383" s="41" t="str">
        <f t="shared" si="5"/>
        <v>No muy popular</v>
      </c>
      <c r="K383" s="43">
        <v>45520</v>
      </c>
    </row>
    <row r="384" spans="1:11">
      <c r="A384" s="34">
        <v>0.71599999999999997</v>
      </c>
      <c r="B384" s="32">
        <v>104</v>
      </c>
      <c r="C384" s="33">
        <v>0.70099999999999996</v>
      </c>
      <c r="D384" s="34">
        <v>0.73199999999999998</v>
      </c>
      <c r="E384" s="32">
        <v>80</v>
      </c>
      <c r="F384" s="32">
        <v>0</v>
      </c>
      <c r="G384" s="32">
        <v>7</v>
      </c>
      <c r="H384" s="35">
        <f ca="1">LEFT(Music_Data[[#This Row],[Duration_minutes]],3)/60</f>
        <v>3.5</v>
      </c>
      <c r="I384" s="34">
        <v>0.17399999999999999</v>
      </c>
      <c r="J384" s="36" t="str">
        <f t="shared" si="5"/>
        <v>No muy popular</v>
      </c>
      <c r="K384" s="42">
        <v>45429</v>
      </c>
    </row>
    <row r="385" spans="1:11">
      <c r="A385" s="39">
        <v>0.77300000000000002</v>
      </c>
      <c r="B385" s="37">
        <v>116</v>
      </c>
      <c r="C385" s="38">
        <v>0.68100000000000005</v>
      </c>
      <c r="D385" s="39">
        <v>0.504</v>
      </c>
      <c r="E385" s="37">
        <v>80</v>
      </c>
      <c r="F385" s="37">
        <v>1</v>
      </c>
      <c r="G385" s="37">
        <v>1</v>
      </c>
      <c r="H385" s="40">
        <f ca="1">LEFT(Music_Data[[#This Row],[Duration_minutes]],3)/60</f>
        <v>3.6333333333333333</v>
      </c>
      <c r="I385" s="39">
        <v>8.6300000000000002E-2</v>
      </c>
      <c r="J385" s="41" t="str">
        <f t="shared" si="5"/>
        <v>No muy popular</v>
      </c>
      <c r="K385" s="43">
        <v>45387</v>
      </c>
    </row>
    <row r="386" spans="1:11">
      <c r="A386" s="34">
        <v>0.67300000000000004</v>
      </c>
      <c r="B386" s="32">
        <v>103</v>
      </c>
      <c r="C386" s="33">
        <v>0.52900000000000003</v>
      </c>
      <c r="D386" s="34">
        <v>0.36599999999999999</v>
      </c>
      <c r="E386" s="32">
        <v>80</v>
      </c>
      <c r="F386" s="32">
        <v>1</v>
      </c>
      <c r="G386" s="32">
        <v>0</v>
      </c>
      <c r="H386" s="35">
        <f ca="1">LEFT(Music_Data[[#This Row],[Duration_minutes]],3)/60</f>
        <v>2.9166666666666665</v>
      </c>
      <c r="I386" s="34">
        <v>3.0699999999999998E-4</v>
      </c>
      <c r="J386" s="36" t="str">
        <f t="shared" si="5"/>
        <v>No muy popular</v>
      </c>
      <c r="K386" s="42">
        <v>45394</v>
      </c>
    </row>
    <row r="387" spans="1:11">
      <c r="A387" s="39">
        <v>0.82199999999999995</v>
      </c>
      <c r="B387" s="37">
        <v>159</v>
      </c>
      <c r="C387" s="38">
        <v>0.85299999999999998</v>
      </c>
      <c r="D387" s="39">
        <v>0.746</v>
      </c>
      <c r="E387" s="37">
        <v>80</v>
      </c>
      <c r="F387" s="37">
        <v>0</v>
      </c>
      <c r="G387" s="37">
        <v>6</v>
      </c>
      <c r="H387" s="40">
        <f ca="1">LEFT(Music_Data[[#This Row],[Duration_minutes]],3)/60</f>
        <v>3.5</v>
      </c>
      <c r="I387" s="39">
        <v>8.4099999999999994E-2</v>
      </c>
      <c r="J387" s="41" t="str">
        <f t="shared" si="5"/>
        <v>No muy popular</v>
      </c>
      <c r="K387" s="43">
        <v>45184</v>
      </c>
    </row>
    <row r="388" spans="1:11">
      <c r="A388" s="34">
        <v>0.98199999999999998</v>
      </c>
      <c r="B388" s="32">
        <v>139</v>
      </c>
      <c r="C388" s="33">
        <v>0.35399999999999998</v>
      </c>
      <c r="D388" s="34">
        <v>0.19400000000000001</v>
      </c>
      <c r="E388" s="32">
        <v>80</v>
      </c>
      <c r="F388" s="32">
        <v>0</v>
      </c>
      <c r="G388" s="32">
        <v>4</v>
      </c>
      <c r="H388" s="35">
        <f ca="1">LEFT(Music_Data[[#This Row],[Duration_minutes]],3)/60</f>
        <v>3.0666666666666669</v>
      </c>
      <c r="I388" s="34">
        <v>2.3699999999999999E-4</v>
      </c>
      <c r="J388" s="36" t="str">
        <f t="shared" ref="J388:J451" si="6">IF(E388&gt;=94,"Muy Popular",IF(E388&gt;=86,"Popular",IF(E388&gt;=78,"No muy popular","Casi nada popular")))</f>
        <v>No muy popular</v>
      </c>
      <c r="K388" s="42">
        <v>45191</v>
      </c>
    </row>
    <row r="389" spans="1:11">
      <c r="A389" s="39">
        <v>0.83399999999999996</v>
      </c>
      <c r="B389" s="37">
        <v>101</v>
      </c>
      <c r="C389" s="38">
        <v>0.50900000000000001</v>
      </c>
      <c r="D389" s="39">
        <v>0.77400000000000002</v>
      </c>
      <c r="E389" s="37">
        <v>80</v>
      </c>
      <c r="F389" s="37">
        <v>1</v>
      </c>
      <c r="G389" s="37">
        <v>2</v>
      </c>
      <c r="H389" s="40">
        <f ca="1">LEFT(Music_Data[[#This Row],[Duration_minutes]],3)/60</f>
        <v>4.5666666666666664</v>
      </c>
      <c r="I389" s="39">
        <v>1.83E-2</v>
      </c>
      <c r="J389" s="41" t="str">
        <f t="shared" si="6"/>
        <v>No muy popular</v>
      </c>
      <c r="K389" s="43">
        <v>45416</v>
      </c>
    </row>
    <row r="390" spans="1:11">
      <c r="A390" s="34">
        <v>0.83599999999999997</v>
      </c>
      <c r="B390" s="32">
        <v>123</v>
      </c>
      <c r="C390" s="33">
        <v>0.74299999999999999</v>
      </c>
      <c r="D390" s="34">
        <v>0.82</v>
      </c>
      <c r="E390" s="32">
        <v>80</v>
      </c>
      <c r="F390" s="32">
        <v>1</v>
      </c>
      <c r="G390" s="32">
        <v>2</v>
      </c>
      <c r="H390" s="35">
        <f ca="1">LEFT(Music_Data[[#This Row],[Duration_minutes]],3)/60</f>
        <v>2.8666666666666667</v>
      </c>
      <c r="I390" s="34">
        <v>8.0399999999999999E-2</v>
      </c>
      <c r="J390" s="36" t="str">
        <f t="shared" si="6"/>
        <v>No muy popular</v>
      </c>
      <c r="K390" s="42">
        <v>45422</v>
      </c>
    </row>
    <row r="391" spans="1:11">
      <c r="A391" s="39">
        <v>0.42399999999999999</v>
      </c>
      <c r="B391" s="37">
        <v>107</v>
      </c>
      <c r="C391" s="38">
        <v>0.754</v>
      </c>
      <c r="D391" s="39">
        <v>0.80600000000000005</v>
      </c>
      <c r="E391" s="37">
        <v>80</v>
      </c>
      <c r="F391" s="37">
        <v>1</v>
      </c>
      <c r="G391" s="37">
        <v>2</v>
      </c>
      <c r="H391" s="40">
        <f ca="1">LEFT(Music_Data[[#This Row],[Duration_minutes]],3)/60</f>
        <v>3.1</v>
      </c>
      <c r="I391" s="39">
        <v>0.64300000000000002</v>
      </c>
      <c r="J391" s="41" t="str">
        <f t="shared" si="6"/>
        <v>No muy popular</v>
      </c>
      <c r="K391" s="43">
        <v>45449</v>
      </c>
    </row>
    <row r="392" spans="1:11">
      <c r="A392" s="34">
        <v>0.68600000000000005</v>
      </c>
      <c r="B392" s="32">
        <v>148</v>
      </c>
      <c r="C392" s="33">
        <v>0.64700000000000002</v>
      </c>
      <c r="D392" s="34">
        <v>0.26800000000000002</v>
      </c>
      <c r="E392" s="32">
        <v>80</v>
      </c>
      <c r="F392" s="32">
        <v>0</v>
      </c>
      <c r="G392" s="32">
        <v>3</v>
      </c>
      <c r="H392" s="35">
        <f ca="1">LEFT(Music_Data[[#This Row],[Duration_minutes]],3)/60</f>
        <v>3.1833333333333331</v>
      </c>
      <c r="I392" s="34">
        <v>0.08</v>
      </c>
      <c r="J392" s="36" t="str">
        <f t="shared" si="6"/>
        <v>No muy popular</v>
      </c>
      <c r="K392" s="42">
        <v>45135</v>
      </c>
    </row>
    <row r="393" spans="1:11">
      <c r="A393" s="39">
        <v>0.78200000000000003</v>
      </c>
      <c r="B393" s="37">
        <v>181</v>
      </c>
      <c r="C393" s="38">
        <v>0.621</v>
      </c>
      <c r="D393" s="39">
        <v>0.55000000000000004</v>
      </c>
      <c r="E393" s="37">
        <v>80</v>
      </c>
      <c r="F393" s="37">
        <v>1</v>
      </c>
      <c r="G393" s="37">
        <v>2</v>
      </c>
      <c r="H393" s="40">
        <f ca="1">LEFT(Music_Data[[#This Row],[Duration_minutes]],3)/60</f>
        <v>2.6833333333333331</v>
      </c>
      <c r="I393" s="39">
        <v>1.2500000000000001E-2</v>
      </c>
      <c r="J393" s="41" t="str">
        <f t="shared" si="6"/>
        <v>No muy popular</v>
      </c>
      <c r="K393" s="43">
        <v>45387</v>
      </c>
    </row>
    <row r="394" spans="1:11">
      <c r="A394" s="34">
        <v>0.42099999999999999</v>
      </c>
      <c r="B394" s="32">
        <v>119</v>
      </c>
      <c r="C394" s="33">
        <v>0.53700000000000003</v>
      </c>
      <c r="D394" s="34">
        <v>0.52400000000000002</v>
      </c>
      <c r="E394" s="32">
        <v>80</v>
      </c>
      <c r="F394" s="32">
        <v>1</v>
      </c>
      <c r="G394" s="32">
        <v>5</v>
      </c>
      <c r="H394" s="35">
        <f ca="1">LEFT(Music_Data[[#This Row],[Duration_minutes]],3)/60</f>
        <v>2.95</v>
      </c>
      <c r="I394" s="34">
        <v>0.82699999999999996</v>
      </c>
      <c r="J394" s="36" t="str">
        <f t="shared" si="6"/>
        <v>No muy popular</v>
      </c>
      <c r="K394" s="42">
        <v>45450</v>
      </c>
    </row>
    <row r="395" spans="1:11">
      <c r="A395" s="39">
        <v>0.71599999999999997</v>
      </c>
      <c r="B395" s="37">
        <v>810</v>
      </c>
      <c r="C395" s="38">
        <v>0.70099999999999996</v>
      </c>
      <c r="D395" s="39">
        <v>0.73199999999999998</v>
      </c>
      <c r="E395" s="37">
        <v>80</v>
      </c>
      <c r="F395" s="37">
        <v>0</v>
      </c>
      <c r="G395" s="37">
        <v>7</v>
      </c>
      <c r="H395" s="40">
        <f ca="1">LEFT(Music_Data[[#This Row],[Duration_minutes]],3)/60</f>
        <v>2.85</v>
      </c>
      <c r="I395" s="39">
        <v>0.17399999999999999</v>
      </c>
      <c r="J395" s="41" t="str">
        <f t="shared" si="6"/>
        <v>No muy popular</v>
      </c>
      <c r="K395" s="43">
        <v>45394</v>
      </c>
    </row>
    <row r="396" spans="1:11">
      <c r="A396" s="34">
        <v>0.63800000000000001</v>
      </c>
      <c r="B396" s="32">
        <v>105</v>
      </c>
      <c r="C396" s="33">
        <v>0.48099999999999998</v>
      </c>
      <c r="D396" s="34">
        <v>0.497</v>
      </c>
      <c r="E396" s="32">
        <v>80</v>
      </c>
      <c r="F396" s="32">
        <v>1</v>
      </c>
      <c r="G396" s="32">
        <v>0</v>
      </c>
      <c r="H396" s="35">
        <f ca="1">LEFT(Music_Data[[#This Row],[Duration_minutes]],3)/60</f>
        <v>3</v>
      </c>
      <c r="I396" s="34">
        <v>0.153</v>
      </c>
      <c r="J396" s="36" t="str">
        <f t="shared" si="6"/>
        <v>No muy popular</v>
      </c>
      <c r="K396" s="42">
        <v>45309</v>
      </c>
    </row>
    <row r="397" spans="1:11">
      <c r="A397" s="39">
        <v>0.84499999999999997</v>
      </c>
      <c r="B397" s="37">
        <v>130</v>
      </c>
      <c r="C397" s="38">
        <v>0.67100000000000004</v>
      </c>
      <c r="D397" s="39">
        <v>0.77500000000000002</v>
      </c>
      <c r="E397" s="37">
        <v>80</v>
      </c>
      <c r="F397" s="37">
        <v>0</v>
      </c>
      <c r="G397" s="37">
        <v>11</v>
      </c>
      <c r="H397" s="40">
        <f ca="1">LEFT(Music_Data[[#This Row],[Duration_minutes]],3)/60</f>
        <v>2.4166666666666665</v>
      </c>
      <c r="I397" s="39">
        <v>2.07E-2</v>
      </c>
      <c r="J397" s="41" t="str">
        <f t="shared" si="6"/>
        <v>No muy popular</v>
      </c>
      <c r="K397" s="43">
        <v>45505</v>
      </c>
    </row>
    <row r="398" spans="1:11">
      <c r="A398" s="34">
        <v>0.66300000000000003</v>
      </c>
      <c r="B398" s="32">
        <v>132</v>
      </c>
      <c r="C398" s="33">
        <v>0.65100000000000002</v>
      </c>
      <c r="D398" s="34">
        <v>0.46500000000000002</v>
      </c>
      <c r="E398" s="32">
        <v>80</v>
      </c>
      <c r="F398" s="32">
        <v>0</v>
      </c>
      <c r="G398" s="32">
        <v>0</v>
      </c>
      <c r="H398" s="35">
        <f ca="1">LEFT(Music_Data[[#This Row],[Duration_minutes]],3)/60</f>
        <v>2.2000000000000002</v>
      </c>
      <c r="I398" s="34">
        <v>0.22800000000000001</v>
      </c>
      <c r="J398" s="36" t="str">
        <f t="shared" si="6"/>
        <v>No muy popular</v>
      </c>
      <c r="K398" s="42">
        <v>44762</v>
      </c>
    </row>
    <row r="399" spans="1:11">
      <c r="A399" s="39">
        <v>0.86899999999999999</v>
      </c>
      <c r="B399" s="37">
        <v>128</v>
      </c>
      <c r="C399" s="38">
        <v>0.53300000000000003</v>
      </c>
      <c r="D399" s="39">
        <v>0.42499999999999999</v>
      </c>
      <c r="E399" s="37">
        <v>80</v>
      </c>
      <c r="F399" s="37">
        <v>1</v>
      </c>
      <c r="G399" s="37">
        <v>11</v>
      </c>
      <c r="H399" s="40">
        <f ca="1">LEFT(Music_Data[[#This Row],[Duration_minutes]],3)/60</f>
        <v>2.9166666666666665</v>
      </c>
      <c r="I399" s="39">
        <v>0.156</v>
      </c>
      <c r="J399" s="41" t="str">
        <f t="shared" si="6"/>
        <v>No muy popular</v>
      </c>
      <c r="K399" s="43">
        <v>44799</v>
      </c>
    </row>
    <row r="400" spans="1:11">
      <c r="A400" s="34">
        <v>0.84399999999999997</v>
      </c>
      <c r="B400" s="32">
        <v>180</v>
      </c>
      <c r="C400" s="33">
        <v>0.78800000000000003</v>
      </c>
      <c r="D400" s="34">
        <v>0.38200000000000001</v>
      </c>
      <c r="E400" s="32">
        <v>80</v>
      </c>
      <c r="F400" s="32">
        <v>1</v>
      </c>
      <c r="G400" s="32">
        <v>2</v>
      </c>
      <c r="H400" s="35">
        <f ca="1">LEFT(Music_Data[[#This Row],[Duration_minutes]],3)/60</f>
        <v>3.1666666666666665</v>
      </c>
      <c r="I400" s="34">
        <v>0.25</v>
      </c>
      <c r="J400" s="36" t="str">
        <f t="shared" si="6"/>
        <v>No muy popular</v>
      </c>
      <c r="K400" s="42">
        <v>45482</v>
      </c>
    </row>
    <row r="401" spans="1:11">
      <c r="A401" s="39">
        <v>0.80300000000000005</v>
      </c>
      <c r="B401" s="37">
        <v>140</v>
      </c>
      <c r="C401" s="38">
        <v>0.81799999999999995</v>
      </c>
      <c r="D401" s="39">
        <v>0.63200000000000001</v>
      </c>
      <c r="E401" s="37">
        <v>80</v>
      </c>
      <c r="F401" s="37">
        <v>1</v>
      </c>
      <c r="G401" s="37">
        <v>1</v>
      </c>
      <c r="H401" s="40">
        <f ca="1">LEFT(Music_Data[[#This Row],[Duration_minutes]],3)/60</f>
        <v>2.9833333333333334</v>
      </c>
      <c r="I401" s="39">
        <v>3.4000000000000002E-2</v>
      </c>
      <c r="J401" s="41" t="str">
        <f t="shared" si="6"/>
        <v>No muy popular</v>
      </c>
      <c r="K401" s="43">
        <v>45519</v>
      </c>
    </row>
    <row r="402" spans="1:11">
      <c r="A402" s="34">
        <v>0.79900000000000004</v>
      </c>
      <c r="B402" s="32">
        <v>151</v>
      </c>
      <c r="C402" s="33">
        <v>0.71</v>
      </c>
      <c r="D402" s="34">
        <v>0.72499999999999998</v>
      </c>
      <c r="E402" s="32">
        <v>80</v>
      </c>
      <c r="F402" s="32">
        <v>1</v>
      </c>
      <c r="G402" s="32">
        <v>6</v>
      </c>
      <c r="H402" s="35">
        <f ca="1">LEFT(Music_Data[[#This Row],[Duration_minutes]],3)/60</f>
        <v>2.3666666666666667</v>
      </c>
      <c r="I402" s="34">
        <v>0.22</v>
      </c>
      <c r="J402" s="36" t="str">
        <f t="shared" si="6"/>
        <v>No muy popular</v>
      </c>
      <c r="K402" s="42">
        <v>45370</v>
      </c>
    </row>
    <row r="403" spans="1:11">
      <c r="A403" s="39">
        <v>0.83399999999999996</v>
      </c>
      <c r="B403" s="37">
        <v>144</v>
      </c>
      <c r="C403" s="38">
        <v>0.50900000000000001</v>
      </c>
      <c r="D403" s="39">
        <v>0.77400000000000002</v>
      </c>
      <c r="E403" s="37">
        <v>80</v>
      </c>
      <c r="F403" s="37">
        <v>1</v>
      </c>
      <c r="G403" s="37">
        <v>2</v>
      </c>
      <c r="H403" s="40">
        <f ca="1">LEFT(Music_Data[[#This Row],[Duration_minutes]],3)/60</f>
        <v>3.8</v>
      </c>
      <c r="I403" s="39">
        <v>1.83E-2</v>
      </c>
      <c r="J403" s="41" t="str">
        <f t="shared" si="6"/>
        <v>No muy popular</v>
      </c>
      <c r="K403" s="43">
        <v>45373</v>
      </c>
    </row>
    <row r="404" spans="1:11">
      <c r="A404" s="34">
        <v>0.79500000000000004</v>
      </c>
      <c r="B404" s="32">
        <v>139</v>
      </c>
      <c r="C404" s="33">
        <v>0.64600000000000002</v>
      </c>
      <c r="D404" s="34">
        <v>0.79600000000000004</v>
      </c>
      <c r="E404" s="32">
        <v>80</v>
      </c>
      <c r="F404" s="32">
        <v>1</v>
      </c>
      <c r="G404" s="32">
        <v>9</v>
      </c>
      <c r="H404" s="35">
        <f ca="1">LEFT(Music_Data[[#This Row],[Duration_minutes]],3)/60</f>
        <v>2.4</v>
      </c>
      <c r="I404" s="34">
        <v>3.1899999999999998E-2</v>
      </c>
      <c r="J404" s="36" t="str">
        <f t="shared" si="6"/>
        <v>No muy popular</v>
      </c>
      <c r="K404" s="42">
        <v>45422</v>
      </c>
    </row>
    <row r="405" spans="1:11">
      <c r="A405" s="39">
        <v>0.57999999999999996</v>
      </c>
      <c r="B405" s="37">
        <v>179</v>
      </c>
      <c r="C405" s="38">
        <v>0.78200000000000003</v>
      </c>
      <c r="D405" s="39">
        <v>0.66</v>
      </c>
      <c r="E405" s="37">
        <v>80</v>
      </c>
      <c r="F405" s="37">
        <v>1</v>
      </c>
      <c r="G405" s="37">
        <v>7</v>
      </c>
      <c r="H405" s="40">
        <f ca="1">LEFT(Music_Data[[#This Row],[Duration_minutes]],3)/60</f>
        <v>2.1833333333333331</v>
      </c>
      <c r="I405" s="39">
        <v>1.14E-2</v>
      </c>
      <c r="J405" s="41" t="str">
        <f t="shared" si="6"/>
        <v>No muy popular</v>
      </c>
      <c r="K405" s="43">
        <v>43707</v>
      </c>
    </row>
    <row r="406" spans="1:11">
      <c r="A406" s="34">
        <v>0.88200000000000001</v>
      </c>
      <c r="B406" s="32">
        <v>139</v>
      </c>
      <c r="C406" s="33">
        <v>0.74199999999999999</v>
      </c>
      <c r="D406" s="34">
        <v>0.46300000000000002</v>
      </c>
      <c r="E406" s="32">
        <v>80</v>
      </c>
      <c r="F406" s="32">
        <v>1</v>
      </c>
      <c r="G406" s="32">
        <v>7</v>
      </c>
      <c r="H406" s="35">
        <f ca="1">LEFT(Music_Data[[#This Row],[Duration_minutes]],3)/60</f>
        <v>2.2166666666666668</v>
      </c>
      <c r="I406" s="34">
        <v>4.6600000000000003E-2</v>
      </c>
      <c r="J406" s="36" t="str">
        <f t="shared" si="6"/>
        <v>No muy popular</v>
      </c>
      <c r="K406" s="42">
        <v>45490</v>
      </c>
    </row>
    <row r="407" spans="1:11">
      <c r="A407" s="39">
        <v>0.78700000000000003</v>
      </c>
      <c r="B407" s="37">
        <v>127</v>
      </c>
      <c r="C407" s="38">
        <v>0.60399999999999998</v>
      </c>
      <c r="D407" s="39">
        <v>0.30099999999999999</v>
      </c>
      <c r="E407" s="37">
        <v>80</v>
      </c>
      <c r="F407" s="37">
        <v>0</v>
      </c>
      <c r="G407" s="37">
        <v>0</v>
      </c>
      <c r="H407" s="40">
        <f ca="1">LEFT(Music_Data[[#This Row],[Duration_minutes]],3)/60</f>
        <v>2.9666666666666668</v>
      </c>
      <c r="I407" s="39">
        <v>6.7900000000000002E-2</v>
      </c>
      <c r="J407" s="41" t="str">
        <f t="shared" si="6"/>
        <v>No muy popular</v>
      </c>
      <c r="K407" s="43">
        <v>45422</v>
      </c>
    </row>
    <row r="408" spans="1:11">
      <c r="A408" s="34">
        <v>0.58299999999999996</v>
      </c>
      <c r="B408" s="32">
        <v>126</v>
      </c>
      <c r="C408" s="33">
        <v>0.96699999999999997</v>
      </c>
      <c r="D408" s="34">
        <v>0.96399999999999997</v>
      </c>
      <c r="E408" s="32">
        <v>80</v>
      </c>
      <c r="F408" s="32">
        <v>0</v>
      </c>
      <c r="G408" s="32">
        <v>7</v>
      </c>
      <c r="H408" s="35">
        <f ca="1">LEFT(Music_Data[[#This Row],[Duration_minutes]],3)/60</f>
        <v>2.5166666666666666</v>
      </c>
      <c r="I408" s="34">
        <v>5.8400000000000001E-2</v>
      </c>
      <c r="J408" s="36" t="str">
        <f t="shared" si="6"/>
        <v>No muy popular</v>
      </c>
      <c r="K408" s="42">
        <v>45450</v>
      </c>
    </row>
    <row r="409" spans="1:11">
      <c r="A409" s="39">
        <v>0.76600000000000001</v>
      </c>
      <c r="B409" s="37">
        <v>162</v>
      </c>
      <c r="C409" s="38">
        <v>0.74399999999999999</v>
      </c>
      <c r="D409" s="39">
        <v>0.61</v>
      </c>
      <c r="E409" s="37">
        <v>80</v>
      </c>
      <c r="F409" s="37">
        <v>1</v>
      </c>
      <c r="G409" s="37">
        <v>0</v>
      </c>
      <c r="H409" s="40">
        <f ca="1">LEFT(Music_Data[[#This Row],[Duration_minutes]],3)/60</f>
        <v>4.45</v>
      </c>
      <c r="I409" s="39">
        <v>8.7300000000000003E-2</v>
      </c>
      <c r="J409" s="41" t="str">
        <f t="shared" si="6"/>
        <v>No muy popular</v>
      </c>
      <c r="K409" s="43">
        <v>45373</v>
      </c>
    </row>
    <row r="410" spans="1:11">
      <c r="A410" s="34">
        <v>0.66300000000000003</v>
      </c>
      <c r="B410" s="32">
        <v>119</v>
      </c>
      <c r="C410" s="33">
        <v>0.63400000000000001</v>
      </c>
      <c r="D410" s="34">
        <v>0.6</v>
      </c>
      <c r="E410" s="32">
        <v>80</v>
      </c>
      <c r="F410" s="32">
        <v>1</v>
      </c>
      <c r="G410" s="32">
        <v>11</v>
      </c>
      <c r="H410" s="35">
        <f ca="1">LEFT(Music_Data[[#This Row],[Duration_minutes]],3)/60</f>
        <v>3.5666666666666669</v>
      </c>
      <c r="I410" s="34">
        <v>0.433</v>
      </c>
      <c r="J410" s="36" t="str">
        <f t="shared" si="6"/>
        <v>No muy popular</v>
      </c>
      <c r="K410" s="42">
        <v>45492</v>
      </c>
    </row>
    <row r="411" spans="1:11">
      <c r="A411" s="39">
        <v>0.52900000000000003</v>
      </c>
      <c r="B411" s="37">
        <v>126</v>
      </c>
      <c r="C411" s="38">
        <v>0.55100000000000005</v>
      </c>
      <c r="D411" s="39">
        <v>0.52100000000000002</v>
      </c>
      <c r="E411" s="37">
        <v>80</v>
      </c>
      <c r="F411" s="37">
        <v>0</v>
      </c>
      <c r="G411" s="37">
        <v>5</v>
      </c>
      <c r="H411" s="40">
        <f ca="1">LEFT(Music_Data[[#This Row],[Duration_minutes]],3)/60</f>
        <v>2.4166666666666665</v>
      </c>
      <c r="I411" s="39">
        <v>0.29599999999999999</v>
      </c>
      <c r="J411" s="41" t="str">
        <f t="shared" si="6"/>
        <v>No muy popular</v>
      </c>
      <c r="K411" s="43">
        <v>45492</v>
      </c>
    </row>
    <row r="412" spans="1:11">
      <c r="A412" s="34">
        <v>0.71299999999999997</v>
      </c>
      <c r="B412" s="32">
        <v>129</v>
      </c>
      <c r="C412" s="33">
        <v>0.64500000000000002</v>
      </c>
      <c r="D412" s="34">
        <v>0.56599999999999995</v>
      </c>
      <c r="E412" s="32">
        <v>80</v>
      </c>
      <c r="F412" s="32">
        <v>1</v>
      </c>
      <c r="G412" s="32">
        <v>6</v>
      </c>
      <c r="H412" s="35">
        <f ca="1">LEFT(Music_Data[[#This Row],[Duration_minutes]],3)/60</f>
        <v>3.6333333333333333</v>
      </c>
      <c r="I412" s="34">
        <v>8.3499999999999998E-3</v>
      </c>
      <c r="J412" s="36" t="str">
        <f t="shared" si="6"/>
        <v>No muy popular</v>
      </c>
      <c r="K412" s="42">
        <v>45400</v>
      </c>
    </row>
    <row r="413" spans="1:11">
      <c r="A413" s="39">
        <v>0.66300000000000003</v>
      </c>
      <c r="B413" s="37">
        <v>833</v>
      </c>
      <c r="C413" s="38">
        <v>0.27700000000000002</v>
      </c>
      <c r="D413" s="39">
        <v>0.52700000000000002</v>
      </c>
      <c r="E413" s="37">
        <v>80</v>
      </c>
      <c r="F413" s="37">
        <v>0</v>
      </c>
      <c r="G413" s="37">
        <v>4</v>
      </c>
      <c r="H413" s="40">
        <f ca="1">LEFT(Music_Data[[#This Row],[Duration_minutes]],3)/60</f>
        <v>3.15</v>
      </c>
      <c r="I413" s="39">
        <v>4.0900000000000002E-4</v>
      </c>
      <c r="J413" s="41" t="str">
        <f t="shared" si="6"/>
        <v>No muy popular</v>
      </c>
      <c r="K413" s="43">
        <v>44680</v>
      </c>
    </row>
    <row r="414" spans="1:11">
      <c r="A414" s="34">
        <v>0.98199999999999998</v>
      </c>
      <c r="B414" s="32">
        <v>130</v>
      </c>
      <c r="C414" s="33">
        <v>0.35399999999999998</v>
      </c>
      <c r="D414" s="34">
        <v>0.19400000000000001</v>
      </c>
      <c r="E414" s="32">
        <v>80</v>
      </c>
      <c r="F414" s="32">
        <v>0</v>
      </c>
      <c r="G414" s="32">
        <v>4</v>
      </c>
      <c r="H414" s="35">
        <f ca="1">LEFT(Music_Data[[#This Row],[Duration_minutes]],3)/60</f>
        <v>2.0833333333333335</v>
      </c>
      <c r="I414" s="34">
        <v>2.3699999999999999E-4</v>
      </c>
      <c r="J414" s="36" t="str">
        <f t="shared" si="6"/>
        <v>No muy popular</v>
      </c>
      <c r="K414" s="42">
        <v>45093</v>
      </c>
    </row>
    <row r="415" spans="1:11">
      <c r="A415" s="39">
        <v>0.84899999999999998</v>
      </c>
      <c r="B415" s="37">
        <v>130</v>
      </c>
      <c r="C415" s="38">
        <v>0.64300000000000002</v>
      </c>
      <c r="D415" s="39">
        <v>0.90300000000000002</v>
      </c>
      <c r="E415" s="37">
        <v>80</v>
      </c>
      <c r="F415" s="37">
        <v>1</v>
      </c>
      <c r="G415" s="37">
        <v>2</v>
      </c>
      <c r="H415" s="40">
        <f ca="1">LEFT(Music_Data[[#This Row],[Duration_minutes]],3)/60</f>
        <v>15.116666666666667</v>
      </c>
      <c r="I415" s="39">
        <v>3.7100000000000001E-2</v>
      </c>
      <c r="J415" s="41" t="str">
        <f t="shared" si="6"/>
        <v>No muy popular</v>
      </c>
      <c r="K415" s="43">
        <v>45422</v>
      </c>
    </row>
    <row r="416" spans="1:11">
      <c r="A416" s="34">
        <v>0.86899999999999999</v>
      </c>
      <c r="B416" s="32">
        <v>909</v>
      </c>
      <c r="C416" s="33">
        <v>0.874</v>
      </c>
      <c r="D416" s="34">
        <v>0.72599999999999998</v>
      </c>
      <c r="E416" s="32">
        <v>80</v>
      </c>
      <c r="F416" s="32">
        <v>0</v>
      </c>
      <c r="G416" s="32">
        <v>1</v>
      </c>
      <c r="H416" s="35">
        <f ca="1">LEFT(Music_Data[[#This Row],[Duration_minutes]],3)/60</f>
        <v>2.4666666666666668</v>
      </c>
      <c r="I416" s="34">
        <v>1.16E-3</v>
      </c>
      <c r="J416" s="36" t="str">
        <f t="shared" si="6"/>
        <v>No muy popular</v>
      </c>
      <c r="K416" s="42">
        <v>45338</v>
      </c>
    </row>
    <row r="417" spans="1:11">
      <c r="A417" s="39">
        <v>0.46300000000000002</v>
      </c>
      <c r="B417" s="37">
        <v>100</v>
      </c>
      <c r="C417" s="38">
        <v>0.80900000000000005</v>
      </c>
      <c r="D417" s="39">
        <v>0.36399999999999999</v>
      </c>
      <c r="E417" s="37">
        <v>80</v>
      </c>
      <c r="F417" s="37">
        <v>1</v>
      </c>
      <c r="G417" s="37">
        <v>11</v>
      </c>
      <c r="H417" s="40">
        <f ca="1">LEFT(Music_Data[[#This Row],[Duration_minutes]],3)/60</f>
        <v>3.5666666666666669</v>
      </c>
      <c r="I417" s="39">
        <v>0.25600000000000001</v>
      </c>
      <c r="J417" s="41" t="str">
        <f t="shared" si="6"/>
        <v>No muy popular</v>
      </c>
      <c r="K417" s="43">
        <v>43329</v>
      </c>
    </row>
    <row r="418" spans="1:11">
      <c r="A418" s="34">
        <v>0.32200000000000001</v>
      </c>
      <c r="B418" s="32">
        <v>899</v>
      </c>
      <c r="C418" s="33">
        <v>0.51600000000000001</v>
      </c>
      <c r="D418" s="34">
        <v>0.26100000000000001</v>
      </c>
      <c r="E418" s="32">
        <v>80</v>
      </c>
      <c r="F418" s="32">
        <v>1</v>
      </c>
      <c r="G418" s="32">
        <v>9</v>
      </c>
      <c r="H418" s="35">
        <f ca="1">LEFT(Music_Data[[#This Row],[Duration_minutes]],3)/60</f>
        <v>2.6166666666666667</v>
      </c>
      <c r="I418" s="34">
        <v>0.47299999999999998</v>
      </c>
      <c r="J418" s="36" t="str">
        <f t="shared" si="6"/>
        <v>No muy popular</v>
      </c>
      <c r="K418" s="42">
        <v>43714</v>
      </c>
    </row>
    <row r="419" spans="1:11">
      <c r="A419" s="39">
        <v>0.66400000000000003</v>
      </c>
      <c r="B419" s="37">
        <v>146</v>
      </c>
      <c r="C419" s="38">
        <v>0.40400000000000003</v>
      </c>
      <c r="D419" s="39">
        <v>9.4899999999999998E-2</v>
      </c>
      <c r="E419" s="37">
        <v>80</v>
      </c>
      <c r="F419" s="37">
        <v>1</v>
      </c>
      <c r="G419" s="37">
        <v>1</v>
      </c>
      <c r="H419" s="40">
        <f ca="1">LEFT(Music_Data[[#This Row],[Duration_minutes]],3)/60</f>
        <v>1.8333333333333333</v>
      </c>
      <c r="I419" s="39">
        <v>0.54200000000000004</v>
      </c>
      <c r="J419" s="41" t="str">
        <f t="shared" si="6"/>
        <v>No muy popular</v>
      </c>
      <c r="K419" s="43">
        <v>43175</v>
      </c>
    </row>
    <row r="420" spans="1:11">
      <c r="A420" s="34">
        <v>0.80600000000000005</v>
      </c>
      <c r="B420" s="32">
        <v>172</v>
      </c>
      <c r="C420" s="33">
        <v>0.60799999999999998</v>
      </c>
      <c r="D420" s="34">
        <v>0.58699999999999997</v>
      </c>
      <c r="E420" s="32">
        <v>79</v>
      </c>
      <c r="F420" s="32">
        <v>1</v>
      </c>
      <c r="G420" s="32">
        <v>1</v>
      </c>
      <c r="H420" s="35">
        <f ca="1">LEFT(Music_Data[[#This Row],[Duration_minutes]],3)/60</f>
        <v>4.5</v>
      </c>
      <c r="I420" s="34">
        <v>0.121</v>
      </c>
      <c r="J420" s="36" t="str">
        <f t="shared" si="6"/>
        <v>No muy popular</v>
      </c>
      <c r="K420" s="42">
        <v>45303</v>
      </c>
    </row>
    <row r="421" spans="1:11">
      <c r="A421" s="39">
        <v>0.32200000000000001</v>
      </c>
      <c r="B421" s="37">
        <v>115</v>
      </c>
      <c r="C421" s="38">
        <v>0.47499999999999998</v>
      </c>
      <c r="D421" s="39">
        <v>0.38700000000000001</v>
      </c>
      <c r="E421" s="37">
        <v>79</v>
      </c>
      <c r="F421" s="37">
        <v>1</v>
      </c>
      <c r="G421" s="37">
        <v>7</v>
      </c>
      <c r="H421" s="40">
        <f ca="1">LEFT(Music_Data[[#This Row],[Duration_minutes]],3)/60</f>
        <v>3.8</v>
      </c>
      <c r="I421" s="39">
        <v>0.36699999999999999</v>
      </c>
      <c r="J421" s="41" t="str">
        <f t="shared" si="6"/>
        <v>No muy popular</v>
      </c>
      <c r="K421" s="43">
        <v>45359</v>
      </c>
    </row>
    <row r="422" spans="1:11">
      <c r="A422" s="34">
        <v>0.91700000000000004</v>
      </c>
      <c r="B422" s="32">
        <v>140</v>
      </c>
      <c r="C422" s="33">
        <v>0.35599999999999998</v>
      </c>
      <c r="D422" s="34">
        <v>0.51800000000000002</v>
      </c>
      <c r="E422" s="32">
        <v>79</v>
      </c>
      <c r="F422" s="32">
        <v>1</v>
      </c>
      <c r="G422" s="32">
        <v>9</v>
      </c>
      <c r="H422" s="35">
        <f ca="1">LEFT(Music_Data[[#This Row],[Duration_minutes]],3)/60</f>
        <v>2.3333333333333335</v>
      </c>
      <c r="I422" s="34">
        <v>3.3500000000000002E-2</v>
      </c>
      <c r="J422" s="36" t="str">
        <f t="shared" si="6"/>
        <v>No muy popular</v>
      </c>
      <c r="K422" s="42">
        <v>45435</v>
      </c>
    </row>
    <row r="423" spans="1:11">
      <c r="A423" s="39">
        <v>0.48699999999999999</v>
      </c>
      <c r="B423" s="37">
        <v>120</v>
      </c>
      <c r="C423" s="38">
        <v>0.73</v>
      </c>
      <c r="D423" s="39">
        <v>0.73099999999999998</v>
      </c>
      <c r="E423" s="37">
        <v>79</v>
      </c>
      <c r="F423" s="37">
        <v>1</v>
      </c>
      <c r="G423" s="37">
        <v>4</v>
      </c>
      <c r="H423" s="40">
        <f ca="1">LEFT(Music_Data[[#This Row],[Duration_minutes]],3)/60</f>
        <v>2.2166666666666668</v>
      </c>
      <c r="I423" s="39">
        <v>0.25800000000000001</v>
      </c>
      <c r="J423" s="41" t="str">
        <f t="shared" si="6"/>
        <v>No muy popular</v>
      </c>
      <c r="K423" s="43">
        <v>45450</v>
      </c>
    </row>
    <row r="424" spans="1:11">
      <c r="A424" s="34">
        <v>0.53200000000000003</v>
      </c>
      <c r="B424" s="32">
        <v>150</v>
      </c>
      <c r="C424" s="33">
        <v>0.60099999999999998</v>
      </c>
      <c r="D424" s="34">
        <v>0.34200000000000003</v>
      </c>
      <c r="E424" s="32">
        <v>79</v>
      </c>
      <c r="F424" s="32">
        <v>1</v>
      </c>
      <c r="G424" s="32">
        <v>10</v>
      </c>
      <c r="H424" s="35">
        <f ca="1">LEFT(Music_Data[[#This Row],[Duration_minutes]],3)/60</f>
        <v>2.3333333333333335</v>
      </c>
      <c r="I424" s="34">
        <v>0.433</v>
      </c>
      <c r="J424" s="36" t="str">
        <f t="shared" si="6"/>
        <v>No muy popular</v>
      </c>
      <c r="K424" s="42">
        <v>45261</v>
      </c>
    </row>
    <row r="425" spans="1:11">
      <c r="A425" s="39">
        <v>0.64100000000000001</v>
      </c>
      <c r="B425" s="37">
        <v>127</v>
      </c>
      <c r="C425" s="38">
        <v>0.25600000000000001</v>
      </c>
      <c r="D425" s="39">
        <v>0.38200000000000001</v>
      </c>
      <c r="E425" s="37">
        <v>79</v>
      </c>
      <c r="F425" s="37">
        <v>1</v>
      </c>
      <c r="G425" s="37">
        <v>1</v>
      </c>
      <c r="H425" s="40">
        <f ca="1">LEFT(Music_Data[[#This Row],[Duration_minutes]],3)/60</f>
        <v>3.7833333333333332</v>
      </c>
      <c r="I425" s="39">
        <v>0.19900000000000001</v>
      </c>
      <c r="J425" s="41" t="str">
        <f t="shared" si="6"/>
        <v>No muy popular</v>
      </c>
      <c r="K425" s="43">
        <v>45443</v>
      </c>
    </row>
    <row r="426" spans="1:11">
      <c r="A426" s="34">
        <v>0.495</v>
      </c>
      <c r="B426" s="32">
        <v>165</v>
      </c>
      <c r="C426" s="33">
        <v>0.53200000000000003</v>
      </c>
      <c r="D426" s="34">
        <v>0.308</v>
      </c>
      <c r="E426" s="32">
        <v>79</v>
      </c>
      <c r="F426" s="32">
        <v>1</v>
      </c>
      <c r="G426" s="32">
        <v>10</v>
      </c>
      <c r="H426" s="35">
        <f ca="1">LEFT(Music_Data[[#This Row],[Duration_minutes]],3)/60</f>
        <v>3.5</v>
      </c>
      <c r="I426" s="34">
        <v>0.65900000000000003</v>
      </c>
      <c r="J426" s="36" t="str">
        <f t="shared" si="6"/>
        <v>No muy popular</v>
      </c>
      <c r="K426" s="42">
        <v>43847</v>
      </c>
    </row>
    <row r="427" spans="1:11">
      <c r="A427" s="39">
        <v>0.432</v>
      </c>
      <c r="B427" s="37">
        <v>104</v>
      </c>
      <c r="C427" s="38">
        <v>0.47499999999999998</v>
      </c>
      <c r="D427" s="39">
        <v>0.64800000000000002</v>
      </c>
      <c r="E427" s="37">
        <v>79</v>
      </c>
      <c r="F427" s="37">
        <v>1</v>
      </c>
      <c r="G427" s="37">
        <v>7</v>
      </c>
      <c r="H427" s="40">
        <f ca="1">LEFT(Music_Data[[#This Row],[Duration_minutes]],3)/60</f>
        <v>2.2999999999999998</v>
      </c>
      <c r="I427" s="39">
        <v>0.183</v>
      </c>
      <c r="J427" s="41" t="str">
        <f t="shared" si="6"/>
        <v>No muy popular</v>
      </c>
      <c r="K427" s="43">
        <v>45240</v>
      </c>
    </row>
    <row r="428" spans="1:11">
      <c r="A428" s="34">
        <v>0.57399999999999995</v>
      </c>
      <c r="B428" s="32">
        <v>155</v>
      </c>
      <c r="C428" s="33">
        <v>0.69399999999999995</v>
      </c>
      <c r="D428" s="34">
        <v>0.28599999999999998</v>
      </c>
      <c r="E428" s="32">
        <v>79</v>
      </c>
      <c r="F428" s="32">
        <v>0</v>
      </c>
      <c r="G428" s="32">
        <v>1</v>
      </c>
      <c r="H428" s="35">
        <f ca="1">LEFT(Music_Data[[#This Row],[Duration_minutes]],3)/60</f>
        <v>3.0333333333333332</v>
      </c>
      <c r="I428" s="34">
        <v>0.193</v>
      </c>
      <c r="J428" s="36" t="str">
        <f t="shared" si="6"/>
        <v>No muy popular</v>
      </c>
      <c r="K428" s="42">
        <v>42972</v>
      </c>
    </row>
    <row r="429" spans="1:11">
      <c r="A429" s="39">
        <v>0.58299999999999996</v>
      </c>
      <c r="B429" s="37">
        <v>121</v>
      </c>
      <c r="C429" s="38">
        <v>0.70899999999999996</v>
      </c>
      <c r="D429" s="39">
        <v>0.53300000000000003</v>
      </c>
      <c r="E429" s="37">
        <v>79</v>
      </c>
      <c r="F429" s="37">
        <v>0</v>
      </c>
      <c r="G429" s="37">
        <v>5</v>
      </c>
      <c r="H429" s="40">
        <f ca="1">LEFT(Music_Data[[#This Row],[Duration_minutes]],3)/60</f>
        <v>2.4833333333333334</v>
      </c>
      <c r="I429" s="39">
        <v>0.13800000000000001</v>
      </c>
      <c r="J429" s="41" t="str">
        <f t="shared" si="6"/>
        <v>No muy popular</v>
      </c>
      <c r="K429" s="43">
        <v>45240</v>
      </c>
    </row>
    <row r="430" spans="1:11">
      <c r="A430" s="34">
        <v>0.61099999999999999</v>
      </c>
      <c r="B430" s="32">
        <v>129</v>
      </c>
      <c r="C430" s="33">
        <v>0.71099999999999997</v>
      </c>
      <c r="D430" s="34">
        <v>0.14399999999999999</v>
      </c>
      <c r="E430" s="32">
        <v>79</v>
      </c>
      <c r="F430" s="32">
        <v>1</v>
      </c>
      <c r="G430" s="32">
        <v>1</v>
      </c>
      <c r="H430" s="35">
        <f ca="1">LEFT(Music_Data[[#This Row],[Duration_minutes]],3)/60</f>
        <v>2.8</v>
      </c>
      <c r="I430" s="34">
        <v>5.8799999999999998E-3</v>
      </c>
      <c r="J430" s="36" t="str">
        <f t="shared" si="6"/>
        <v>No muy popular</v>
      </c>
      <c r="K430" s="42">
        <v>45415</v>
      </c>
    </row>
    <row r="431" spans="1:11">
      <c r="A431" s="39">
        <v>0.58299999999999996</v>
      </c>
      <c r="B431" s="37">
        <v>116</v>
      </c>
      <c r="C431" s="38">
        <v>0.70899999999999996</v>
      </c>
      <c r="D431" s="39">
        <v>0.53300000000000003</v>
      </c>
      <c r="E431" s="37">
        <v>79</v>
      </c>
      <c r="F431" s="37">
        <v>0</v>
      </c>
      <c r="G431" s="37">
        <v>5</v>
      </c>
      <c r="H431" s="40">
        <f ca="1">LEFT(Music_Data[[#This Row],[Duration_minutes]],3)/60</f>
        <v>3.2666666666666666</v>
      </c>
      <c r="I431" s="39">
        <v>0.13800000000000001</v>
      </c>
      <c r="J431" s="41" t="str">
        <f t="shared" si="6"/>
        <v>No muy popular</v>
      </c>
      <c r="K431" s="43">
        <v>43805</v>
      </c>
    </row>
    <row r="432" spans="1:11">
      <c r="A432" s="34">
        <v>0.61399999999999999</v>
      </c>
      <c r="B432" s="32">
        <v>128</v>
      </c>
      <c r="C432" s="33">
        <v>0.65800000000000003</v>
      </c>
      <c r="D432" s="34">
        <v>0.46500000000000002</v>
      </c>
      <c r="E432" s="32">
        <v>79</v>
      </c>
      <c r="F432" s="32">
        <v>1</v>
      </c>
      <c r="G432" s="32">
        <v>10</v>
      </c>
      <c r="H432" s="35">
        <f ca="1">LEFT(Music_Data[[#This Row],[Duration_minutes]],3)/60</f>
        <v>2.25</v>
      </c>
      <c r="I432" s="34">
        <v>0.105</v>
      </c>
      <c r="J432" s="36" t="str">
        <f t="shared" si="6"/>
        <v>No muy popular</v>
      </c>
      <c r="K432" s="42">
        <v>43175</v>
      </c>
    </row>
    <row r="433" spans="1:11">
      <c r="A433" s="39">
        <v>0.70899999999999996</v>
      </c>
      <c r="B433" s="37">
        <v>120</v>
      </c>
      <c r="C433" s="38">
        <v>0.74399999999999999</v>
      </c>
      <c r="D433" s="39">
        <v>0.71199999999999997</v>
      </c>
      <c r="E433" s="37">
        <v>79</v>
      </c>
      <c r="F433" s="37">
        <v>0</v>
      </c>
      <c r="G433" s="37">
        <v>6</v>
      </c>
      <c r="H433" s="40">
        <f ca="1">LEFT(Music_Data[[#This Row],[Duration_minutes]],3)/60</f>
        <v>2.5333333333333332</v>
      </c>
      <c r="I433" s="39">
        <v>5.0099999999999999E-2</v>
      </c>
      <c r="J433" s="41" t="str">
        <f t="shared" si="6"/>
        <v>No muy popular</v>
      </c>
      <c r="K433" s="43">
        <v>45380</v>
      </c>
    </row>
    <row r="434" spans="1:11">
      <c r="A434" s="34">
        <v>0.16200000000000001</v>
      </c>
      <c r="B434" s="32">
        <v>910</v>
      </c>
      <c r="C434" s="33">
        <v>0.45900000000000002</v>
      </c>
      <c r="D434" s="34">
        <v>0.48299999999999998</v>
      </c>
      <c r="E434" s="32">
        <v>79</v>
      </c>
      <c r="F434" s="32">
        <v>1</v>
      </c>
      <c r="G434" s="32">
        <v>0</v>
      </c>
      <c r="H434" s="35">
        <f ca="1">LEFT(Music_Data[[#This Row],[Duration_minutes]],3)/60</f>
        <v>2.3333333333333335</v>
      </c>
      <c r="I434" s="34">
        <v>0.92900000000000005</v>
      </c>
      <c r="J434" s="36" t="str">
        <f t="shared" si="6"/>
        <v>No muy popular</v>
      </c>
      <c r="K434" s="42">
        <v>44281</v>
      </c>
    </row>
    <row r="435" spans="1:11">
      <c r="A435" s="39">
        <v>0.68200000000000005</v>
      </c>
      <c r="B435" s="37">
        <v>165</v>
      </c>
      <c r="C435" s="38">
        <v>0.75</v>
      </c>
      <c r="D435" s="39">
        <v>0.61799999999999999</v>
      </c>
      <c r="E435" s="37">
        <v>79</v>
      </c>
      <c r="F435" s="37">
        <v>1</v>
      </c>
      <c r="G435" s="37">
        <v>10</v>
      </c>
      <c r="H435" s="40">
        <f ca="1">LEFT(Music_Data[[#This Row],[Duration_minutes]],3)/60</f>
        <v>3.6333333333333333</v>
      </c>
      <c r="I435" s="39">
        <v>0.16800000000000001</v>
      </c>
      <c r="J435" s="41" t="str">
        <f t="shared" si="6"/>
        <v>No muy popular</v>
      </c>
      <c r="K435" s="43">
        <v>44729</v>
      </c>
    </row>
    <row r="436" spans="1:11">
      <c r="A436" s="34">
        <v>0.62</v>
      </c>
      <c r="B436" s="32">
        <v>129</v>
      </c>
      <c r="C436" s="33">
        <v>0.74099999999999999</v>
      </c>
      <c r="D436" s="34">
        <v>0.93400000000000005</v>
      </c>
      <c r="E436" s="32">
        <v>79</v>
      </c>
      <c r="F436" s="32">
        <v>1</v>
      </c>
      <c r="G436" s="32">
        <v>10</v>
      </c>
      <c r="H436" s="35">
        <f ca="1">LEFT(Music_Data[[#This Row],[Duration_minutes]],3)/60</f>
        <v>1.7833333333333334</v>
      </c>
      <c r="I436" s="34">
        <v>2.9499999999999998E-2</v>
      </c>
      <c r="J436" s="36" t="str">
        <f t="shared" si="6"/>
        <v>No muy popular</v>
      </c>
      <c r="K436" s="42">
        <v>45366</v>
      </c>
    </row>
    <row r="437" spans="1:11">
      <c r="A437" s="39">
        <v>0.50700000000000001</v>
      </c>
      <c r="B437" s="37">
        <v>805</v>
      </c>
      <c r="C437" s="38">
        <v>0.66200000000000003</v>
      </c>
      <c r="D437" s="39">
        <v>0.67600000000000005</v>
      </c>
      <c r="E437" s="37">
        <v>79</v>
      </c>
      <c r="F437" s="37">
        <v>1</v>
      </c>
      <c r="G437" s="37">
        <v>5</v>
      </c>
      <c r="H437" s="40">
        <f ca="1">LEFT(Music_Data[[#This Row],[Duration_minutes]],3)/60</f>
        <v>2.0499999999999998</v>
      </c>
      <c r="I437" s="39">
        <v>0.25700000000000001</v>
      </c>
      <c r="J437" s="41" t="str">
        <f t="shared" si="6"/>
        <v>No muy popular</v>
      </c>
      <c r="K437" s="43">
        <v>44349</v>
      </c>
    </row>
    <row r="438" spans="1:11">
      <c r="A438" s="34">
        <v>0.23899999999999999</v>
      </c>
      <c r="B438" s="32">
        <v>139</v>
      </c>
      <c r="C438" s="33">
        <v>0.372</v>
      </c>
      <c r="D438" s="34">
        <v>0.127</v>
      </c>
      <c r="E438" s="32">
        <v>79</v>
      </c>
      <c r="F438" s="32">
        <v>0</v>
      </c>
      <c r="G438" s="32">
        <v>6</v>
      </c>
      <c r="H438" s="35">
        <f ca="1">LEFT(Music_Data[[#This Row],[Duration_minutes]],3)/60</f>
        <v>3.8166666666666669</v>
      </c>
      <c r="I438" s="34">
        <v>0.85599999999999998</v>
      </c>
      <c r="J438" s="36" t="str">
        <f t="shared" si="6"/>
        <v>No muy popular</v>
      </c>
      <c r="K438" s="42">
        <v>45078</v>
      </c>
    </row>
    <row r="439" spans="1:11">
      <c r="A439" s="39">
        <v>0.71399999999999997</v>
      </c>
      <c r="B439" s="37">
        <v>122</v>
      </c>
      <c r="C439" s="38">
        <v>0.66400000000000003</v>
      </c>
      <c r="D439" s="39">
        <v>0.71</v>
      </c>
      <c r="E439" s="37">
        <v>79</v>
      </c>
      <c r="F439" s="37">
        <v>0</v>
      </c>
      <c r="G439" s="37">
        <v>7</v>
      </c>
      <c r="H439" s="40">
        <f ca="1">LEFT(Music_Data[[#This Row],[Duration_minutes]],3)/60</f>
        <v>3.4666666666666668</v>
      </c>
      <c r="I439" s="39">
        <v>3.5299999999999998E-2</v>
      </c>
      <c r="J439" s="41" t="str">
        <f t="shared" si="6"/>
        <v>No muy popular</v>
      </c>
      <c r="K439" s="43">
        <v>45282</v>
      </c>
    </row>
    <row r="440" spans="1:11">
      <c r="A440" s="34">
        <v>0.85699999999999998</v>
      </c>
      <c r="B440" s="32">
        <v>146</v>
      </c>
      <c r="C440" s="33">
        <v>0.41399999999999998</v>
      </c>
      <c r="D440" s="34">
        <v>0.34799999999999998</v>
      </c>
      <c r="E440" s="32">
        <v>79</v>
      </c>
      <c r="F440" s="32">
        <v>0</v>
      </c>
      <c r="G440" s="32">
        <v>0</v>
      </c>
      <c r="H440" s="35">
        <f ca="1">LEFT(Music_Data[[#This Row],[Duration_minutes]],3)/60</f>
        <v>3.4833333333333334</v>
      </c>
      <c r="I440" s="34">
        <v>2.87E-2</v>
      </c>
      <c r="J440" s="36" t="str">
        <f t="shared" si="6"/>
        <v>No muy popular</v>
      </c>
      <c r="K440" s="42">
        <v>45149</v>
      </c>
    </row>
    <row r="441" spans="1:11">
      <c r="A441" s="39">
        <v>0.58299999999999996</v>
      </c>
      <c r="B441" s="37">
        <v>116</v>
      </c>
      <c r="C441" s="38">
        <v>0.70899999999999996</v>
      </c>
      <c r="D441" s="39">
        <v>0.53300000000000003</v>
      </c>
      <c r="E441" s="37">
        <v>79</v>
      </c>
      <c r="F441" s="37">
        <v>0</v>
      </c>
      <c r="G441" s="37">
        <v>5</v>
      </c>
      <c r="H441" s="40">
        <f ca="1">LEFT(Music_Data[[#This Row],[Duration_minutes]],3)/60</f>
        <v>3.0333333333333332</v>
      </c>
      <c r="I441" s="39">
        <v>0.13800000000000001</v>
      </c>
      <c r="J441" s="41" t="str">
        <f t="shared" si="6"/>
        <v>No muy popular</v>
      </c>
      <c r="K441" s="43">
        <v>44897</v>
      </c>
    </row>
    <row r="442" spans="1:11">
      <c r="A442" s="34">
        <v>0.79700000000000004</v>
      </c>
      <c r="B442" s="32">
        <v>127</v>
      </c>
      <c r="C442" s="33">
        <v>0.70199999999999996</v>
      </c>
      <c r="D442" s="34">
        <v>3.56E-2</v>
      </c>
      <c r="E442" s="32">
        <v>79</v>
      </c>
      <c r="F442" s="32">
        <v>0</v>
      </c>
      <c r="G442" s="32">
        <v>10</v>
      </c>
      <c r="H442" s="35">
        <f ca="1">LEFT(Music_Data[[#This Row],[Duration_minutes]],3)/60</f>
        <v>3.45</v>
      </c>
      <c r="I442" s="34">
        <v>0.58299999999999996</v>
      </c>
      <c r="J442" s="36" t="str">
        <f t="shared" si="6"/>
        <v>No muy popular</v>
      </c>
      <c r="K442" s="42">
        <v>45499</v>
      </c>
    </row>
    <row r="443" spans="1:11">
      <c r="A443" s="39">
        <v>0.68100000000000005</v>
      </c>
      <c r="B443" s="37">
        <v>960</v>
      </c>
      <c r="C443" s="38">
        <v>0.91800000000000004</v>
      </c>
      <c r="D443" s="39">
        <v>0.70599999999999996</v>
      </c>
      <c r="E443" s="37">
        <v>79</v>
      </c>
      <c r="F443" s="37">
        <v>1</v>
      </c>
      <c r="G443" s="37">
        <v>1</v>
      </c>
      <c r="H443" s="40">
        <f ca="1">LEFT(Music_Data[[#This Row],[Duration_minutes]],3)/60</f>
        <v>2.6833333333333331</v>
      </c>
      <c r="I443" s="39">
        <v>0.26300000000000001</v>
      </c>
      <c r="J443" s="41" t="str">
        <f t="shared" si="6"/>
        <v>No muy popular</v>
      </c>
      <c r="K443" s="43">
        <v>45335</v>
      </c>
    </row>
    <row r="444" spans="1:11">
      <c r="A444" s="34">
        <v>0.753</v>
      </c>
      <c r="B444" s="32">
        <v>120</v>
      </c>
      <c r="C444" s="33">
        <v>0.67100000000000004</v>
      </c>
      <c r="D444" s="34">
        <v>0.54300000000000004</v>
      </c>
      <c r="E444" s="32">
        <v>79</v>
      </c>
      <c r="F444" s="32">
        <v>0</v>
      </c>
      <c r="G444" s="32">
        <v>4</v>
      </c>
      <c r="H444" s="35">
        <f ca="1">LEFT(Music_Data[[#This Row],[Duration_minutes]],3)/60</f>
        <v>2.6166666666666667</v>
      </c>
      <c r="I444" s="34">
        <v>1.9E-2</v>
      </c>
      <c r="J444" s="36" t="str">
        <f t="shared" si="6"/>
        <v>No muy popular</v>
      </c>
      <c r="K444" s="42">
        <v>45379</v>
      </c>
    </row>
    <row r="445" spans="1:11">
      <c r="A445" s="39">
        <v>0.76100000000000001</v>
      </c>
      <c r="B445" s="37">
        <v>759</v>
      </c>
      <c r="C445" s="38">
        <v>0.62</v>
      </c>
      <c r="D445" s="39">
        <v>0.19400000000000001</v>
      </c>
      <c r="E445" s="37">
        <v>79</v>
      </c>
      <c r="F445" s="37">
        <v>0</v>
      </c>
      <c r="G445" s="37">
        <v>10</v>
      </c>
      <c r="H445" s="40">
        <f ca="1">LEFT(Music_Data[[#This Row],[Duration_minutes]],3)/60</f>
        <v>3.8166666666666669</v>
      </c>
      <c r="I445" s="39">
        <v>0.20699999999999999</v>
      </c>
      <c r="J445" s="41" t="str">
        <f t="shared" si="6"/>
        <v>No muy popular</v>
      </c>
      <c r="K445" s="43">
        <v>44865</v>
      </c>
    </row>
    <row r="446" spans="1:11">
      <c r="A446" s="34">
        <v>0.82799999999999996</v>
      </c>
      <c r="B446" s="32">
        <v>139</v>
      </c>
      <c r="C446" s="33">
        <v>0.57699999999999996</v>
      </c>
      <c r="D446" s="34">
        <v>0.60399999999999998</v>
      </c>
      <c r="E446" s="32">
        <v>79</v>
      </c>
      <c r="F446" s="32">
        <v>0</v>
      </c>
      <c r="G446" s="32">
        <v>6</v>
      </c>
      <c r="H446" s="35">
        <f ca="1">LEFT(Music_Data[[#This Row],[Duration_minutes]],3)/60</f>
        <v>6.3833333333333337</v>
      </c>
      <c r="I446" s="34">
        <v>2.1299999999999999E-3</v>
      </c>
      <c r="J446" s="36" t="str">
        <f t="shared" si="6"/>
        <v>No muy popular</v>
      </c>
      <c r="K446" s="42">
        <v>45412</v>
      </c>
    </row>
    <row r="447" spans="1:11">
      <c r="A447" s="39">
        <v>0.72</v>
      </c>
      <c r="B447" s="37">
        <v>900</v>
      </c>
      <c r="C447" s="38">
        <v>0.91600000000000004</v>
      </c>
      <c r="D447" s="39">
        <v>0.76100000000000001</v>
      </c>
      <c r="E447" s="37">
        <v>79</v>
      </c>
      <c r="F447" s="37">
        <v>1</v>
      </c>
      <c r="G447" s="37">
        <v>0</v>
      </c>
      <c r="H447" s="40">
        <f ca="1">LEFT(Music_Data[[#This Row],[Duration_minutes]],3)/60</f>
        <v>2.1666666666666665</v>
      </c>
      <c r="I447" s="39">
        <v>0.36</v>
      </c>
      <c r="J447" s="41" t="str">
        <f t="shared" si="6"/>
        <v>No muy popular</v>
      </c>
      <c r="K447" s="43">
        <v>45457</v>
      </c>
    </row>
    <row r="448" spans="1:11">
      <c r="A448" s="34">
        <v>0.71199999999999997</v>
      </c>
      <c r="B448" s="32">
        <v>140</v>
      </c>
      <c r="C448" s="33">
        <v>0.67100000000000004</v>
      </c>
      <c r="D448" s="34">
        <v>0.46200000000000002</v>
      </c>
      <c r="E448" s="32">
        <v>79</v>
      </c>
      <c r="F448" s="32">
        <v>1</v>
      </c>
      <c r="G448" s="32">
        <v>2</v>
      </c>
      <c r="H448" s="35">
        <f ca="1">LEFT(Music_Data[[#This Row],[Duration_minutes]],3)/60</f>
        <v>16.216666666666665</v>
      </c>
      <c r="I448" s="34">
        <v>0.42899999999999999</v>
      </c>
      <c r="J448" s="36" t="str">
        <f t="shared" si="6"/>
        <v>No muy popular</v>
      </c>
      <c r="K448" s="42">
        <v>44763</v>
      </c>
    </row>
    <row r="449" spans="1:11">
      <c r="A449" s="39">
        <v>0.872</v>
      </c>
      <c r="B449" s="37">
        <v>880</v>
      </c>
      <c r="C449" s="38">
        <v>0.46600000000000003</v>
      </c>
      <c r="D449" s="39">
        <v>0.80600000000000005</v>
      </c>
      <c r="E449" s="37">
        <v>79</v>
      </c>
      <c r="F449" s="37">
        <v>1</v>
      </c>
      <c r="G449" s="37">
        <v>7</v>
      </c>
      <c r="H449" s="40">
        <f ca="1">LEFT(Music_Data[[#This Row],[Duration_minutes]],3)/60</f>
        <v>2.7666666666666666</v>
      </c>
      <c r="I449" s="39">
        <v>1.5599999999999999E-2</v>
      </c>
      <c r="J449" s="41" t="str">
        <f t="shared" si="6"/>
        <v>No muy popular</v>
      </c>
      <c r="K449" s="43">
        <v>45512</v>
      </c>
    </row>
    <row r="450" spans="1:11">
      <c r="A450" s="34">
        <v>0.66500000000000004</v>
      </c>
      <c r="B450" s="32">
        <v>750</v>
      </c>
      <c r="C450" s="33">
        <v>0.85799999999999998</v>
      </c>
      <c r="D450" s="34">
        <v>0.65900000000000003</v>
      </c>
      <c r="E450" s="32">
        <v>79</v>
      </c>
      <c r="F450" s="32">
        <v>1</v>
      </c>
      <c r="G450" s="32">
        <v>11</v>
      </c>
      <c r="H450" s="35">
        <f ca="1">LEFT(Music_Data[[#This Row],[Duration_minutes]],3)/60</f>
        <v>2.3166666666666669</v>
      </c>
      <c r="I450" s="34">
        <v>0.126</v>
      </c>
      <c r="J450" s="36" t="str">
        <f t="shared" si="6"/>
        <v>No muy popular</v>
      </c>
      <c r="K450" s="42">
        <v>45016</v>
      </c>
    </row>
    <row r="451" spans="1:11">
      <c r="A451" s="39">
        <v>0.66200000000000003</v>
      </c>
      <c r="B451" s="37">
        <v>130</v>
      </c>
      <c r="C451" s="38">
        <v>0.89700000000000002</v>
      </c>
      <c r="D451" s="39">
        <v>0.39</v>
      </c>
      <c r="E451" s="37">
        <v>79</v>
      </c>
      <c r="F451" s="37">
        <v>0</v>
      </c>
      <c r="G451" s="37">
        <v>1</v>
      </c>
      <c r="H451" s="40">
        <f ca="1">LEFT(Music_Data[[#This Row],[Duration_minutes]],3)/60</f>
        <v>12.6</v>
      </c>
      <c r="I451" s="39">
        <v>8.5199999999999998E-2</v>
      </c>
      <c r="J451" s="41" t="str">
        <f t="shared" si="6"/>
        <v>No muy popular</v>
      </c>
      <c r="K451" s="43">
        <v>45135</v>
      </c>
    </row>
    <row r="452" spans="1:11">
      <c r="A452" s="34">
        <v>0.79700000000000004</v>
      </c>
      <c r="B452" s="32">
        <v>999</v>
      </c>
      <c r="C452" s="33">
        <v>0.70399999999999996</v>
      </c>
      <c r="D452" s="34">
        <v>0.82499999999999996</v>
      </c>
      <c r="E452" s="32">
        <v>79</v>
      </c>
      <c r="F452" s="32">
        <v>1</v>
      </c>
      <c r="G452" s="32">
        <v>0</v>
      </c>
      <c r="H452" s="35">
        <f ca="1">LEFT(Music_Data[[#This Row],[Duration_minutes]],3)/60</f>
        <v>3.8333333333333335</v>
      </c>
      <c r="I452" s="34">
        <v>8.2600000000000007E-2</v>
      </c>
      <c r="J452" s="36" t="str">
        <f t="shared" ref="J452:J515" si="7">IF(E452&gt;=94,"Muy Popular",IF(E452&gt;=86,"Popular",IF(E452&gt;=78,"No muy popular","Casi nada popular")))</f>
        <v>No muy popular</v>
      </c>
      <c r="K452" s="42">
        <v>45189</v>
      </c>
    </row>
    <row r="453" spans="1:11">
      <c r="A453" s="39">
        <v>0.628</v>
      </c>
      <c r="B453" s="37">
        <v>130</v>
      </c>
      <c r="C453" s="38">
        <v>0.67400000000000004</v>
      </c>
      <c r="D453" s="39">
        <v>0.55200000000000005</v>
      </c>
      <c r="E453" s="37">
        <v>79</v>
      </c>
      <c r="F453" s="37">
        <v>1</v>
      </c>
      <c r="G453" s="37">
        <v>2</v>
      </c>
      <c r="H453" s="40">
        <f ca="1">LEFT(Music_Data[[#This Row],[Duration_minutes]],3)/60</f>
        <v>2.5499999999999998</v>
      </c>
      <c r="I453" s="39">
        <v>1.4400000000000001E-3</v>
      </c>
      <c r="J453" s="41" t="str">
        <f t="shared" si="7"/>
        <v>No muy popular</v>
      </c>
      <c r="K453" s="43">
        <v>45331</v>
      </c>
    </row>
    <row r="454" spans="1:11">
      <c r="A454" s="34">
        <v>0.47299999999999998</v>
      </c>
      <c r="B454" s="32">
        <v>117</v>
      </c>
      <c r="C454" s="33">
        <v>0.76500000000000001</v>
      </c>
      <c r="D454" s="34">
        <v>0.34</v>
      </c>
      <c r="E454" s="32">
        <v>79</v>
      </c>
      <c r="F454" s="32">
        <v>1</v>
      </c>
      <c r="G454" s="32">
        <v>10</v>
      </c>
      <c r="H454" s="35">
        <f ca="1">LEFT(Music_Data[[#This Row],[Duration_minutes]],3)/60</f>
        <v>4.1833333333333336</v>
      </c>
      <c r="I454" s="34">
        <v>0.28699999999999998</v>
      </c>
      <c r="J454" s="36" t="str">
        <f t="shared" si="7"/>
        <v>No muy popular</v>
      </c>
      <c r="K454" s="42">
        <v>45373</v>
      </c>
    </row>
    <row r="455" spans="1:11">
      <c r="A455" s="39">
        <v>0.46500000000000002</v>
      </c>
      <c r="B455" s="37">
        <v>169</v>
      </c>
      <c r="C455" s="38">
        <v>0.44900000000000001</v>
      </c>
      <c r="D455" s="39">
        <v>0.54300000000000004</v>
      </c>
      <c r="E455" s="37">
        <v>79</v>
      </c>
      <c r="F455" s="37">
        <v>1</v>
      </c>
      <c r="G455" s="37">
        <v>0</v>
      </c>
      <c r="H455" s="40">
        <f ca="1">LEFT(Music_Data[[#This Row],[Duration_minutes]],3)/60</f>
        <v>2.8666666666666667</v>
      </c>
      <c r="I455" s="39">
        <v>0.52400000000000002</v>
      </c>
      <c r="J455" s="41" t="str">
        <f t="shared" si="7"/>
        <v>No muy popular</v>
      </c>
      <c r="K455" s="43">
        <v>45170</v>
      </c>
    </row>
    <row r="456" spans="1:11">
      <c r="A456" s="34">
        <v>0.79800000000000004</v>
      </c>
      <c r="B456" s="32">
        <v>130</v>
      </c>
      <c r="C456" s="33">
        <v>0.79600000000000004</v>
      </c>
      <c r="D456" s="34">
        <v>0.94199999999999995</v>
      </c>
      <c r="E456" s="32">
        <v>79</v>
      </c>
      <c r="F456" s="32">
        <v>1</v>
      </c>
      <c r="G456" s="32">
        <v>1</v>
      </c>
      <c r="H456" s="35">
        <f ca="1">LEFT(Music_Data[[#This Row],[Duration_minutes]],3)/60</f>
        <v>1.7166666666666666</v>
      </c>
      <c r="I456" s="34">
        <v>3.4000000000000002E-2</v>
      </c>
      <c r="J456" s="36" t="str">
        <f t="shared" si="7"/>
        <v>No muy popular</v>
      </c>
      <c r="K456" s="42">
        <v>45261</v>
      </c>
    </row>
    <row r="457" spans="1:11">
      <c r="A457" s="39">
        <v>0.56699999999999995</v>
      </c>
      <c r="B457" s="37">
        <v>130</v>
      </c>
      <c r="C457" s="38">
        <v>0.84499999999999997</v>
      </c>
      <c r="D457" s="39">
        <v>0.79300000000000004</v>
      </c>
      <c r="E457" s="37">
        <v>79</v>
      </c>
      <c r="F457" s="37">
        <v>0</v>
      </c>
      <c r="G457" s="37">
        <v>5</v>
      </c>
      <c r="H457" s="40">
        <f ca="1">LEFT(Music_Data[[#This Row],[Duration_minutes]],3)/60</f>
        <v>10.266666666666667</v>
      </c>
      <c r="I457" s="39">
        <v>0.59</v>
      </c>
      <c r="J457" s="41" t="str">
        <f t="shared" si="7"/>
        <v>No muy popular</v>
      </c>
      <c r="K457" s="43">
        <v>45047</v>
      </c>
    </row>
    <row r="458" spans="1:11">
      <c r="A458" s="34">
        <v>0.66900000000000004</v>
      </c>
      <c r="B458" s="32">
        <v>109</v>
      </c>
      <c r="C458" s="33">
        <v>0.83399999999999996</v>
      </c>
      <c r="D458" s="34">
        <v>0.54700000000000004</v>
      </c>
      <c r="E458" s="32">
        <v>79</v>
      </c>
      <c r="F458" s="32">
        <v>0</v>
      </c>
      <c r="G458" s="32">
        <v>6</v>
      </c>
      <c r="H458" s="35">
        <f ca="1">LEFT(Music_Data[[#This Row],[Duration_minutes]],3)/60</f>
        <v>1.9166666666666667</v>
      </c>
      <c r="I458" s="34">
        <v>3.4099999999999998E-2</v>
      </c>
      <c r="J458" s="36" t="str">
        <f t="shared" si="7"/>
        <v>No muy popular</v>
      </c>
      <c r="K458" s="42">
        <v>45310</v>
      </c>
    </row>
    <row r="459" spans="1:11">
      <c r="A459" s="39">
        <v>0.86399999999999999</v>
      </c>
      <c r="B459" s="37">
        <v>125</v>
      </c>
      <c r="C459" s="38">
        <v>0.76800000000000002</v>
      </c>
      <c r="D459" s="39">
        <v>0.89100000000000001</v>
      </c>
      <c r="E459" s="37">
        <v>79</v>
      </c>
      <c r="F459" s="37">
        <v>1</v>
      </c>
      <c r="G459" s="37">
        <v>11</v>
      </c>
      <c r="H459" s="40">
        <f ca="1">LEFT(Music_Data[[#This Row],[Duration_minutes]],3)/60</f>
        <v>2.75</v>
      </c>
      <c r="I459" s="39">
        <v>0.10100000000000001</v>
      </c>
      <c r="J459" s="41" t="str">
        <f t="shared" si="7"/>
        <v>No muy popular</v>
      </c>
      <c r="K459" s="43">
        <v>44729</v>
      </c>
    </row>
    <row r="460" spans="1:11">
      <c r="A460" s="34">
        <v>0.76100000000000001</v>
      </c>
      <c r="B460" s="32">
        <v>123</v>
      </c>
      <c r="C460" s="33">
        <v>0.72199999999999998</v>
      </c>
      <c r="D460" s="34">
        <v>0.624</v>
      </c>
      <c r="E460" s="32">
        <v>79</v>
      </c>
      <c r="F460" s="32">
        <v>0</v>
      </c>
      <c r="G460" s="32">
        <v>11</v>
      </c>
      <c r="H460" s="35">
        <f ca="1">LEFT(Music_Data[[#This Row],[Duration_minutes]],3)/60</f>
        <v>4.416666666666667</v>
      </c>
      <c r="I460" s="34">
        <v>1.1900000000000001E-2</v>
      </c>
      <c r="J460" s="36" t="str">
        <f t="shared" si="7"/>
        <v>No muy popular</v>
      </c>
      <c r="K460" s="42">
        <v>45189</v>
      </c>
    </row>
    <row r="461" spans="1:11">
      <c r="A461" s="39">
        <v>0.83399999999999996</v>
      </c>
      <c r="B461" s="37">
        <v>136</v>
      </c>
      <c r="C461" s="38">
        <v>0.751</v>
      </c>
      <c r="D461" s="39">
        <v>0.89400000000000002</v>
      </c>
      <c r="E461" s="37">
        <v>79</v>
      </c>
      <c r="F461" s="37">
        <v>0</v>
      </c>
      <c r="G461" s="37">
        <v>1</v>
      </c>
      <c r="H461" s="40">
        <f ca="1">LEFT(Music_Data[[#This Row],[Duration_minutes]],3)/60</f>
        <v>4.333333333333333</v>
      </c>
      <c r="I461" s="39">
        <v>0.3</v>
      </c>
      <c r="J461" s="41" t="str">
        <f t="shared" si="7"/>
        <v>No muy popular</v>
      </c>
      <c r="K461" s="43">
        <v>45205</v>
      </c>
    </row>
    <row r="462" spans="1:11">
      <c r="A462" s="34">
        <v>0.501</v>
      </c>
      <c r="B462" s="32">
        <v>151</v>
      </c>
      <c r="C462" s="33">
        <v>0.5</v>
      </c>
      <c r="D462" s="34">
        <v>0.623</v>
      </c>
      <c r="E462" s="32">
        <v>79</v>
      </c>
      <c r="F462" s="32">
        <v>0</v>
      </c>
      <c r="G462" s="32">
        <v>0</v>
      </c>
      <c r="H462" s="35">
        <f ca="1">LEFT(Music_Data[[#This Row],[Duration_minutes]],3)/60</f>
        <v>16.149999999999999</v>
      </c>
      <c r="I462" s="34">
        <v>0.46200000000000002</v>
      </c>
      <c r="J462" s="36" t="str">
        <f t="shared" si="7"/>
        <v>No muy popular</v>
      </c>
      <c r="K462" s="42">
        <v>45324</v>
      </c>
    </row>
    <row r="463" spans="1:11">
      <c r="A463" s="39">
        <v>0.73899999999999999</v>
      </c>
      <c r="B463" s="37">
        <v>108</v>
      </c>
      <c r="C463" s="38">
        <v>0.82199999999999995</v>
      </c>
      <c r="D463" s="39">
        <v>0.745</v>
      </c>
      <c r="E463" s="37">
        <v>79</v>
      </c>
      <c r="F463" s="37">
        <v>0</v>
      </c>
      <c r="G463" s="37">
        <v>1</v>
      </c>
      <c r="H463" s="40">
        <f ca="1">LEFT(Music_Data[[#This Row],[Duration_minutes]],3)/60</f>
        <v>2.9666666666666668</v>
      </c>
      <c r="I463" s="39">
        <v>2.64E-2</v>
      </c>
      <c r="J463" s="41" t="str">
        <f t="shared" si="7"/>
        <v>No muy popular</v>
      </c>
      <c r="K463" s="43">
        <v>45310</v>
      </c>
    </row>
    <row r="464" spans="1:11">
      <c r="A464" s="34">
        <v>0.85699999999999998</v>
      </c>
      <c r="B464" s="32">
        <v>158</v>
      </c>
      <c r="C464" s="33">
        <v>0.41399999999999998</v>
      </c>
      <c r="D464" s="34">
        <v>0.34799999999999998</v>
      </c>
      <c r="E464" s="32">
        <v>79</v>
      </c>
      <c r="F464" s="32">
        <v>0</v>
      </c>
      <c r="G464" s="32">
        <v>0</v>
      </c>
      <c r="H464" s="35">
        <f ca="1">LEFT(Music_Data[[#This Row],[Duration_minutes]],3)/60</f>
        <v>2.0166666666666666</v>
      </c>
      <c r="I464" s="34">
        <v>2.87E-2</v>
      </c>
      <c r="J464" s="36" t="str">
        <f t="shared" si="7"/>
        <v>No muy popular</v>
      </c>
      <c r="K464" s="42">
        <v>45247</v>
      </c>
    </row>
    <row r="465" spans="1:11">
      <c r="A465" s="39">
        <v>0.62</v>
      </c>
      <c r="B465" s="37">
        <v>130</v>
      </c>
      <c r="C465" s="38">
        <v>0.74099999999999999</v>
      </c>
      <c r="D465" s="39">
        <v>0.93400000000000005</v>
      </c>
      <c r="E465" s="37">
        <v>79</v>
      </c>
      <c r="F465" s="37">
        <v>1</v>
      </c>
      <c r="G465" s="37">
        <v>10</v>
      </c>
      <c r="H465" s="40">
        <f ca="1">LEFT(Music_Data[[#This Row],[Duration_minutes]],3)/60</f>
        <v>2.2333333333333334</v>
      </c>
      <c r="I465" s="39">
        <v>2.9499999999999998E-2</v>
      </c>
      <c r="J465" s="41" t="str">
        <f t="shared" si="7"/>
        <v>No muy popular</v>
      </c>
      <c r="K465" s="43">
        <v>45247</v>
      </c>
    </row>
    <row r="466" spans="1:11">
      <c r="A466" s="34">
        <v>0.94499999999999995</v>
      </c>
      <c r="B466" s="32">
        <v>129</v>
      </c>
      <c r="C466" s="33">
        <v>0.51</v>
      </c>
      <c r="D466" s="34">
        <v>0.32300000000000001</v>
      </c>
      <c r="E466" s="32">
        <v>79</v>
      </c>
      <c r="F466" s="32">
        <v>1</v>
      </c>
      <c r="G466" s="32">
        <v>1</v>
      </c>
      <c r="H466" s="35">
        <f ca="1">LEFT(Music_Data[[#This Row],[Duration_minutes]],3)/60</f>
        <v>2.7166666666666668</v>
      </c>
      <c r="I466" s="34">
        <v>6.5799999999999995E-4</v>
      </c>
      <c r="J466" s="36" t="str">
        <f t="shared" si="7"/>
        <v>No muy popular</v>
      </c>
      <c r="K466" s="42">
        <v>44962</v>
      </c>
    </row>
    <row r="467" spans="1:11">
      <c r="A467" s="39">
        <v>0.872</v>
      </c>
      <c r="B467" s="37">
        <v>149</v>
      </c>
      <c r="C467" s="38">
        <v>0.46600000000000003</v>
      </c>
      <c r="D467" s="39">
        <v>0.80600000000000005</v>
      </c>
      <c r="E467" s="37">
        <v>79</v>
      </c>
      <c r="F467" s="37">
        <v>1</v>
      </c>
      <c r="G467" s="37">
        <v>7</v>
      </c>
      <c r="H467" s="40">
        <f ca="1">LEFT(Music_Data[[#This Row],[Duration_minutes]],3)/60</f>
        <v>2.5166666666666666</v>
      </c>
      <c r="I467" s="39">
        <v>1.5599999999999999E-2</v>
      </c>
      <c r="J467" s="41" t="str">
        <f t="shared" si="7"/>
        <v>No muy popular</v>
      </c>
      <c r="K467" s="43">
        <v>45135</v>
      </c>
    </row>
    <row r="468" spans="1:11">
      <c r="A468" s="34">
        <v>0.82799999999999996</v>
      </c>
      <c r="B468" s="32">
        <v>120</v>
      </c>
      <c r="C468" s="33">
        <v>0.57699999999999996</v>
      </c>
      <c r="D468" s="34">
        <v>0.60399999999999998</v>
      </c>
      <c r="E468" s="32">
        <v>79</v>
      </c>
      <c r="F468" s="32">
        <v>0</v>
      </c>
      <c r="G468" s="32">
        <v>6</v>
      </c>
      <c r="H468" s="35">
        <f ca="1">LEFT(Music_Data[[#This Row],[Duration_minutes]],3)/60</f>
        <v>2.8666666666666667</v>
      </c>
      <c r="I468" s="34">
        <v>2.1299999999999999E-3</v>
      </c>
      <c r="J468" s="36" t="str">
        <f t="shared" si="7"/>
        <v>No muy popular</v>
      </c>
      <c r="K468" s="42">
        <v>45037</v>
      </c>
    </row>
    <row r="469" spans="1:11">
      <c r="A469" s="39">
        <v>0.98799999999999999</v>
      </c>
      <c r="B469" s="37">
        <v>150</v>
      </c>
      <c r="C469" s="38">
        <v>0.38</v>
      </c>
      <c r="D469" s="39">
        <v>0.76900000000000002</v>
      </c>
      <c r="E469" s="37">
        <v>79</v>
      </c>
      <c r="F469" s="37">
        <v>1</v>
      </c>
      <c r="G469" s="37">
        <v>1</v>
      </c>
      <c r="H469" s="40">
        <f ca="1">LEFT(Music_Data[[#This Row],[Duration_minutes]],3)/60</f>
        <v>1.9333333333333333</v>
      </c>
      <c r="I469" s="39">
        <v>2.6400000000000001E-5</v>
      </c>
      <c r="J469" s="41" t="str">
        <f t="shared" si="7"/>
        <v>No muy popular</v>
      </c>
      <c r="K469" s="43">
        <v>45163</v>
      </c>
    </row>
    <row r="470" spans="1:11">
      <c r="A470" s="34">
        <v>0.85699999999999998</v>
      </c>
      <c r="B470" s="32">
        <v>774</v>
      </c>
      <c r="C470" s="33">
        <v>0.46300000000000002</v>
      </c>
      <c r="D470" s="34">
        <v>0.85599999999999998</v>
      </c>
      <c r="E470" s="32">
        <v>79</v>
      </c>
      <c r="F470" s="32">
        <v>1</v>
      </c>
      <c r="G470" s="32">
        <v>4</v>
      </c>
      <c r="H470" s="35">
        <f ca="1">LEFT(Music_Data[[#This Row],[Duration_minutes]],3)/60</f>
        <v>2.5833333333333335</v>
      </c>
      <c r="I470" s="34">
        <v>5.0599999999999999E-2</v>
      </c>
      <c r="J470" s="36" t="str">
        <f t="shared" si="7"/>
        <v>No muy popular</v>
      </c>
      <c r="K470" s="42">
        <v>45534</v>
      </c>
    </row>
    <row r="471" spans="1:11">
      <c r="A471" s="39">
        <v>0.76800000000000002</v>
      </c>
      <c r="B471" s="37">
        <v>135</v>
      </c>
      <c r="C471" s="38">
        <v>0.78</v>
      </c>
      <c r="D471" s="39">
        <v>0.50700000000000001</v>
      </c>
      <c r="E471" s="37">
        <v>79</v>
      </c>
      <c r="F471" s="37">
        <v>0</v>
      </c>
      <c r="G471" s="37">
        <v>6</v>
      </c>
      <c r="H471" s="40">
        <f ca="1">LEFT(Music_Data[[#This Row],[Duration_minutes]],3)/60</f>
        <v>2.15</v>
      </c>
      <c r="I471" s="39">
        <v>3.7100000000000001E-2</v>
      </c>
      <c r="J471" s="41" t="str">
        <f t="shared" si="7"/>
        <v>No muy popular</v>
      </c>
      <c r="K471" s="43">
        <v>45240</v>
      </c>
    </row>
    <row r="472" spans="1:11">
      <c r="A472" s="34">
        <v>0.22</v>
      </c>
      <c r="B472" s="32">
        <v>163</v>
      </c>
      <c r="C472" s="33">
        <v>0.70199999999999996</v>
      </c>
      <c r="D472" s="34">
        <v>0.19700000000000001</v>
      </c>
      <c r="E472" s="32">
        <v>79</v>
      </c>
      <c r="F472" s="32">
        <v>1</v>
      </c>
      <c r="G472" s="32">
        <v>0</v>
      </c>
      <c r="H472" s="35">
        <f ca="1">LEFT(Music_Data[[#This Row],[Duration_minutes]],3)/60</f>
        <v>4.1166666666666663</v>
      </c>
      <c r="I472" s="34">
        <v>0.69799999999999995</v>
      </c>
      <c r="J472" s="36" t="str">
        <f t="shared" si="7"/>
        <v>No muy popular</v>
      </c>
      <c r="K472" s="42">
        <v>45205</v>
      </c>
    </row>
    <row r="473" spans="1:11">
      <c r="A473" s="39">
        <v>0.72899999999999998</v>
      </c>
      <c r="B473" s="37">
        <v>114</v>
      </c>
      <c r="C473" s="38">
        <v>0.88</v>
      </c>
      <c r="D473" s="39">
        <v>0.246</v>
      </c>
      <c r="E473" s="37">
        <v>79</v>
      </c>
      <c r="F473" s="37">
        <v>0</v>
      </c>
      <c r="G473" s="37">
        <v>11</v>
      </c>
      <c r="H473" s="40">
        <f ca="1">LEFT(Music_Data[[#This Row],[Duration_minutes]],3)/60</f>
        <v>2.75</v>
      </c>
      <c r="I473" s="39">
        <v>0.33400000000000002</v>
      </c>
      <c r="J473" s="41" t="str">
        <f t="shared" si="7"/>
        <v>No muy popular</v>
      </c>
      <c r="K473" s="43">
        <v>44631</v>
      </c>
    </row>
    <row r="474" spans="1:11">
      <c r="A474" s="34">
        <v>0.47499999999999998</v>
      </c>
      <c r="B474" s="32">
        <v>128</v>
      </c>
      <c r="C474" s="33">
        <v>0.80100000000000005</v>
      </c>
      <c r="D474" s="34">
        <v>0.23400000000000001</v>
      </c>
      <c r="E474" s="32">
        <v>79</v>
      </c>
      <c r="F474" s="32">
        <v>0</v>
      </c>
      <c r="G474" s="32">
        <v>7</v>
      </c>
      <c r="H474" s="35">
        <f ca="1">LEFT(Music_Data[[#This Row],[Duration_minutes]],3)/60</f>
        <v>3.6666666666666665</v>
      </c>
      <c r="I474" s="34">
        <v>0.14099999999999999</v>
      </c>
      <c r="J474" s="36" t="str">
        <f t="shared" si="7"/>
        <v>No muy popular</v>
      </c>
      <c r="K474" s="42">
        <v>45478</v>
      </c>
    </row>
    <row r="475" spans="1:11">
      <c r="A475" s="39">
        <v>0.71499999999999997</v>
      </c>
      <c r="B475" s="37">
        <v>165</v>
      </c>
      <c r="C475" s="38">
        <v>0.65</v>
      </c>
      <c r="D475" s="39">
        <v>0.187</v>
      </c>
      <c r="E475" s="37">
        <v>79</v>
      </c>
      <c r="F475" s="37">
        <v>0</v>
      </c>
      <c r="G475" s="37">
        <v>5</v>
      </c>
      <c r="H475" s="40">
        <f ca="1">LEFT(Music_Data[[#This Row],[Duration_minutes]],3)/60</f>
        <v>3.6666666666666665</v>
      </c>
      <c r="I475" s="39">
        <v>9.9299999999999999E-2</v>
      </c>
      <c r="J475" s="41" t="str">
        <f t="shared" si="7"/>
        <v>No muy popular</v>
      </c>
      <c r="K475" s="43">
        <v>45303</v>
      </c>
    </row>
    <row r="476" spans="1:11">
      <c r="A476" s="34">
        <v>0.67400000000000004</v>
      </c>
      <c r="B476" s="32">
        <v>106</v>
      </c>
      <c r="C476" s="33">
        <v>0.80400000000000005</v>
      </c>
      <c r="D476" s="34">
        <v>0.29199999999999998</v>
      </c>
      <c r="E476" s="32">
        <v>79</v>
      </c>
      <c r="F476" s="32">
        <v>0</v>
      </c>
      <c r="G476" s="32">
        <v>5</v>
      </c>
      <c r="H476" s="35">
        <f ca="1">LEFT(Music_Data[[#This Row],[Duration_minutes]],3)/60</f>
        <v>2.2166666666666668</v>
      </c>
      <c r="I476" s="34">
        <v>0.29399999999999998</v>
      </c>
      <c r="J476" s="36" t="str">
        <f t="shared" si="7"/>
        <v>No muy popular</v>
      </c>
      <c r="K476" s="42">
        <v>44477</v>
      </c>
    </row>
    <row r="477" spans="1:11">
      <c r="A477" s="39">
        <v>0.47899999999999998</v>
      </c>
      <c r="B477" s="37">
        <v>125</v>
      </c>
      <c r="C477" s="38">
        <v>0.81200000000000006</v>
      </c>
      <c r="D477" s="39">
        <v>0.55900000000000005</v>
      </c>
      <c r="E477" s="37">
        <v>79</v>
      </c>
      <c r="F477" s="37">
        <v>0</v>
      </c>
      <c r="G477" s="37">
        <v>2</v>
      </c>
      <c r="H477" s="40">
        <f ca="1">LEFT(Music_Data[[#This Row],[Duration_minutes]],3)/60</f>
        <v>3.0333333333333332</v>
      </c>
      <c r="I477" s="39">
        <v>0.21299999999999999</v>
      </c>
      <c r="J477" s="41" t="str">
        <f t="shared" si="7"/>
        <v>No muy popular</v>
      </c>
      <c r="K477" s="43">
        <v>45149</v>
      </c>
    </row>
    <row r="478" spans="1:11">
      <c r="A478" s="34">
        <v>0.70899999999999996</v>
      </c>
      <c r="B478" s="32">
        <v>754</v>
      </c>
      <c r="C478" s="33">
        <v>0.72499999999999998</v>
      </c>
      <c r="D478" s="34">
        <v>0.64800000000000002</v>
      </c>
      <c r="E478" s="32">
        <v>79</v>
      </c>
      <c r="F478" s="32">
        <v>0</v>
      </c>
      <c r="G478" s="32">
        <v>3</v>
      </c>
      <c r="H478" s="35">
        <f ca="1">LEFT(Music_Data[[#This Row],[Duration_minutes]],3)/60</f>
        <v>2.3333333333333335</v>
      </c>
      <c r="I478" s="34">
        <v>0.32100000000000001</v>
      </c>
      <c r="J478" s="36" t="str">
        <f t="shared" si="7"/>
        <v>No muy popular</v>
      </c>
      <c r="K478" s="42">
        <v>45100</v>
      </c>
    </row>
    <row r="479" spans="1:11">
      <c r="A479" s="39">
        <v>0.66500000000000004</v>
      </c>
      <c r="B479" s="37">
        <v>145</v>
      </c>
      <c r="C479" s="38">
        <v>0.85799999999999998</v>
      </c>
      <c r="D479" s="39">
        <v>0.65900000000000003</v>
      </c>
      <c r="E479" s="37">
        <v>79</v>
      </c>
      <c r="F479" s="37">
        <v>1</v>
      </c>
      <c r="G479" s="37">
        <v>11</v>
      </c>
      <c r="H479" s="40">
        <f ca="1">LEFT(Music_Data[[#This Row],[Duration_minutes]],3)/60</f>
        <v>3.6666666666666665</v>
      </c>
      <c r="I479" s="39">
        <v>0.126</v>
      </c>
      <c r="J479" s="41" t="str">
        <f t="shared" si="7"/>
        <v>No muy popular</v>
      </c>
      <c r="K479" s="43">
        <v>45203</v>
      </c>
    </row>
    <row r="480" spans="1:11">
      <c r="A480" s="34">
        <v>0.747</v>
      </c>
      <c r="B480" s="32">
        <v>154</v>
      </c>
      <c r="C480" s="33">
        <v>0.67</v>
      </c>
      <c r="D480" s="34">
        <v>0.91800000000000004</v>
      </c>
      <c r="E480" s="32">
        <v>79</v>
      </c>
      <c r="F480" s="32">
        <v>1</v>
      </c>
      <c r="G480" s="32">
        <v>1</v>
      </c>
      <c r="H480" s="35">
        <f ca="1">LEFT(Music_Data[[#This Row],[Duration_minutes]],3)/60</f>
        <v>14.45</v>
      </c>
      <c r="I480" s="34">
        <v>0.33700000000000002</v>
      </c>
      <c r="J480" s="36" t="str">
        <f t="shared" si="7"/>
        <v>No muy popular</v>
      </c>
      <c r="K480" s="42">
        <v>44980</v>
      </c>
    </row>
    <row r="481" spans="1:11">
      <c r="A481" s="39">
        <v>0.68100000000000005</v>
      </c>
      <c r="B481" s="37">
        <v>146</v>
      </c>
      <c r="C481" s="38">
        <v>0.91800000000000004</v>
      </c>
      <c r="D481" s="39">
        <v>0.70599999999999996</v>
      </c>
      <c r="E481" s="37">
        <v>79</v>
      </c>
      <c r="F481" s="37">
        <v>1</v>
      </c>
      <c r="G481" s="37">
        <v>1</v>
      </c>
      <c r="H481" s="40">
        <f ca="1">LEFT(Music_Data[[#This Row],[Duration_minutes]],3)/60</f>
        <v>1.7</v>
      </c>
      <c r="I481" s="39">
        <v>0.26300000000000001</v>
      </c>
      <c r="J481" s="41" t="str">
        <f t="shared" si="7"/>
        <v>No muy popular</v>
      </c>
      <c r="K481" s="43">
        <v>45000</v>
      </c>
    </row>
    <row r="482" spans="1:11">
      <c r="A482" s="34">
        <v>0.27600000000000002</v>
      </c>
      <c r="B482" s="32">
        <v>118</v>
      </c>
      <c r="C482" s="33">
        <v>0.33400000000000002</v>
      </c>
      <c r="D482" s="34">
        <v>0.42899999999999999</v>
      </c>
      <c r="E482" s="32">
        <v>79</v>
      </c>
      <c r="F482" s="32">
        <v>0</v>
      </c>
      <c r="G482" s="32">
        <v>4</v>
      </c>
      <c r="H482" s="35">
        <f ca="1">LEFT(Music_Data[[#This Row],[Duration_minutes]],3)/60</f>
        <v>2.8333333333333335</v>
      </c>
      <c r="I482" s="34">
        <v>0.877</v>
      </c>
      <c r="J482" s="36" t="str">
        <f t="shared" si="7"/>
        <v>No muy popular</v>
      </c>
      <c r="K482" s="42">
        <v>45338</v>
      </c>
    </row>
    <row r="483" spans="1:11">
      <c r="A483" s="39">
        <v>0.66200000000000003</v>
      </c>
      <c r="B483" s="37">
        <v>119</v>
      </c>
      <c r="C483" s="38">
        <v>0.89700000000000002</v>
      </c>
      <c r="D483" s="39">
        <v>0.39</v>
      </c>
      <c r="E483" s="37">
        <v>79</v>
      </c>
      <c r="F483" s="37">
        <v>0</v>
      </c>
      <c r="G483" s="37">
        <v>1</v>
      </c>
      <c r="H483" s="40">
        <f ca="1">LEFT(Music_Data[[#This Row],[Duration_minutes]],3)/60</f>
        <v>4.2666666666666666</v>
      </c>
      <c r="I483" s="39">
        <v>8.5199999999999998E-2</v>
      </c>
      <c r="J483" s="41" t="str">
        <f t="shared" si="7"/>
        <v>No muy popular</v>
      </c>
      <c r="K483" s="43">
        <v>45562</v>
      </c>
    </row>
    <row r="484" spans="1:11">
      <c r="A484" s="34">
        <v>0.79700000000000004</v>
      </c>
      <c r="B484" s="32">
        <v>119</v>
      </c>
      <c r="C484" s="33">
        <v>0.70199999999999996</v>
      </c>
      <c r="D484" s="34">
        <v>3.56E-2</v>
      </c>
      <c r="E484" s="32">
        <v>79</v>
      </c>
      <c r="F484" s="32">
        <v>0</v>
      </c>
      <c r="G484" s="32">
        <v>10</v>
      </c>
      <c r="H484" s="35">
        <f ca="1">LEFT(Music_Data[[#This Row],[Duration_minutes]],3)/60</f>
        <v>4.2666666666666666</v>
      </c>
      <c r="I484" s="34">
        <v>0.58299999999999996</v>
      </c>
      <c r="J484" s="36" t="str">
        <f t="shared" si="7"/>
        <v>No muy popular</v>
      </c>
      <c r="K484" s="42">
        <v>45562</v>
      </c>
    </row>
    <row r="485" spans="1:11">
      <c r="A485" s="39">
        <v>0.873</v>
      </c>
      <c r="B485" s="37">
        <v>785</v>
      </c>
      <c r="C485" s="38">
        <v>0.621</v>
      </c>
      <c r="D485" s="39">
        <v>0.873</v>
      </c>
      <c r="E485" s="37">
        <v>79</v>
      </c>
      <c r="F485" s="37">
        <v>0</v>
      </c>
      <c r="G485" s="37">
        <v>5</v>
      </c>
      <c r="H485" s="40">
        <f ca="1">LEFT(Music_Data[[#This Row],[Duration_minutes]],3)/60</f>
        <v>3</v>
      </c>
      <c r="I485" s="39">
        <v>4.0599999999999997E-2</v>
      </c>
      <c r="J485" s="41" t="str">
        <f t="shared" si="7"/>
        <v>No muy popular</v>
      </c>
      <c r="K485" s="43">
        <v>42937</v>
      </c>
    </row>
    <row r="486" spans="1:11">
      <c r="A486" s="34">
        <v>0.83299999999999996</v>
      </c>
      <c r="B486" s="32">
        <v>101</v>
      </c>
      <c r="C486" s="33">
        <v>0.46600000000000003</v>
      </c>
      <c r="D486" s="34">
        <v>0.66100000000000003</v>
      </c>
      <c r="E486" s="32">
        <v>78</v>
      </c>
      <c r="F486" s="32">
        <v>1</v>
      </c>
      <c r="G486" s="32">
        <v>7</v>
      </c>
      <c r="H486" s="35">
        <f ca="1">LEFT(Music_Data[[#This Row],[Duration_minutes]],3)/60</f>
        <v>4.5666666666666664</v>
      </c>
      <c r="I486" s="34">
        <v>2.6599999999999999E-2</v>
      </c>
      <c r="J486" s="36" t="str">
        <f t="shared" si="7"/>
        <v>No muy popular</v>
      </c>
      <c r="K486" s="42">
        <v>45416</v>
      </c>
    </row>
    <row r="487" spans="1:11">
      <c r="A487" s="39">
        <v>0.78900000000000003</v>
      </c>
      <c r="B487" s="37">
        <v>101</v>
      </c>
      <c r="C487" s="38">
        <v>0.67400000000000004</v>
      </c>
      <c r="D487" s="39">
        <v>0.91800000000000004</v>
      </c>
      <c r="E487" s="37">
        <v>78</v>
      </c>
      <c r="F487" s="37">
        <v>1</v>
      </c>
      <c r="G487" s="37">
        <v>8</v>
      </c>
      <c r="H487" s="40">
        <f ca="1">LEFT(Music_Data[[#This Row],[Duration_minutes]],3)/60</f>
        <v>4.5666666666666664</v>
      </c>
      <c r="I487" s="39">
        <v>1.7799999999999999E-3</v>
      </c>
      <c r="J487" s="41" t="str">
        <f t="shared" si="7"/>
        <v>No muy popular</v>
      </c>
      <c r="K487" s="43">
        <v>45416</v>
      </c>
    </row>
    <row r="488" spans="1:11">
      <c r="A488" s="34">
        <v>0.68400000000000005</v>
      </c>
      <c r="B488" s="32">
        <v>800</v>
      </c>
      <c r="C488" s="33">
        <v>0.83199999999999996</v>
      </c>
      <c r="D488" s="34">
        <v>0.68</v>
      </c>
      <c r="E488" s="32">
        <v>78</v>
      </c>
      <c r="F488" s="32">
        <v>1</v>
      </c>
      <c r="G488" s="32">
        <v>1</v>
      </c>
      <c r="H488" s="35">
        <f ca="1">LEFT(Music_Data[[#This Row],[Duration_minutes]],3)/60</f>
        <v>4.25</v>
      </c>
      <c r="I488" s="34">
        <v>4.4900000000000001E-3</v>
      </c>
      <c r="J488" s="36" t="str">
        <f t="shared" si="7"/>
        <v>No muy popular</v>
      </c>
      <c r="K488" s="42">
        <v>45593</v>
      </c>
    </row>
    <row r="489" spans="1:11">
      <c r="A489" s="39">
        <v>0.69</v>
      </c>
      <c r="B489" s="37">
        <v>825</v>
      </c>
      <c r="C489" s="38">
        <v>0.85299999999999998</v>
      </c>
      <c r="D489" s="39">
        <v>0.47099999999999997</v>
      </c>
      <c r="E489" s="37">
        <v>78</v>
      </c>
      <c r="F489" s="37">
        <v>1</v>
      </c>
      <c r="G489" s="37">
        <v>10</v>
      </c>
      <c r="H489" s="40">
        <f ca="1">LEFT(Music_Data[[#This Row],[Duration_minutes]],3)/60</f>
        <v>2.75</v>
      </c>
      <c r="I489" s="39">
        <v>7.7100000000000002E-2</v>
      </c>
      <c r="J489" s="41" t="str">
        <f t="shared" si="7"/>
        <v>No muy popular</v>
      </c>
      <c r="K489" s="43">
        <v>45593</v>
      </c>
    </row>
    <row r="490" spans="1:11">
      <c r="A490" s="34">
        <v>0.59199999999999997</v>
      </c>
      <c r="B490" s="32">
        <v>975</v>
      </c>
      <c r="C490" s="33">
        <v>0.82</v>
      </c>
      <c r="D490" s="34">
        <v>0.4</v>
      </c>
      <c r="E490" s="32">
        <v>78</v>
      </c>
      <c r="F490" s="32">
        <v>1</v>
      </c>
      <c r="G490" s="32">
        <v>1</v>
      </c>
      <c r="H490" s="35">
        <f ca="1">LEFT(Music_Data[[#This Row],[Duration_minutes]],3)/60</f>
        <v>4.2166666666666668</v>
      </c>
      <c r="I490" s="34">
        <v>1.49E-2</v>
      </c>
      <c r="J490" s="36" t="str">
        <f t="shared" si="7"/>
        <v>No muy popular</v>
      </c>
      <c r="K490" s="42">
        <v>45593</v>
      </c>
    </row>
    <row r="491" spans="1:11">
      <c r="A491" s="39">
        <v>0.626</v>
      </c>
      <c r="B491" s="37">
        <v>119</v>
      </c>
      <c r="C491" s="38">
        <v>0.81899999999999995</v>
      </c>
      <c r="D491" s="39">
        <v>0.41499999999999998</v>
      </c>
      <c r="E491" s="37">
        <v>78</v>
      </c>
      <c r="F491" s="37">
        <v>0</v>
      </c>
      <c r="G491" s="37">
        <v>10</v>
      </c>
      <c r="H491" s="40">
        <f ca="1">LEFT(Music_Data[[#This Row],[Duration_minutes]],3)/60</f>
        <v>3.6166666666666667</v>
      </c>
      <c r="I491" s="39">
        <v>7.4799999999999997E-3</v>
      </c>
      <c r="J491" s="41" t="str">
        <f t="shared" si="7"/>
        <v>No muy popular</v>
      </c>
      <c r="K491" s="43">
        <v>45457</v>
      </c>
    </row>
    <row r="492" spans="1:11">
      <c r="A492" s="34">
        <v>0.56699999999999995</v>
      </c>
      <c r="B492" s="32">
        <v>180</v>
      </c>
      <c r="C492" s="33">
        <v>0.57399999999999995</v>
      </c>
      <c r="D492" s="34">
        <v>0.52600000000000002</v>
      </c>
      <c r="E492" s="32">
        <v>78</v>
      </c>
      <c r="F492" s="32">
        <v>0</v>
      </c>
      <c r="G492" s="32">
        <v>7</v>
      </c>
      <c r="H492" s="35">
        <f ca="1">LEFT(Music_Data[[#This Row],[Duration_minutes]],3)/60</f>
        <v>3.1666666666666665</v>
      </c>
      <c r="I492" s="34">
        <v>0.16400000000000001</v>
      </c>
      <c r="J492" s="36" t="str">
        <f t="shared" si="7"/>
        <v>No muy popular</v>
      </c>
      <c r="K492" s="42">
        <v>45482</v>
      </c>
    </row>
    <row r="493" spans="1:11">
      <c r="A493" s="39">
        <v>0.81399999999999995</v>
      </c>
      <c r="B493" s="37">
        <v>129</v>
      </c>
      <c r="C493" s="38">
        <v>0.68300000000000005</v>
      </c>
      <c r="D493" s="39">
        <v>0.75800000000000001</v>
      </c>
      <c r="E493" s="37">
        <v>78</v>
      </c>
      <c r="F493" s="37">
        <v>1</v>
      </c>
      <c r="G493" s="37">
        <v>2</v>
      </c>
      <c r="H493" s="40">
        <f ca="1">LEFT(Music_Data[[#This Row],[Duration_minutes]],3)/60</f>
        <v>3.45</v>
      </c>
      <c r="I493" s="39">
        <v>0.27700000000000002</v>
      </c>
      <c r="J493" s="41" t="str">
        <f t="shared" si="7"/>
        <v>No muy popular</v>
      </c>
      <c r="K493" s="43">
        <v>45593</v>
      </c>
    </row>
    <row r="494" spans="1:11">
      <c r="A494" s="34">
        <v>0.627</v>
      </c>
      <c r="B494" s="32">
        <v>141</v>
      </c>
      <c r="C494" s="33">
        <v>0.68700000000000006</v>
      </c>
      <c r="D494" s="34">
        <v>0.47</v>
      </c>
      <c r="E494" s="32">
        <v>78</v>
      </c>
      <c r="F494" s="32">
        <v>1</v>
      </c>
      <c r="G494" s="32">
        <v>7</v>
      </c>
      <c r="H494" s="35">
        <f ca="1">LEFT(Music_Data[[#This Row],[Duration_minutes]],3)/60</f>
        <v>3.1666666666666665</v>
      </c>
      <c r="I494" s="34">
        <v>0.32600000000000001</v>
      </c>
      <c r="J494" s="36" t="str">
        <f t="shared" si="7"/>
        <v>No muy popular</v>
      </c>
      <c r="K494" s="42">
        <v>45156</v>
      </c>
    </row>
    <row r="495" spans="1:11">
      <c r="A495" s="39">
        <v>0.64300000000000002</v>
      </c>
      <c r="B495" s="37">
        <v>144</v>
      </c>
      <c r="C495" s="38">
        <v>0.63300000000000001</v>
      </c>
      <c r="D495" s="39">
        <v>0.47199999999999998</v>
      </c>
      <c r="E495" s="37">
        <v>78</v>
      </c>
      <c r="F495" s="37">
        <v>1</v>
      </c>
      <c r="G495" s="37">
        <v>0</v>
      </c>
      <c r="H495" s="40">
        <f ca="1">LEFT(Music_Data[[#This Row],[Duration_minutes]],3)/60</f>
        <v>3.8</v>
      </c>
      <c r="I495" s="39">
        <v>0.106</v>
      </c>
      <c r="J495" s="41" t="str">
        <f t="shared" si="7"/>
        <v>No muy popular</v>
      </c>
      <c r="K495" s="43">
        <v>45373</v>
      </c>
    </row>
    <row r="496" spans="1:11">
      <c r="A496" s="34">
        <v>0.59299999999999997</v>
      </c>
      <c r="B496" s="32">
        <v>144</v>
      </c>
      <c r="C496" s="33">
        <v>0.56499999999999995</v>
      </c>
      <c r="D496" s="34">
        <v>0.42899999999999999</v>
      </c>
      <c r="E496" s="32">
        <v>78</v>
      </c>
      <c r="F496" s="32">
        <v>1</v>
      </c>
      <c r="G496" s="32">
        <v>8</v>
      </c>
      <c r="H496" s="35">
        <f ca="1">LEFT(Music_Data[[#This Row],[Duration_minutes]],3)/60</f>
        <v>3.8</v>
      </c>
      <c r="I496" s="34">
        <v>2.8799999999999999E-2</v>
      </c>
      <c r="J496" s="36" t="str">
        <f t="shared" si="7"/>
        <v>No muy popular</v>
      </c>
      <c r="K496" s="42">
        <v>45373</v>
      </c>
    </row>
    <row r="497" spans="1:11">
      <c r="A497" s="39">
        <v>0.39400000000000002</v>
      </c>
      <c r="B497" s="37">
        <v>120</v>
      </c>
      <c r="C497" s="38">
        <v>0.68899999999999995</v>
      </c>
      <c r="D497" s="39">
        <v>0.38200000000000001</v>
      </c>
      <c r="E497" s="37">
        <v>78</v>
      </c>
      <c r="F497" s="37">
        <v>0</v>
      </c>
      <c r="G497" s="37">
        <v>2</v>
      </c>
      <c r="H497" s="40">
        <f ca="1">LEFT(Music_Data[[#This Row],[Duration_minutes]],3)/60</f>
        <v>3.2666666666666666</v>
      </c>
      <c r="I497" s="39">
        <v>0.71099999999999997</v>
      </c>
      <c r="J497" s="41" t="str">
        <f t="shared" si="7"/>
        <v>No muy popular</v>
      </c>
      <c r="K497" s="43">
        <v>43413</v>
      </c>
    </row>
    <row r="498" spans="1:11">
      <c r="A498" s="34">
        <v>0.55100000000000005</v>
      </c>
      <c r="B498" s="32">
        <v>139</v>
      </c>
      <c r="C498" s="33">
        <v>0.91100000000000003</v>
      </c>
      <c r="D498" s="34">
        <v>0.96899999999999997</v>
      </c>
      <c r="E498" s="32">
        <v>78</v>
      </c>
      <c r="F498" s="32">
        <v>0</v>
      </c>
      <c r="G498" s="32">
        <v>8</v>
      </c>
      <c r="H498" s="35">
        <f ca="1">LEFT(Music_Data[[#This Row],[Duration_minutes]],3)/60</f>
        <v>2</v>
      </c>
      <c r="I498" s="34">
        <v>0.13300000000000001</v>
      </c>
      <c r="J498" s="36" t="str">
        <f t="shared" si="7"/>
        <v>No muy popular</v>
      </c>
      <c r="K498" s="42">
        <v>42972</v>
      </c>
    </row>
    <row r="499" spans="1:11">
      <c r="A499" s="39">
        <v>0.34399999999999997</v>
      </c>
      <c r="B499" s="37">
        <v>131</v>
      </c>
      <c r="C499" s="38">
        <v>0.58299999999999996</v>
      </c>
      <c r="D499" s="39">
        <v>0.58099999999999996</v>
      </c>
      <c r="E499" s="37">
        <v>78</v>
      </c>
      <c r="F499" s="37">
        <v>1</v>
      </c>
      <c r="G499" s="37">
        <v>2</v>
      </c>
      <c r="H499" s="40">
        <f ca="1">LEFT(Music_Data[[#This Row],[Duration_minutes]],3)/60</f>
        <v>2.4333333333333331</v>
      </c>
      <c r="I499" s="39">
        <v>0.77400000000000002</v>
      </c>
      <c r="J499" s="41" t="str">
        <f t="shared" si="7"/>
        <v>No muy popular</v>
      </c>
      <c r="K499" s="43">
        <v>42972</v>
      </c>
    </row>
    <row r="500" spans="1:11">
      <c r="A500" s="34">
        <v>0.57399999999999995</v>
      </c>
      <c r="B500" s="32">
        <v>162</v>
      </c>
      <c r="C500" s="33">
        <v>0.45200000000000001</v>
      </c>
      <c r="D500" s="34">
        <v>0.57799999999999996</v>
      </c>
      <c r="E500" s="32">
        <v>78</v>
      </c>
      <c r="F500" s="32">
        <v>1</v>
      </c>
      <c r="G500" s="32">
        <v>6</v>
      </c>
      <c r="H500" s="35">
        <f ca="1">LEFT(Music_Data[[#This Row],[Duration_minutes]],3)/60</f>
        <v>4.45</v>
      </c>
      <c r="I500" s="34">
        <v>0.245</v>
      </c>
      <c r="J500" s="36" t="str">
        <f t="shared" si="7"/>
        <v>No muy popular</v>
      </c>
      <c r="K500" s="42">
        <v>45373</v>
      </c>
    </row>
    <row r="501" spans="1:11">
      <c r="A501" s="39">
        <v>0.81499999999999995</v>
      </c>
      <c r="B501" s="37">
        <v>161</v>
      </c>
      <c r="C501" s="38">
        <v>0.63600000000000001</v>
      </c>
      <c r="D501" s="39">
        <v>0.63600000000000001</v>
      </c>
      <c r="E501" s="37">
        <v>78</v>
      </c>
      <c r="F501" s="37">
        <v>0</v>
      </c>
      <c r="G501" s="37">
        <v>5</v>
      </c>
      <c r="H501" s="40">
        <f ca="1">LEFT(Music_Data[[#This Row],[Duration_minutes]],3)/60</f>
        <v>2.75</v>
      </c>
      <c r="I501" s="39">
        <v>1.8499999999999999E-2</v>
      </c>
      <c r="J501" s="41" t="str">
        <f t="shared" si="7"/>
        <v>No muy popular</v>
      </c>
      <c r="K501" s="43">
        <v>43444</v>
      </c>
    </row>
    <row r="502" spans="1:11">
      <c r="A502" s="34">
        <v>0.73599999999999999</v>
      </c>
      <c r="B502" s="32">
        <v>904</v>
      </c>
      <c r="C502" s="33">
        <v>0.57899999999999996</v>
      </c>
      <c r="D502" s="34">
        <v>0.61299999999999999</v>
      </c>
      <c r="E502" s="32">
        <v>78</v>
      </c>
      <c r="F502" s="32">
        <v>0</v>
      </c>
      <c r="G502" s="32">
        <v>6</v>
      </c>
      <c r="H502" s="35">
        <f ca="1">LEFT(Music_Data[[#This Row],[Duration_minutes]],3)/60</f>
        <v>3.95</v>
      </c>
      <c r="I502" s="34">
        <v>0.31</v>
      </c>
      <c r="J502" s="36" t="str">
        <f t="shared" si="7"/>
        <v>No muy popular</v>
      </c>
      <c r="K502" s="42">
        <v>39336</v>
      </c>
    </row>
    <row r="503" spans="1:11">
      <c r="A503" s="39">
        <v>0.77700000000000002</v>
      </c>
      <c r="B503" s="37">
        <v>117</v>
      </c>
      <c r="C503" s="38">
        <v>0.73</v>
      </c>
      <c r="D503" s="39">
        <v>0.57499999999999996</v>
      </c>
      <c r="E503" s="37">
        <v>78</v>
      </c>
      <c r="F503" s="37">
        <v>0</v>
      </c>
      <c r="G503" s="37">
        <v>3</v>
      </c>
      <c r="H503" s="40">
        <f ca="1">LEFT(Music_Data[[#This Row],[Duration_minutes]],3)/60</f>
        <v>16.533333333333335</v>
      </c>
      <c r="I503" s="39">
        <v>0.105</v>
      </c>
      <c r="J503" s="41" t="str">
        <f t="shared" si="7"/>
        <v>No muy popular</v>
      </c>
      <c r="K503" s="43">
        <v>41456</v>
      </c>
    </row>
    <row r="504" spans="1:11">
      <c r="A504" s="34">
        <v>0.45200000000000001</v>
      </c>
      <c r="B504" s="32">
        <v>120</v>
      </c>
      <c r="C504" s="33">
        <v>0.90400000000000003</v>
      </c>
      <c r="D504" s="34">
        <v>0.61299999999999999</v>
      </c>
      <c r="E504" s="32">
        <v>78</v>
      </c>
      <c r="F504" s="32">
        <v>1</v>
      </c>
      <c r="G504" s="32">
        <v>9</v>
      </c>
      <c r="H504" s="35">
        <f ca="1">LEFT(Music_Data[[#This Row],[Duration_minutes]],3)/60</f>
        <v>3.5833333333333335</v>
      </c>
      <c r="I504" s="34">
        <v>0.17399999999999999</v>
      </c>
      <c r="J504" s="36" t="str">
        <f t="shared" si="7"/>
        <v>No muy popular</v>
      </c>
      <c r="K504" s="42">
        <v>43714</v>
      </c>
    </row>
    <row r="505" spans="1:11">
      <c r="A505" s="39">
        <v>0.51200000000000001</v>
      </c>
      <c r="B505" s="37">
        <v>879</v>
      </c>
      <c r="C505" s="38">
        <v>0.80300000000000005</v>
      </c>
      <c r="D505" s="39">
        <v>0.435</v>
      </c>
      <c r="E505" s="37">
        <v>78</v>
      </c>
      <c r="F505" s="37">
        <v>0</v>
      </c>
      <c r="G505" s="37">
        <v>9</v>
      </c>
      <c r="H505" s="40">
        <f ca="1">LEFT(Music_Data[[#This Row],[Duration_minutes]],3)/60</f>
        <v>3.3166666666666669</v>
      </c>
      <c r="I505" s="39">
        <v>0.128</v>
      </c>
      <c r="J505" s="41" t="str">
        <f t="shared" si="7"/>
        <v>No muy popular</v>
      </c>
      <c r="K505" s="43">
        <v>44897</v>
      </c>
    </row>
    <row r="506" spans="1:11">
      <c r="A506" s="34">
        <v>0.64300000000000002</v>
      </c>
      <c r="B506" s="32">
        <v>119</v>
      </c>
      <c r="C506" s="33">
        <v>0.83099999999999996</v>
      </c>
      <c r="D506" s="34">
        <v>0.14199999999999999</v>
      </c>
      <c r="E506" s="32">
        <v>78</v>
      </c>
      <c r="F506" s="32">
        <v>1</v>
      </c>
      <c r="G506" s="32">
        <v>1</v>
      </c>
      <c r="H506" s="35">
        <f ca="1">LEFT(Music_Data[[#This Row],[Duration_minutes]],3)/60</f>
        <v>4.1833333333333336</v>
      </c>
      <c r="I506" s="34">
        <v>4.5999999999999999E-2</v>
      </c>
      <c r="J506" s="36" t="str">
        <f t="shared" si="7"/>
        <v>No muy popular</v>
      </c>
      <c r="K506" s="42">
        <v>45135</v>
      </c>
    </row>
    <row r="507" spans="1:11">
      <c r="A507" s="39">
        <v>0.56699999999999995</v>
      </c>
      <c r="B507" s="37">
        <v>140</v>
      </c>
      <c r="C507" s="38">
        <v>0.57399999999999995</v>
      </c>
      <c r="D507" s="39">
        <v>0.52600000000000002</v>
      </c>
      <c r="E507" s="37">
        <v>78</v>
      </c>
      <c r="F507" s="37">
        <v>0</v>
      </c>
      <c r="G507" s="37">
        <v>7</v>
      </c>
      <c r="H507" s="40">
        <f ca="1">LEFT(Music_Data[[#This Row],[Duration_minutes]],3)/60</f>
        <v>2.3333333333333335</v>
      </c>
      <c r="I507" s="39">
        <v>0.16400000000000001</v>
      </c>
      <c r="J507" s="41" t="str">
        <f t="shared" si="7"/>
        <v>No muy popular</v>
      </c>
      <c r="K507" s="43">
        <v>45435</v>
      </c>
    </row>
    <row r="508" spans="1:11">
      <c r="A508" s="34">
        <v>0.59299999999999997</v>
      </c>
      <c r="B508" s="32">
        <v>934</v>
      </c>
      <c r="C508" s="33">
        <v>0.56499999999999995</v>
      </c>
      <c r="D508" s="34">
        <v>0.42899999999999999</v>
      </c>
      <c r="E508" s="32">
        <v>78</v>
      </c>
      <c r="F508" s="32">
        <v>1</v>
      </c>
      <c r="G508" s="32">
        <v>8</v>
      </c>
      <c r="H508" s="35">
        <f ca="1">LEFT(Music_Data[[#This Row],[Duration_minutes]],3)/60</f>
        <v>4.5</v>
      </c>
      <c r="I508" s="34">
        <v>2.8799999999999999E-2</v>
      </c>
      <c r="J508" s="36" t="str">
        <f t="shared" si="7"/>
        <v>No muy popular</v>
      </c>
      <c r="K508" s="42">
        <v>36480</v>
      </c>
    </row>
    <row r="509" spans="1:11">
      <c r="A509" s="39">
        <v>0.81399999999999995</v>
      </c>
      <c r="B509" s="37">
        <v>150</v>
      </c>
      <c r="C509" s="38">
        <v>0.68300000000000005</v>
      </c>
      <c r="D509" s="39">
        <v>0.75800000000000001</v>
      </c>
      <c r="E509" s="37">
        <v>78</v>
      </c>
      <c r="F509" s="37">
        <v>1</v>
      </c>
      <c r="G509" s="37">
        <v>2</v>
      </c>
      <c r="H509" s="40">
        <f ca="1">LEFT(Music_Data[[#This Row],[Duration_minutes]],3)/60</f>
        <v>3.4</v>
      </c>
      <c r="I509" s="39">
        <v>0.27700000000000002</v>
      </c>
      <c r="J509" s="41" t="str">
        <f t="shared" si="7"/>
        <v>No muy popular</v>
      </c>
      <c r="K509" s="43">
        <v>42916</v>
      </c>
    </row>
    <row r="510" spans="1:11">
      <c r="A510" s="34">
        <v>0.69699999999999995</v>
      </c>
      <c r="B510" s="32">
        <v>150</v>
      </c>
      <c r="C510" s="33">
        <v>0.90100000000000002</v>
      </c>
      <c r="D510" s="34">
        <v>0.67</v>
      </c>
      <c r="E510" s="32">
        <v>78</v>
      </c>
      <c r="F510" s="32">
        <v>1</v>
      </c>
      <c r="G510" s="32">
        <v>9</v>
      </c>
      <c r="H510" s="35">
        <f ca="1">LEFT(Music_Data[[#This Row],[Duration_minutes]],3)/60</f>
        <v>3.4</v>
      </c>
      <c r="I510" s="34">
        <v>0.14499999999999999</v>
      </c>
      <c r="J510" s="36" t="str">
        <f t="shared" si="7"/>
        <v>No muy popular</v>
      </c>
      <c r="K510" s="42">
        <v>42916</v>
      </c>
    </row>
    <row r="511" spans="1:11">
      <c r="A511" s="39">
        <v>0.78200000000000003</v>
      </c>
      <c r="B511" s="37">
        <v>155</v>
      </c>
      <c r="C511" s="38">
        <v>0.875</v>
      </c>
      <c r="D511" s="39">
        <v>0.90600000000000003</v>
      </c>
      <c r="E511" s="37">
        <v>78</v>
      </c>
      <c r="F511" s="37">
        <v>0</v>
      </c>
      <c r="G511" s="37">
        <v>5</v>
      </c>
      <c r="H511" s="40">
        <f ca="1">LEFT(Music_Data[[#This Row],[Duration_minutes]],3)/60</f>
        <v>3.0333333333333332</v>
      </c>
      <c r="I511" s="39">
        <v>0.151</v>
      </c>
      <c r="J511" s="41" t="str">
        <f t="shared" si="7"/>
        <v>No muy popular</v>
      </c>
      <c r="K511" s="43">
        <v>42972</v>
      </c>
    </row>
    <row r="512" spans="1:11">
      <c r="A512" s="34">
        <v>0.89500000000000002</v>
      </c>
      <c r="B512" s="32">
        <v>143</v>
      </c>
      <c r="C512" s="33">
        <v>0.80300000000000005</v>
      </c>
      <c r="D512" s="34">
        <v>0.75700000000000001</v>
      </c>
      <c r="E512" s="32">
        <v>78</v>
      </c>
      <c r="F512" s="32">
        <v>1</v>
      </c>
      <c r="G512" s="32">
        <v>1</v>
      </c>
      <c r="H512" s="35">
        <f ca="1">LEFT(Music_Data[[#This Row],[Duration_minutes]],3)/60</f>
        <v>2.4666666666666668</v>
      </c>
      <c r="I512" s="34">
        <v>8.1600000000000006E-2</v>
      </c>
      <c r="J512" s="36" t="str">
        <f t="shared" si="7"/>
        <v>No muy popular</v>
      </c>
      <c r="K512" s="42">
        <v>45548</v>
      </c>
    </row>
    <row r="513" spans="1:11">
      <c r="A513" s="39">
        <v>0.72799999999999998</v>
      </c>
      <c r="B513" s="37">
        <v>155</v>
      </c>
      <c r="C513" s="38">
        <v>0.77400000000000002</v>
      </c>
      <c r="D513" s="39">
        <v>0.46100000000000002</v>
      </c>
      <c r="E513" s="37">
        <v>78</v>
      </c>
      <c r="F513" s="37">
        <v>1</v>
      </c>
      <c r="G513" s="37">
        <v>2</v>
      </c>
      <c r="H513" s="40">
        <f ca="1">LEFT(Music_Data[[#This Row],[Duration_minutes]],3)/60</f>
        <v>5.2</v>
      </c>
      <c r="I513" s="39">
        <v>0.113</v>
      </c>
      <c r="J513" s="41" t="str">
        <f t="shared" si="7"/>
        <v>No muy popular</v>
      </c>
      <c r="K513" s="43">
        <v>43315</v>
      </c>
    </row>
    <row r="514" spans="1:11">
      <c r="A514" s="34">
        <v>0.872</v>
      </c>
      <c r="B514" s="32">
        <v>129</v>
      </c>
      <c r="C514" s="33">
        <v>0.64400000000000002</v>
      </c>
      <c r="D514" s="34">
        <v>0.378</v>
      </c>
      <c r="E514" s="32">
        <v>78</v>
      </c>
      <c r="F514" s="32">
        <v>0</v>
      </c>
      <c r="G514" s="32">
        <v>6</v>
      </c>
      <c r="H514" s="35">
        <f ca="1">LEFT(Music_Data[[#This Row],[Duration_minutes]],3)/60</f>
        <v>15.9</v>
      </c>
      <c r="I514" s="34">
        <v>0.16400000000000001</v>
      </c>
      <c r="J514" s="36" t="str">
        <f t="shared" si="7"/>
        <v>No muy popular</v>
      </c>
      <c r="K514" s="42">
        <v>42972</v>
      </c>
    </row>
    <row r="515" spans="1:11">
      <c r="A515" s="39">
        <v>0.627</v>
      </c>
      <c r="B515" s="37">
        <v>130</v>
      </c>
      <c r="C515" s="38">
        <v>0.68700000000000006</v>
      </c>
      <c r="D515" s="39">
        <v>0.47</v>
      </c>
      <c r="E515" s="37">
        <v>78</v>
      </c>
      <c r="F515" s="37">
        <v>1</v>
      </c>
      <c r="G515" s="37">
        <v>7</v>
      </c>
      <c r="H515" s="40">
        <f ca="1">LEFT(Music_Data[[#This Row],[Duration_minutes]],3)/60</f>
        <v>3.2166666666666668</v>
      </c>
      <c r="I515" s="39">
        <v>0.32600000000000001</v>
      </c>
      <c r="J515" s="41" t="str">
        <f t="shared" si="7"/>
        <v>No muy popular</v>
      </c>
      <c r="K515" s="43">
        <v>44106</v>
      </c>
    </row>
    <row r="516" spans="1:11">
      <c r="A516" s="34">
        <v>0.92800000000000005</v>
      </c>
      <c r="B516" s="32">
        <v>111</v>
      </c>
      <c r="C516" s="33">
        <v>0.57099999999999995</v>
      </c>
      <c r="D516" s="34">
        <v>0.48799999999999999</v>
      </c>
      <c r="E516" s="32">
        <v>78</v>
      </c>
      <c r="F516" s="32">
        <v>0</v>
      </c>
      <c r="G516" s="32">
        <v>4</v>
      </c>
      <c r="H516" s="35">
        <f ca="1">LEFT(Music_Data[[#This Row],[Duration_minutes]],3)/60</f>
        <v>4.9666666666666668</v>
      </c>
      <c r="I516" s="34">
        <v>9.3200000000000002E-3</v>
      </c>
      <c r="J516" s="36" t="str">
        <f t="shared" ref="J516:J579" si="8">IF(E516&gt;=94,"Muy Popular",IF(E516&gt;=86,"Popular",IF(E516&gt;=78,"No muy popular","Casi nada popular")))</f>
        <v>No muy popular</v>
      </c>
      <c r="K516" s="42">
        <v>42812</v>
      </c>
    </row>
    <row r="517" spans="1:11">
      <c r="A517" s="39">
        <v>0.78900000000000003</v>
      </c>
      <c r="B517" s="37">
        <v>165</v>
      </c>
      <c r="C517" s="38">
        <v>0.75700000000000001</v>
      </c>
      <c r="D517" s="39">
        <v>0.46400000000000002</v>
      </c>
      <c r="E517" s="37">
        <v>78</v>
      </c>
      <c r="F517" s="37">
        <v>0</v>
      </c>
      <c r="G517" s="37">
        <v>5</v>
      </c>
      <c r="H517" s="40">
        <f ca="1">LEFT(Music_Data[[#This Row],[Duration_minutes]],3)/60</f>
        <v>3.6333333333333333</v>
      </c>
      <c r="I517" s="39">
        <v>0.307</v>
      </c>
      <c r="J517" s="41" t="str">
        <f t="shared" si="8"/>
        <v>No muy popular</v>
      </c>
      <c r="K517" s="43">
        <v>44729</v>
      </c>
    </row>
    <row r="518" spans="1:11">
      <c r="A518" s="34">
        <v>0.52200000000000002</v>
      </c>
      <c r="B518" s="32">
        <v>110</v>
      </c>
      <c r="C518" s="33">
        <v>0.75</v>
      </c>
      <c r="D518" s="34">
        <v>0.60099999999999998</v>
      </c>
      <c r="E518" s="32">
        <v>78</v>
      </c>
      <c r="F518" s="32">
        <v>1</v>
      </c>
      <c r="G518" s="32">
        <v>9</v>
      </c>
      <c r="H518" s="35">
        <f ca="1">LEFT(Music_Data[[#This Row],[Duration_minutes]],3)/60</f>
        <v>4.416666666666667</v>
      </c>
      <c r="I518" s="34">
        <v>0.28199999999999997</v>
      </c>
      <c r="J518" s="36" t="str">
        <f t="shared" si="8"/>
        <v>No muy popular</v>
      </c>
      <c r="K518" s="42">
        <v>42943</v>
      </c>
    </row>
    <row r="519" spans="1:11">
      <c r="A519" s="39">
        <v>0.53400000000000003</v>
      </c>
      <c r="B519" s="37">
        <v>134</v>
      </c>
      <c r="C519" s="38">
        <v>0.83199999999999996</v>
      </c>
      <c r="D519" s="39">
        <v>0.11600000000000001</v>
      </c>
      <c r="E519" s="37">
        <v>78</v>
      </c>
      <c r="F519" s="37">
        <v>0</v>
      </c>
      <c r="G519" s="37">
        <v>1</v>
      </c>
      <c r="H519" s="40">
        <f ca="1">LEFT(Music_Data[[#This Row],[Duration_minutes]],3)/60</f>
        <v>4.2</v>
      </c>
      <c r="I519" s="39">
        <v>0.34499999999999997</v>
      </c>
      <c r="J519" s="41" t="str">
        <f t="shared" si="8"/>
        <v>No muy popular</v>
      </c>
      <c r="K519" s="43">
        <v>44449</v>
      </c>
    </row>
    <row r="520" spans="1:11">
      <c r="A520" s="34">
        <v>0.69199999999999995</v>
      </c>
      <c r="B520" s="32">
        <v>146</v>
      </c>
      <c r="C520" s="33">
        <v>0.623</v>
      </c>
      <c r="D520" s="34">
        <v>0.56599999999999995</v>
      </c>
      <c r="E520" s="32">
        <v>78</v>
      </c>
      <c r="F520" s="32">
        <v>1</v>
      </c>
      <c r="G520" s="32">
        <v>2</v>
      </c>
      <c r="H520" s="35">
        <f ca="1">LEFT(Music_Data[[#This Row],[Duration_minutes]],3)/60</f>
        <v>2.1</v>
      </c>
      <c r="I520" s="34">
        <v>0.32800000000000001</v>
      </c>
      <c r="J520" s="36" t="str">
        <f t="shared" si="8"/>
        <v>No muy popular</v>
      </c>
      <c r="K520" s="42">
        <v>45534</v>
      </c>
    </row>
    <row r="521" spans="1:11">
      <c r="A521" s="39">
        <v>0.42199999999999999</v>
      </c>
      <c r="B521" s="37">
        <v>869</v>
      </c>
      <c r="C521" s="38">
        <v>0.53</v>
      </c>
      <c r="D521" s="39">
        <v>0.34899999999999998</v>
      </c>
      <c r="E521" s="37">
        <v>78</v>
      </c>
      <c r="F521" s="37">
        <v>1</v>
      </c>
      <c r="G521" s="37">
        <v>5</v>
      </c>
      <c r="H521" s="40">
        <f ca="1">LEFT(Music_Data[[#This Row],[Duration_minutes]],3)/60</f>
        <v>3.3833333333333333</v>
      </c>
      <c r="I521" s="39">
        <v>0.40699999999999997</v>
      </c>
      <c r="J521" s="41" t="str">
        <f t="shared" si="8"/>
        <v>No muy popular</v>
      </c>
      <c r="K521" s="43">
        <v>39336</v>
      </c>
    </row>
    <row r="522" spans="1:11">
      <c r="A522" s="34">
        <v>0.53</v>
      </c>
      <c r="B522" s="32">
        <v>112</v>
      </c>
      <c r="C522" s="33">
        <v>0.63</v>
      </c>
      <c r="D522" s="34">
        <v>0.41699999999999998</v>
      </c>
      <c r="E522" s="32">
        <v>78</v>
      </c>
      <c r="F522" s="32">
        <v>1</v>
      </c>
      <c r="G522" s="32">
        <v>0</v>
      </c>
      <c r="H522" s="35">
        <f ca="1">LEFT(Music_Data[[#This Row],[Duration_minutes]],3)/60</f>
        <v>2.4166666666666665</v>
      </c>
      <c r="I522" s="34">
        <v>0.4</v>
      </c>
      <c r="J522" s="36" t="str">
        <f t="shared" si="8"/>
        <v>No muy popular</v>
      </c>
      <c r="K522" s="42">
        <v>43378</v>
      </c>
    </row>
    <row r="523" spans="1:11">
      <c r="A523" s="39">
        <v>0.55000000000000004</v>
      </c>
      <c r="B523" s="37">
        <v>116</v>
      </c>
      <c r="C523" s="38">
        <v>0.55100000000000005</v>
      </c>
      <c r="D523" s="39">
        <v>0.34200000000000003</v>
      </c>
      <c r="E523" s="37">
        <v>78</v>
      </c>
      <c r="F523" s="37">
        <v>1</v>
      </c>
      <c r="G523" s="37">
        <v>10</v>
      </c>
      <c r="H523" s="40">
        <f ca="1">LEFT(Music_Data[[#This Row],[Duration_minutes]],3)/60</f>
        <v>3.0333333333333332</v>
      </c>
      <c r="I523" s="39">
        <v>0.77700000000000002</v>
      </c>
      <c r="J523" s="41" t="str">
        <f t="shared" si="8"/>
        <v>No muy popular</v>
      </c>
      <c r="K523" s="43">
        <v>44897</v>
      </c>
    </row>
    <row r="524" spans="1:11">
      <c r="A524" s="34">
        <v>0.40100000000000002</v>
      </c>
      <c r="B524" s="32">
        <v>116</v>
      </c>
      <c r="C524" s="33">
        <v>0.67700000000000005</v>
      </c>
      <c r="D524" s="34">
        <v>0.19500000000000001</v>
      </c>
      <c r="E524" s="32">
        <v>78</v>
      </c>
      <c r="F524" s="32">
        <v>1</v>
      </c>
      <c r="G524" s="32">
        <v>9</v>
      </c>
      <c r="H524" s="35">
        <f ca="1">LEFT(Music_Data[[#This Row],[Duration_minutes]],3)/60</f>
        <v>3.0333333333333332</v>
      </c>
      <c r="I524" s="34">
        <v>0.71199999999999997</v>
      </c>
      <c r="J524" s="36" t="str">
        <f t="shared" si="8"/>
        <v>No muy popular</v>
      </c>
      <c r="K524" s="42">
        <v>44897</v>
      </c>
    </row>
    <row r="525" spans="1:11">
      <c r="A525" s="39">
        <v>0.69899999999999995</v>
      </c>
      <c r="B525" s="37">
        <v>143</v>
      </c>
      <c r="C525" s="38">
        <v>0.85</v>
      </c>
      <c r="D525" s="39">
        <v>0.91500000000000004</v>
      </c>
      <c r="E525" s="37">
        <v>78</v>
      </c>
      <c r="F525" s="37">
        <v>1</v>
      </c>
      <c r="G525" s="37">
        <v>0</v>
      </c>
      <c r="H525" s="40">
        <f ca="1">LEFT(Music_Data[[#This Row],[Duration_minutes]],3)/60</f>
        <v>3.25</v>
      </c>
      <c r="I525" s="39">
        <v>0.152</v>
      </c>
      <c r="J525" s="41" t="str">
        <f t="shared" si="8"/>
        <v>No muy popular</v>
      </c>
      <c r="K525" s="43">
        <v>44106</v>
      </c>
    </row>
    <row r="526" spans="1:11">
      <c r="A526" s="34">
        <v>0.76400000000000001</v>
      </c>
      <c r="B526" s="32">
        <v>160</v>
      </c>
      <c r="C526" s="33">
        <v>0.59099999999999997</v>
      </c>
      <c r="D526" s="34">
        <v>0.47799999999999998</v>
      </c>
      <c r="E526" s="32">
        <v>78</v>
      </c>
      <c r="F526" s="32">
        <v>1</v>
      </c>
      <c r="G526" s="32">
        <v>1</v>
      </c>
      <c r="H526" s="35">
        <f ca="1">LEFT(Music_Data[[#This Row],[Duration_minutes]],3)/60</f>
        <v>5.4333333333333336</v>
      </c>
      <c r="I526" s="34">
        <v>3.8300000000000001E-2</v>
      </c>
      <c r="J526" s="36" t="str">
        <f t="shared" si="8"/>
        <v>No muy popular</v>
      </c>
      <c r="K526" s="42">
        <v>42706</v>
      </c>
    </row>
    <row r="527" spans="1:11">
      <c r="A527" s="39">
        <v>0.45</v>
      </c>
      <c r="B527" s="37">
        <v>125</v>
      </c>
      <c r="C527" s="38">
        <v>0.59699999999999998</v>
      </c>
      <c r="D527" s="39">
        <v>0.53700000000000003</v>
      </c>
      <c r="E527" s="37">
        <v>78</v>
      </c>
      <c r="F527" s="37">
        <v>1</v>
      </c>
      <c r="G527" s="37">
        <v>8</v>
      </c>
      <c r="H527" s="40">
        <f ca="1">LEFT(Music_Data[[#This Row],[Duration_minutes]],3)/60</f>
        <v>2.2833333333333332</v>
      </c>
      <c r="I527" s="39">
        <v>0.223</v>
      </c>
      <c r="J527" s="41" t="str">
        <f t="shared" si="8"/>
        <v>No muy popular</v>
      </c>
      <c r="K527" s="43">
        <v>45535</v>
      </c>
    </row>
    <row r="528" spans="1:11">
      <c r="A528" s="34">
        <v>0.82</v>
      </c>
      <c r="B528" s="32">
        <v>166</v>
      </c>
      <c r="C528" s="33">
        <v>0.621</v>
      </c>
      <c r="D528" s="34">
        <v>0.45200000000000001</v>
      </c>
      <c r="E528" s="32">
        <v>78</v>
      </c>
      <c r="F528" s="32">
        <v>1</v>
      </c>
      <c r="G528" s="32">
        <v>10</v>
      </c>
      <c r="H528" s="35">
        <f ca="1">LEFT(Music_Data[[#This Row],[Duration_minutes]],3)/60</f>
        <v>2.4833333333333334</v>
      </c>
      <c r="I528" s="34">
        <v>0.33200000000000002</v>
      </c>
      <c r="J528" s="36" t="str">
        <f t="shared" si="8"/>
        <v>No muy popular</v>
      </c>
      <c r="K528" s="42">
        <v>45576</v>
      </c>
    </row>
    <row r="529" spans="1:11">
      <c r="A529" s="39">
        <v>0.17399999999999999</v>
      </c>
      <c r="B529" s="37">
        <v>823</v>
      </c>
      <c r="C529" s="38">
        <v>0.68100000000000005</v>
      </c>
      <c r="D529" s="39">
        <v>0.23100000000000001</v>
      </c>
      <c r="E529" s="37">
        <v>78</v>
      </c>
      <c r="F529" s="37">
        <v>1</v>
      </c>
      <c r="G529" s="37">
        <v>1</v>
      </c>
      <c r="H529" s="40">
        <f ca="1">LEFT(Music_Data[[#This Row],[Duration_minutes]],3)/60</f>
        <v>4.333333333333333</v>
      </c>
      <c r="I529" s="39">
        <v>0.83699999999999997</v>
      </c>
      <c r="J529" s="41" t="str">
        <f t="shared" si="8"/>
        <v>No muy popular</v>
      </c>
      <c r="K529" s="43">
        <v>33925</v>
      </c>
    </row>
    <row r="530" spans="1:11">
      <c r="A530" s="34">
        <v>0.48799999999999999</v>
      </c>
      <c r="B530" s="32">
        <v>759</v>
      </c>
      <c r="C530" s="33">
        <v>0.752</v>
      </c>
      <c r="D530" s="34">
        <v>0.53300000000000003</v>
      </c>
      <c r="E530" s="32">
        <v>78</v>
      </c>
      <c r="F530" s="32">
        <v>1</v>
      </c>
      <c r="G530" s="32">
        <v>6</v>
      </c>
      <c r="H530" s="35">
        <f ca="1">LEFT(Music_Data[[#This Row],[Duration_minutes]],3)/60</f>
        <v>3.8166666666666669</v>
      </c>
      <c r="I530" s="34">
        <v>0.29299999999999998</v>
      </c>
      <c r="J530" s="36" t="str">
        <f t="shared" si="8"/>
        <v>No muy popular</v>
      </c>
      <c r="K530" s="42">
        <v>44865</v>
      </c>
    </row>
    <row r="531" spans="1:11">
      <c r="A531" s="39">
        <v>0.78800000000000003</v>
      </c>
      <c r="B531" s="37">
        <v>159</v>
      </c>
      <c r="C531" s="38">
        <v>0.748</v>
      </c>
      <c r="D531" s="39">
        <v>0.88400000000000001</v>
      </c>
      <c r="E531" s="37">
        <v>78</v>
      </c>
      <c r="F531" s="37">
        <v>1</v>
      </c>
      <c r="G531" s="37">
        <v>1</v>
      </c>
      <c r="H531" s="40">
        <f ca="1">LEFT(Music_Data[[#This Row],[Duration_minutes]],3)/60</f>
        <v>3.2666666666666666</v>
      </c>
      <c r="I531" s="39">
        <v>5.91E-2</v>
      </c>
      <c r="J531" s="41" t="str">
        <f t="shared" si="8"/>
        <v>No muy popular</v>
      </c>
      <c r="K531" s="43">
        <v>43896</v>
      </c>
    </row>
    <row r="532" spans="1:11">
      <c r="A532" s="34">
        <v>0.57399999999999995</v>
      </c>
      <c r="B532" s="32">
        <v>123</v>
      </c>
      <c r="C532" s="33">
        <v>0.61299999999999999</v>
      </c>
      <c r="D532" s="34">
        <v>0.755</v>
      </c>
      <c r="E532" s="32">
        <v>78</v>
      </c>
      <c r="F532" s="32">
        <v>1</v>
      </c>
      <c r="G532" s="32">
        <v>11</v>
      </c>
      <c r="H532" s="35">
        <f ca="1">LEFT(Music_Data[[#This Row],[Duration_minutes]],3)/60</f>
        <v>2.4</v>
      </c>
      <c r="I532" s="34">
        <v>2.53E-2</v>
      </c>
      <c r="J532" s="36" t="str">
        <f t="shared" si="8"/>
        <v>No muy popular</v>
      </c>
      <c r="K532" s="42">
        <v>45191</v>
      </c>
    </row>
    <row r="533" spans="1:11">
      <c r="A533" s="39">
        <v>0.49099999999999999</v>
      </c>
      <c r="B533" s="37">
        <v>939</v>
      </c>
      <c r="C533" s="38">
        <v>0.749</v>
      </c>
      <c r="D533" s="39">
        <v>0.53600000000000003</v>
      </c>
      <c r="E533" s="37">
        <v>78</v>
      </c>
      <c r="F533" s="37">
        <v>1</v>
      </c>
      <c r="G533" s="37">
        <v>10</v>
      </c>
      <c r="H533" s="40">
        <f ca="1">LEFT(Music_Data[[#This Row],[Duration_minutes]],3)/60</f>
        <v>2.2000000000000002</v>
      </c>
      <c r="I533" s="39">
        <v>0.02</v>
      </c>
      <c r="J533" s="41" t="str">
        <f t="shared" si="8"/>
        <v>No muy popular</v>
      </c>
      <c r="K533" s="43">
        <v>43966</v>
      </c>
    </row>
    <row r="534" spans="1:11">
      <c r="A534" s="34">
        <v>0.84</v>
      </c>
      <c r="B534" s="32">
        <v>939</v>
      </c>
      <c r="C534" s="33">
        <v>0.61199999999999999</v>
      </c>
      <c r="D534" s="34">
        <v>0.438</v>
      </c>
      <c r="E534" s="32">
        <v>78</v>
      </c>
      <c r="F534" s="32">
        <v>0</v>
      </c>
      <c r="G534" s="32">
        <v>11</v>
      </c>
      <c r="H534" s="35">
        <f ca="1">LEFT(Music_Data[[#This Row],[Duration_minutes]],3)/60</f>
        <v>3.8166666666666669</v>
      </c>
      <c r="I534" s="34">
        <v>0.112</v>
      </c>
      <c r="J534" s="36" t="str">
        <f t="shared" si="8"/>
        <v>No muy popular</v>
      </c>
      <c r="K534" s="42">
        <v>35493</v>
      </c>
    </row>
    <row r="535" spans="1:11">
      <c r="A535" s="39">
        <v>0.81499999999999995</v>
      </c>
      <c r="B535" s="37">
        <v>145</v>
      </c>
      <c r="C535" s="38">
        <v>0.63600000000000001</v>
      </c>
      <c r="D535" s="39">
        <v>0.63600000000000001</v>
      </c>
      <c r="E535" s="37">
        <v>78</v>
      </c>
      <c r="F535" s="37">
        <v>0</v>
      </c>
      <c r="G535" s="37">
        <v>5</v>
      </c>
      <c r="H535" s="40">
        <f ca="1">LEFT(Music_Data[[#This Row],[Duration_minutes]],3)/60</f>
        <v>4.8</v>
      </c>
      <c r="I535" s="39">
        <v>1.8499999999999999E-2</v>
      </c>
      <c r="J535" s="41" t="str">
        <f t="shared" si="8"/>
        <v>No muy popular</v>
      </c>
      <c r="K535" s="43">
        <v>43455</v>
      </c>
    </row>
    <row r="536" spans="1:11">
      <c r="A536" s="34">
        <v>0.71399999999999997</v>
      </c>
      <c r="B536" s="32">
        <v>940</v>
      </c>
      <c r="C536" s="33">
        <v>0.89200000000000002</v>
      </c>
      <c r="D536" s="34">
        <v>0.81699999999999995</v>
      </c>
      <c r="E536" s="32">
        <v>78</v>
      </c>
      <c r="F536" s="32">
        <v>0</v>
      </c>
      <c r="G536" s="32">
        <v>4</v>
      </c>
      <c r="H536" s="35">
        <f ca="1">LEFT(Music_Data[[#This Row],[Duration_minutes]],3)/60</f>
        <v>2.6</v>
      </c>
      <c r="I536" s="34">
        <v>0.20100000000000001</v>
      </c>
      <c r="J536" s="36" t="str">
        <f t="shared" si="8"/>
        <v>No muy popular</v>
      </c>
      <c r="K536" s="42">
        <v>44449</v>
      </c>
    </row>
    <row r="537" spans="1:11">
      <c r="A537" s="39">
        <v>0.81399999999999995</v>
      </c>
      <c r="B537" s="37">
        <v>140</v>
      </c>
      <c r="C537" s="38">
        <v>0.70699999999999996</v>
      </c>
      <c r="D537" s="39">
        <v>0.71699999999999997</v>
      </c>
      <c r="E537" s="37">
        <v>78</v>
      </c>
      <c r="F537" s="37">
        <v>0</v>
      </c>
      <c r="G537" s="37">
        <v>11</v>
      </c>
      <c r="H537" s="40">
        <f ca="1">LEFT(Music_Data[[#This Row],[Duration_minutes]],3)/60</f>
        <v>16.216666666666665</v>
      </c>
      <c r="I537" s="39">
        <v>8.6099999999999996E-2</v>
      </c>
      <c r="J537" s="41" t="str">
        <f t="shared" si="8"/>
        <v>No muy popular</v>
      </c>
      <c r="K537" s="43">
        <v>44763</v>
      </c>
    </row>
    <row r="538" spans="1:11">
      <c r="A538" s="34">
        <v>0.91700000000000004</v>
      </c>
      <c r="B538" s="32">
        <v>131</v>
      </c>
      <c r="C538" s="33">
        <v>0.65200000000000002</v>
      </c>
      <c r="D538" s="34">
        <v>0.45900000000000002</v>
      </c>
      <c r="E538" s="32">
        <v>78</v>
      </c>
      <c r="F538" s="32">
        <v>1</v>
      </c>
      <c r="G538" s="32">
        <v>6</v>
      </c>
      <c r="H538" s="35">
        <f ca="1">LEFT(Music_Data[[#This Row],[Duration_minutes]],3)/60</f>
        <v>4.0999999999999996</v>
      </c>
      <c r="I538" s="34">
        <v>8.2000000000000007E-3</v>
      </c>
      <c r="J538" s="36" t="str">
        <f t="shared" si="8"/>
        <v>No muy popular</v>
      </c>
      <c r="K538" s="42">
        <v>40909</v>
      </c>
    </row>
    <row r="539" spans="1:11">
      <c r="A539" s="39">
        <v>0.84399999999999997</v>
      </c>
      <c r="B539" s="37">
        <v>131</v>
      </c>
      <c r="C539" s="38">
        <v>0.72899999999999998</v>
      </c>
      <c r="D539" s="39">
        <v>0.77700000000000002</v>
      </c>
      <c r="E539" s="37">
        <v>78</v>
      </c>
      <c r="F539" s="37">
        <v>1</v>
      </c>
      <c r="G539" s="37">
        <v>5</v>
      </c>
      <c r="H539" s="40">
        <f ca="1">LEFT(Music_Data[[#This Row],[Duration_minutes]],3)/60</f>
        <v>4.0999999999999996</v>
      </c>
      <c r="I539" s="39">
        <v>0.14899999999999999</v>
      </c>
      <c r="J539" s="41" t="str">
        <f t="shared" si="8"/>
        <v>No muy popular</v>
      </c>
      <c r="K539" s="43">
        <v>40909</v>
      </c>
    </row>
    <row r="540" spans="1:11">
      <c r="A540" s="34">
        <v>0.56299999999999994</v>
      </c>
      <c r="B540" s="32">
        <v>970</v>
      </c>
      <c r="C540" s="33">
        <v>0.76600000000000001</v>
      </c>
      <c r="D540" s="34">
        <v>0.96399999999999997</v>
      </c>
      <c r="E540" s="32">
        <v>78</v>
      </c>
      <c r="F540" s="32">
        <v>0</v>
      </c>
      <c r="G540" s="32">
        <v>9</v>
      </c>
      <c r="H540" s="35">
        <f ca="1">LEFT(Music_Data[[#This Row],[Duration_minutes]],3)/60</f>
        <v>3.65</v>
      </c>
      <c r="I540" s="34">
        <v>2.63E-2</v>
      </c>
      <c r="J540" s="36" t="str">
        <f t="shared" si="8"/>
        <v>No muy popular</v>
      </c>
      <c r="K540" s="42">
        <v>42812</v>
      </c>
    </row>
    <row r="541" spans="1:11">
      <c r="A541" s="39">
        <v>0.6</v>
      </c>
      <c r="B541" s="37">
        <v>131</v>
      </c>
      <c r="C541" s="38">
        <v>0.95099999999999996</v>
      </c>
      <c r="D541" s="39">
        <v>0.82199999999999995</v>
      </c>
      <c r="E541" s="37">
        <v>78</v>
      </c>
      <c r="F541" s="37">
        <v>0</v>
      </c>
      <c r="G541" s="37">
        <v>0</v>
      </c>
      <c r="H541" s="40">
        <f ca="1">LEFT(Music_Data[[#This Row],[Duration_minutes]],3)/60</f>
        <v>2.3166666666666669</v>
      </c>
      <c r="I541" s="39">
        <v>0.106</v>
      </c>
      <c r="J541" s="41" t="str">
        <f t="shared" si="8"/>
        <v>No muy popular</v>
      </c>
      <c r="K541" s="43">
        <v>45555</v>
      </c>
    </row>
    <row r="542" spans="1:11">
      <c r="A542" s="34">
        <v>0.72599999999999998</v>
      </c>
      <c r="B542" s="32">
        <v>124</v>
      </c>
      <c r="C542" s="33">
        <v>0.503</v>
      </c>
      <c r="D542" s="34">
        <v>0.52900000000000003</v>
      </c>
      <c r="E542" s="32">
        <v>78</v>
      </c>
      <c r="F542" s="32">
        <v>1</v>
      </c>
      <c r="G542" s="32">
        <v>1</v>
      </c>
      <c r="H542" s="35">
        <f ca="1">LEFT(Music_Data[[#This Row],[Duration_minutes]],3)/60</f>
        <v>2.8666666666666667</v>
      </c>
      <c r="I542" s="34">
        <v>1.5900000000000001E-2</v>
      </c>
      <c r="J542" s="36" t="str">
        <f t="shared" si="8"/>
        <v>No muy popular</v>
      </c>
      <c r="K542" s="42">
        <v>44680</v>
      </c>
    </row>
    <row r="543" spans="1:11">
      <c r="A543" s="39">
        <v>0.73599999999999999</v>
      </c>
      <c r="B543" s="37">
        <v>163</v>
      </c>
      <c r="C543" s="38">
        <v>0.57899999999999996</v>
      </c>
      <c r="D543" s="39">
        <v>0.61299999999999999</v>
      </c>
      <c r="E543" s="37">
        <v>78</v>
      </c>
      <c r="F543" s="37">
        <v>0</v>
      </c>
      <c r="G543" s="37">
        <v>6</v>
      </c>
      <c r="H543" s="40">
        <f ca="1">LEFT(Music_Data[[#This Row],[Duration_minutes]],3)/60</f>
        <v>2.9166666666666665</v>
      </c>
      <c r="I543" s="39">
        <v>0.31</v>
      </c>
      <c r="J543" s="41" t="str">
        <f t="shared" si="8"/>
        <v>No muy popular</v>
      </c>
      <c r="K543" s="43">
        <v>43444</v>
      </c>
    </row>
    <row r="544" spans="1:11">
      <c r="A544" s="34">
        <v>0.77700000000000002</v>
      </c>
      <c r="B544" s="32">
        <v>127</v>
      </c>
      <c r="C544" s="33">
        <v>0.73</v>
      </c>
      <c r="D544" s="34">
        <v>0.57499999999999996</v>
      </c>
      <c r="E544" s="32">
        <v>78</v>
      </c>
      <c r="F544" s="32">
        <v>0</v>
      </c>
      <c r="G544" s="32">
        <v>3</v>
      </c>
      <c r="H544" s="35">
        <f ca="1">LEFT(Music_Data[[#This Row],[Duration_minutes]],3)/60</f>
        <v>2.5666666666666669</v>
      </c>
      <c r="I544" s="34">
        <v>0.105</v>
      </c>
      <c r="J544" s="36" t="str">
        <f t="shared" si="8"/>
        <v>No muy popular</v>
      </c>
      <c r="K544" s="42">
        <v>43434</v>
      </c>
    </row>
    <row r="545" spans="1:11">
      <c r="A545" s="39">
        <v>0.78300000000000003</v>
      </c>
      <c r="B545" s="37">
        <v>125</v>
      </c>
      <c r="C545" s="38">
        <v>0.55400000000000005</v>
      </c>
      <c r="D545" s="39">
        <v>0.81299999999999994</v>
      </c>
      <c r="E545" s="37">
        <v>78</v>
      </c>
      <c r="F545" s="37">
        <v>1</v>
      </c>
      <c r="G545" s="37">
        <v>6</v>
      </c>
      <c r="H545" s="40">
        <f ca="1">LEFT(Music_Data[[#This Row],[Duration_minutes]],3)/60</f>
        <v>3.3166666666666669</v>
      </c>
      <c r="I545" s="39">
        <v>0.41599999999999998</v>
      </c>
      <c r="J545" s="41" t="str">
        <f t="shared" si="8"/>
        <v>No muy popular</v>
      </c>
      <c r="K545" s="43">
        <v>45541</v>
      </c>
    </row>
    <row r="546" spans="1:11">
      <c r="A546" s="34">
        <v>0.55100000000000005</v>
      </c>
      <c r="B546" s="32">
        <v>999</v>
      </c>
      <c r="C546" s="33">
        <v>0.91100000000000003</v>
      </c>
      <c r="D546" s="34">
        <v>0.96899999999999997</v>
      </c>
      <c r="E546" s="32">
        <v>78</v>
      </c>
      <c r="F546" s="32">
        <v>0</v>
      </c>
      <c r="G546" s="32">
        <v>8</v>
      </c>
      <c r="H546" s="35">
        <f ca="1">LEFT(Music_Data[[#This Row],[Duration_minutes]],3)/60</f>
        <v>2.4833333333333334</v>
      </c>
      <c r="I546" s="34">
        <v>0.13300000000000001</v>
      </c>
      <c r="J546" s="36" t="str">
        <f t="shared" si="8"/>
        <v>No muy popular</v>
      </c>
      <c r="K546" s="42">
        <v>43714</v>
      </c>
    </row>
    <row r="547" spans="1:11">
      <c r="A547" s="39">
        <v>0.8</v>
      </c>
      <c r="B547" s="37">
        <v>948</v>
      </c>
      <c r="C547" s="38">
        <v>0.64700000000000002</v>
      </c>
      <c r="D547" s="39">
        <v>0.94199999999999995</v>
      </c>
      <c r="E547" s="37">
        <v>78</v>
      </c>
      <c r="F547" s="37">
        <v>1</v>
      </c>
      <c r="G547" s="37">
        <v>7</v>
      </c>
      <c r="H547" s="40">
        <f ca="1">LEFT(Music_Data[[#This Row],[Duration_minutes]],3)/60</f>
        <v>3.95</v>
      </c>
      <c r="I547" s="39">
        <v>6.4699999999999994E-2</v>
      </c>
      <c r="J547" s="41" t="str">
        <f t="shared" si="8"/>
        <v>No muy popular</v>
      </c>
      <c r="K547" s="43">
        <v>33953</v>
      </c>
    </row>
    <row r="548" spans="1:11">
      <c r="A548" s="34">
        <v>0.64</v>
      </c>
      <c r="B548" s="32">
        <v>948</v>
      </c>
      <c r="C548" s="33">
        <v>0.77900000000000003</v>
      </c>
      <c r="D548" s="34">
        <v>0.499</v>
      </c>
      <c r="E548" s="32">
        <v>78</v>
      </c>
      <c r="F548" s="32">
        <v>1</v>
      </c>
      <c r="G548" s="32">
        <v>7</v>
      </c>
      <c r="H548" s="35">
        <f ca="1">LEFT(Music_Data[[#This Row],[Duration_minutes]],3)/60</f>
        <v>3.95</v>
      </c>
      <c r="I548" s="34">
        <v>1.55E-4</v>
      </c>
      <c r="J548" s="36" t="str">
        <f t="shared" si="8"/>
        <v>No muy popular</v>
      </c>
      <c r="K548" s="42">
        <v>33953</v>
      </c>
    </row>
    <row r="549" spans="1:11">
      <c r="A549" s="39">
        <v>0.39400000000000002</v>
      </c>
      <c r="B549" s="37">
        <v>139</v>
      </c>
      <c r="C549" s="38">
        <v>0.42099999999999999</v>
      </c>
      <c r="D549" s="39">
        <v>0.39900000000000002</v>
      </c>
      <c r="E549" s="37">
        <v>78</v>
      </c>
      <c r="F549" s="37">
        <v>1</v>
      </c>
      <c r="G549" s="37">
        <v>11</v>
      </c>
      <c r="H549" s="40">
        <f ca="1">LEFT(Music_Data[[#This Row],[Duration_minutes]],3)/60</f>
        <v>4.6333333333333337</v>
      </c>
      <c r="I549" s="39">
        <v>0.86299999999999999</v>
      </c>
      <c r="J549" s="41" t="str">
        <f t="shared" si="8"/>
        <v>No muy popular</v>
      </c>
      <c r="K549" s="43">
        <v>45534</v>
      </c>
    </row>
    <row r="550" spans="1:11">
      <c r="A550" s="34">
        <v>0.54600000000000004</v>
      </c>
      <c r="B550" s="32">
        <v>130</v>
      </c>
      <c r="C550" s="33">
        <v>0.74199999999999999</v>
      </c>
      <c r="D550" s="34">
        <v>0.86799999999999999</v>
      </c>
      <c r="E550" s="32">
        <v>78</v>
      </c>
      <c r="F550" s="32">
        <v>1</v>
      </c>
      <c r="G550" s="32">
        <v>1</v>
      </c>
      <c r="H550" s="35">
        <f ca="1">LEFT(Music_Data[[#This Row],[Duration_minutes]],3)/60</f>
        <v>2.6333333333333333</v>
      </c>
      <c r="I550" s="34">
        <v>0.17199999999999999</v>
      </c>
      <c r="J550" s="36" t="str">
        <f t="shared" si="8"/>
        <v>No muy popular</v>
      </c>
      <c r="K550" s="42">
        <v>45583</v>
      </c>
    </row>
    <row r="551" spans="1:11">
      <c r="A551" s="39">
        <v>0.92100000000000004</v>
      </c>
      <c r="B551" s="37">
        <v>130</v>
      </c>
      <c r="C551" s="38">
        <v>0.66800000000000004</v>
      </c>
      <c r="D551" s="39">
        <v>0.78200000000000003</v>
      </c>
      <c r="E551" s="37">
        <v>78</v>
      </c>
      <c r="F551" s="37">
        <v>1</v>
      </c>
      <c r="G551" s="37">
        <v>7</v>
      </c>
      <c r="H551" s="40">
        <f ca="1">LEFT(Music_Data[[#This Row],[Duration_minutes]],3)/60</f>
        <v>2.6333333333333333</v>
      </c>
      <c r="I551" s="39">
        <v>4.9200000000000001E-2</v>
      </c>
      <c r="J551" s="41" t="str">
        <f t="shared" si="8"/>
        <v>No muy popular</v>
      </c>
      <c r="K551" s="43">
        <v>45583</v>
      </c>
    </row>
    <row r="552" spans="1:11">
      <c r="A552" s="34">
        <v>0.92300000000000004</v>
      </c>
      <c r="B552" s="32">
        <v>928</v>
      </c>
      <c r="C552" s="33">
        <v>0.60199999999999998</v>
      </c>
      <c r="D552" s="34">
        <v>0.76500000000000001</v>
      </c>
      <c r="E552" s="32">
        <v>78</v>
      </c>
      <c r="F552" s="32">
        <v>1</v>
      </c>
      <c r="G552" s="32">
        <v>5</v>
      </c>
      <c r="H552" s="35">
        <f ca="1">LEFT(Music_Data[[#This Row],[Duration_minutes]],3)/60</f>
        <v>3.8666666666666667</v>
      </c>
      <c r="I552" s="34">
        <v>9.7999999999999997E-3</v>
      </c>
      <c r="J552" s="36" t="str">
        <f t="shared" si="8"/>
        <v>No muy popular</v>
      </c>
      <c r="K552" s="42">
        <v>34310</v>
      </c>
    </row>
    <row r="553" spans="1:11">
      <c r="A553" s="39">
        <v>0.67800000000000005</v>
      </c>
      <c r="B553" s="37">
        <v>800</v>
      </c>
      <c r="C553" s="38">
        <v>0.71299999999999997</v>
      </c>
      <c r="D553" s="39">
        <v>0.73399999999999999</v>
      </c>
      <c r="E553" s="37">
        <v>78</v>
      </c>
      <c r="F553" s="37">
        <v>0</v>
      </c>
      <c r="G553" s="37">
        <v>5</v>
      </c>
      <c r="H553" s="40">
        <f ca="1">LEFT(Music_Data[[#This Row],[Duration_minutes]],3)/60</f>
        <v>5.85</v>
      </c>
      <c r="I553" s="39">
        <v>0.27300000000000002</v>
      </c>
      <c r="J553" s="41" t="str">
        <f t="shared" si="8"/>
        <v>No muy popular</v>
      </c>
      <c r="K553" s="43">
        <v>40504</v>
      </c>
    </row>
    <row r="554" spans="1:11">
      <c r="A554" s="34">
        <v>0.66100000000000003</v>
      </c>
      <c r="B554" s="32">
        <v>184</v>
      </c>
      <c r="C554" s="33">
        <v>0.76200000000000001</v>
      </c>
      <c r="D554" s="34">
        <v>0.76900000000000002</v>
      </c>
      <c r="E554" s="32">
        <v>78</v>
      </c>
      <c r="F554" s="32">
        <v>0</v>
      </c>
      <c r="G554" s="32">
        <v>1</v>
      </c>
      <c r="H554" s="35">
        <f ca="1">LEFT(Music_Data[[#This Row],[Duration_minutes]],3)/60</f>
        <v>2.2999999999999998</v>
      </c>
      <c r="I554" s="34">
        <v>0.15</v>
      </c>
      <c r="J554" s="36" t="str">
        <f t="shared" si="8"/>
        <v>No muy popular</v>
      </c>
      <c r="K554" s="42">
        <v>45597</v>
      </c>
    </row>
    <row r="555" spans="1:11">
      <c r="A555" s="39">
        <v>0.60599999999999998</v>
      </c>
      <c r="B555" s="37">
        <v>184</v>
      </c>
      <c r="C555" s="38">
        <v>0.59599999999999997</v>
      </c>
      <c r="D555" s="39">
        <v>0.88600000000000001</v>
      </c>
      <c r="E555" s="37">
        <v>78</v>
      </c>
      <c r="F555" s="37">
        <v>1</v>
      </c>
      <c r="G555" s="37">
        <v>7</v>
      </c>
      <c r="H555" s="40">
        <f ca="1">LEFT(Music_Data[[#This Row],[Duration_minutes]],3)/60</f>
        <v>2.2999999999999998</v>
      </c>
      <c r="I555" s="39">
        <v>0.18099999999999999</v>
      </c>
      <c r="J555" s="41" t="str">
        <f t="shared" si="8"/>
        <v>No muy popular</v>
      </c>
      <c r="K555" s="43">
        <v>45597</v>
      </c>
    </row>
    <row r="556" spans="1:11">
      <c r="A556" s="34">
        <v>0.85599999999999998</v>
      </c>
      <c r="B556" s="32">
        <v>142</v>
      </c>
      <c r="C556" s="33">
        <v>0.81499999999999995</v>
      </c>
      <c r="D556" s="34">
        <v>0.872</v>
      </c>
      <c r="E556" s="32">
        <v>78</v>
      </c>
      <c r="F556" s="32">
        <v>0</v>
      </c>
      <c r="G556" s="32">
        <v>1</v>
      </c>
      <c r="H556" s="35">
        <f ca="1">LEFT(Music_Data[[#This Row],[Duration_minutes]],3)/60</f>
        <v>3.6</v>
      </c>
      <c r="I556" s="34">
        <v>0.4</v>
      </c>
      <c r="J556" s="36" t="str">
        <f t="shared" si="8"/>
        <v>No muy popular</v>
      </c>
      <c r="K556" s="42">
        <v>43672</v>
      </c>
    </row>
    <row r="557" spans="1:11">
      <c r="A557" s="39">
        <v>0.78900000000000003</v>
      </c>
      <c r="B557" s="37">
        <v>639</v>
      </c>
      <c r="C557" s="38">
        <v>0.75700000000000001</v>
      </c>
      <c r="D557" s="39">
        <v>0.46400000000000002</v>
      </c>
      <c r="E557" s="37">
        <v>78</v>
      </c>
      <c r="F557" s="37">
        <v>0</v>
      </c>
      <c r="G557" s="37">
        <v>5</v>
      </c>
      <c r="H557" s="40">
        <f ca="1">LEFT(Music_Data[[#This Row],[Duration_minutes]],3)/60</f>
        <v>3</v>
      </c>
      <c r="I557" s="39">
        <v>0.307</v>
      </c>
      <c r="J557" s="41" t="str">
        <f t="shared" si="8"/>
        <v>No muy popular</v>
      </c>
      <c r="K557" s="43">
        <v>45576</v>
      </c>
    </row>
    <row r="558" spans="1:11">
      <c r="A558" s="34">
        <v>0.66900000000000004</v>
      </c>
      <c r="B558" s="32">
        <v>979</v>
      </c>
      <c r="C558" s="33">
        <v>0.94899999999999995</v>
      </c>
      <c r="D558" s="34">
        <v>0.84299999999999997</v>
      </c>
      <c r="E558" s="32">
        <v>78</v>
      </c>
      <c r="F558" s="32">
        <v>0</v>
      </c>
      <c r="G558" s="32">
        <v>2</v>
      </c>
      <c r="H558" s="35">
        <f ca="1">LEFT(Music_Data[[#This Row],[Duration_minutes]],3)/60</f>
        <v>3.1666666666666665</v>
      </c>
      <c r="I558" s="34">
        <v>0.36</v>
      </c>
      <c r="J558" s="36" t="str">
        <f t="shared" si="8"/>
        <v>No muy popular</v>
      </c>
      <c r="K558" s="42">
        <v>44106</v>
      </c>
    </row>
    <row r="559" spans="1:11">
      <c r="A559" s="39">
        <v>0.68700000000000006</v>
      </c>
      <c r="B559" s="37">
        <v>130</v>
      </c>
      <c r="C559" s="38">
        <v>0.77800000000000002</v>
      </c>
      <c r="D559" s="39">
        <v>0.83899999999999997</v>
      </c>
      <c r="E559" s="37">
        <v>78</v>
      </c>
      <c r="F559" s="37">
        <v>0</v>
      </c>
      <c r="G559" s="37">
        <v>11</v>
      </c>
      <c r="H559" s="40">
        <f ca="1">LEFT(Music_Data[[#This Row],[Duration_minutes]],3)/60</f>
        <v>2.2333333333333334</v>
      </c>
      <c r="I559" s="39">
        <v>0.57799999999999996</v>
      </c>
      <c r="J559" s="41" t="str">
        <f t="shared" si="8"/>
        <v>No muy popular</v>
      </c>
      <c r="K559" s="43">
        <v>43524</v>
      </c>
    </row>
    <row r="560" spans="1:11">
      <c r="A560" s="34">
        <v>0.74399999999999999</v>
      </c>
      <c r="B560" s="32">
        <v>836</v>
      </c>
      <c r="C560" s="33">
        <v>0.79800000000000004</v>
      </c>
      <c r="D560" s="34">
        <v>0.79400000000000004</v>
      </c>
      <c r="E560" s="32">
        <v>78</v>
      </c>
      <c r="F560" s="32">
        <v>0</v>
      </c>
      <c r="G560" s="32">
        <v>7</v>
      </c>
      <c r="H560" s="35">
        <f ca="1">LEFT(Music_Data[[#This Row],[Duration_minutes]],3)/60</f>
        <v>4.3833333333333337</v>
      </c>
      <c r="I560" s="34">
        <v>0.33</v>
      </c>
      <c r="J560" s="36" t="str">
        <f t="shared" si="8"/>
        <v>No muy popular</v>
      </c>
      <c r="K560" s="42">
        <v>45215</v>
      </c>
    </row>
    <row r="561" spans="1:11">
      <c r="A561" s="39">
        <v>0.35399999999999998</v>
      </c>
      <c r="B561" s="37">
        <v>144</v>
      </c>
      <c r="C561" s="38">
        <v>0.74099999999999999</v>
      </c>
      <c r="D561" s="39">
        <v>0.58299999999999996</v>
      </c>
      <c r="E561" s="37">
        <v>78</v>
      </c>
      <c r="F561" s="37">
        <v>1</v>
      </c>
      <c r="G561" s="37">
        <v>1</v>
      </c>
      <c r="H561" s="40">
        <f ca="1">LEFT(Music_Data[[#This Row],[Duration_minutes]],3)/60</f>
        <v>3.4166666666666665</v>
      </c>
      <c r="I561" s="39">
        <v>0.18099999999999999</v>
      </c>
      <c r="J561" s="41" t="str">
        <f t="shared" si="8"/>
        <v>No muy popular</v>
      </c>
      <c r="K561" s="43">
        <v>44022</v>
      </c>
    </row>
    <row r="562" spans="1:11">
      <c r="A562" s="34">
        <v>0.39400000000000002</v>
      </c>
      <c r="B562" s="32">
        <v>171</v>
      </c>
      <c r="C562" s="33">
        <v>0.42099999999999999</v>
      </c>
      <c r="D562" s="34">
        <v>0.39900000000000002</v>
      </c>
      <c r="E562" s="32">
        <v>78</v>
      </c>
      <c r="F562" s="32">
        <v>1</v>
      </c>
      <c r="G562" s="32">
        <v>11</v>
      </c>
      <c r="H562" s="35">
        <f ca="1">LEFT(Music_Data[[#This Row],[Duration_minutes]],3)/60</f>
        <v>3.7833333333333332</v>
      </c>
      <c r="I562" s="34">
        <v>0.86299999999999999</v>
      </c>
      <c r="J562" s="36" t="str">
        <f t="shared" si="8"/>
        <v>No muy popular</v>
      </c>
      <c r="K562" s="42">
        <v>45428</v>
      </c>
    </row>
    <row r="563" spans="1:11">
      <c r="A563" s="39">
        <v>0.40699999999999997</v>
      </c>
      <c r="B563" s="37">
        <v>139</v>
      </c>
      <c r="C563" s="38">
        <v>0.45700000000000002</v>
      </c>
      <c r="D563" s="39">
        <v>0.126</v>
      </c>
      <c r="E563" s="37">
        <v>78</v>
      </c>
      <c r="F563" s="37">
        <v>1</v>
      </c>
      <c r="G563" s="37">
        <v>9</v>
      </c>
      <c r="H563" s="40">
        <f ca="1">LEFT(Music_Data[[#This Row],[Duration_minutes]],3)/60</f>
        <v>3.25</v>
      </c>
      <c r="I563" s="39">
        <v>0.80500000000000005</v>
      </c>
      <c r="J563" s="41" t="str">
        <f t="shared" si="8"/>
        <v>No muy popular</v>
      </c>
      <c r="K563" s="43">
        <v>44694</v>
      </c>
    </row>
    <row r="564" spans="1:11">
      <c r="A564" s="34">
        <v>0.245</v>
      </c>
      <c r="B564" s="32">
        <v>156</v>
      </c>
      <c r="C564" s="33">
        <v>0.34</v>
      </c>
      <c r="D564" s="34">
        <v>0.192</v>
      </c>
      <c r="E564" s="32">
        <v>78</v>
      </c>
      <c r="F564" s="32">
        <v>1</v>
      </c>
      <c r="G564" s="32">
        <v>9</v>
      </c>
      <c r="H564" s="35">
        <f ca="1">LEFT(Music_Data[[#This Row],[Duration_minutes]],3)/60</f>
        <v>3.1833333333333331</v>
      </c>
      <c r="I564" s="34">
        <v>0.96899999999999997</v>
      </c>
      <c r="J564" s="36" t="str">
        <f t="shared" si="8"/>
        <v>No muy popular</v>
      </c>
      <c r="K564" s="42">
        <v>43728</v>
      </c>
    </row>
    <row r="565" spans="1:11">
      <c r="A565" s="39">
        <v>0.53400000000000003</v>
      </c>
      <c r="B565" s="37">
        <v>119</v>
      </c>
      <c r="C565" s="38">
        <v>0.83199999999999996</v>
      </c>
      <c r="D565" s="39">
        <v>0.11600000000000001</v>
      </c>
      <c r="E565" s="37">
        <v>78</v>
      </c>
      <c r="F565" s="37">
        <v>0</v>
      </c>
      <c r="G565" s="37">
        <v>1</v>
      </c>
      <c r="H565" s="40">
        <f ca="1">LEFT(Music_Data[[#This Row],[Duration_minutes]],3)/60</f>
        <v>2.3666666666666667</v>
      </c>
      <c r="I565" s="39">
        <v>0.34499999999999997</v>
      </c>
      <c r="J565" s="41" t="str">
        <f t="shared" si="8"/>
        <v>No muy popular</v>
      </c>
      <c r="K565" s="43">
        <v>43238</v>
      </c>
    </row>
    <row r="566" spans="1:11">
      <c r="A566" s="34">
        <v>0.77900000000000003</v>
      </c>
      <c r="B566" s="32">
        <v>943</v>
      </c>
      <c r="C566" s="33">
        <v>0.72399999999999998</v>
      </c>
      <c r="D566" s="34">
        <v>0.53</v>
      </c>
      <c r="E566" s="32">
        <v>78</v>
      </c>
      <c r="F566" s="32">
        <v>0</v>
      </c>
      <c r="G566" s="32">
        <v>7</v>
      </c>
      <c r="H566" s="35">
        <f ca="1">LEFT(Music_Data[[#This Row],[Duration_minutes]],3)/60</f>
        <v>2.5833333333333335</v>
      </c>
      <c r="I566" s="34">
        <v>9.8000000000000004E-2</v>
      </c>
      <c r="J566" s="36" t="str">
        <f t="shared" si="8"/>
        <v>No muy popular</v>
      </c>
      <c r="K566" s="42">
        <v>45544</v>
      </c>
    </row>
    <row r="567" spans="1:11">
      <c r="A567" s="39">
        <v>0.93600000000000005</v>
      </c>
      <c r="B567" s="37">
        <v>169</v>
      </c>
      <c r="C567" s="38">
        <v>0.59399999999999997</v>
      </c>
      <c r="D567" s="39">
        <v>0.39</v>
      </c>
      <c r="E567" s="37">
        <v>78</v>
      </c>
      <c r="F567" s="37">
        <v>0</v>
      </c>
      <c r="G567" s="37">
        <v>9</v>
      </c>
      <c r="H567" s="40">
        <f ca="1">LEFT(Music_Data[[#This Row],[Duration_minutes]],3)/60</f>
        <v>3.0666666666666669</v>
      </c>
      <c r="I567" s="39">
        <v>2.24E-2</v>
      </c>
      <c r="J567" s="41" t="str">
        <f t="shared" si="8"/>
        <v>No muy popular</v>
      </c>
      <c r="K567" s="43">
        <v>45030</v>
      </c>
    </row>
    <row r="568" spans="1:11">
      <c r="A568" s="34">
        <v>0.62</v>
      </c>
      <c r="B568" s="32">
        <v>899</v>
      </c>
      <c r="C568" s="33">
        <v>0.74099999999999999</v>
      </c>
      <c r="D568" s="34">
        <v>0.93400000000000005</v>
      </c>
      <c r="E568" s="32">
        <v>77</v>
      </c>
      <c r="F568" s="32">
        <v>1</v>
      </c>
      <c r="G568" s="32">
        <v>10</v>
      </c>
      <c r="H568" s="35">
        <f ca="1">LEFT(Music_Data[[#This Row],[Duration_minutes]],3)/60</f>
        <v>3.05</v>
      </c>
      <c r="I568" s="34">
        <v>2.9499999999999998E-2</v>
      </c>
      <c r="J568" s="36" t="str">
        <f t="shared" si="8"/>
        <v>Casi nada popular</v>
      </c>
      <c r="K568" s="42">
        <v>45065</v>
      </c>
    </row>
    <row r="569" spans="1:11">
      <c r="A569" s="39">
        <v>0.71599999999999997</v>
      </c>
      <c r="B569" s="37">
        <v>144</v>
      </c>
      <c r="C569" s="38">
        <v>0.53500000000000003</v>
      </c>
      <c r="D569" s="39">
        <v>0.90100000000000002</v>
      </c>
      <c r="E569" s="37">
        <v>77</v>
      </c>
      <c r="F569" s="37">
        <v>1</v>
      </c>
      <c r="G569" s="37">
        <v>4</v>
      </c>
      <c r="H569" s="40">
        <f ca="1">LEFT(Music_Data[[#This Row],[Duration_minutes]],3)/60</f>
        <v>2.65</v>
      </c>
      <c r="I569" s="39">
        <v>0.32600000000000001</v>
      </c>
      <c r="J569" s="41" t="str">
        <f t="shared" si="8"/>
        <v>Casi nada popular</v>
      </c>
      <c r="K569" s="43">
        <v>45156</v>
      </c>
    </row>
    <row r="570" spans="1:11">
      <c r="A570" s="34">
        <v>0.94399999999999995</v>
      </c>
      <c r="B570" s="32">
        <v>950</v>
      </c>
      <c r="C570" s="33">
        <v>0.39400000000000002</v>
      </c>
      <c r="D570" s="34">
        <v>0.26500000000000001</v>
      </c>
      <c r="E570" s="32">
        <v>77</v>
      </c>
      <c r="F570" s="32">
        <v>0</v>
      </c>
      <c r="G570" s="32">
        <v>10</v>
      </c>
      <c r="H570" s="35">
        <f ca="1">LEFT(Music_Data[[#This Row],[Duration_minutes]],3)/60</f>
        <v>4.6833333333333336</v>
      </c>
      <c r="I570" s="34">
        <v>1.7799999999999999E-3</v>
      </c>
      <c r="J570" s="36" t="str">
        <f t="shared" si="8"/>
        <v>Casi nada popular</v>
      </c>
      <c r="K570" s="42">
        <v>35431</v>
      </c>
    </row>
    <row r="571" spans="1:11">
      <c r="A571" s="39">
        <v>0.78700000000000003</v>
      </c>
      <c r="B571" s="37">
        <v>950</v>
      </c>
      <c r="C571" s="38">
        <v>0.76700000000000002</v>
      </c>
      <c r="D571" s="39">
        <v>0.96399999999999997</v>
      </c>
      <c r="E571" s="37">
        <v>77</v>
      </c>
      <c r="F571" s="37">
        <v>1</v>
      </c>
      <c r="G571" s="37">
        <v>3</v>
      </c>
      <c r="H571" s="40">
        <f ca="1">LEFT(Music_Data[[#This Row],[Duration_minutes]],3)/60</f>
        <v>4.6833333333333336</v>
      </c>
      <c r="I571" s="39">
        <v>1.6299999999999999E-2</v>
      </c>
      <c r="J571" s="41" t="str">
        <f t="shared" si="8"/>
        <v>Casi nada popular</v>
      </c>
      <c r="K571" s="43">
        <v>35431</v>
      </c>
    </row>
    <row r="572" spans="1:11">
      <c r="A572" s="34">
        <v>0.748</v>
      </c>
      <c r="B572" s="32">
        <v>774</v>
      </c>
      <c r="C572" s="33">
        <v>0.61799999999999999</v>
      </c>
      <c r="D572" s="34">
        <v>0.66300000000000003</v>
      </c>
      <c r="E572" s="32">
        <v>77</v>
      </c>
      <c r="F572" s="32">
        <v>1</v>
      </c>
      <c r="G572" s="32">
        <v>0</v>
      </c>
      <c r="H572" s="35">
        <f ca="1">LEFT(Music_Data[[#This Row],[Duration_minutes]],3)/60</f>
        <v>2.5833333333333335</v>
      </c>
      <c r="I572" s="34">
        <v>3.8399999999999997E-2</v>
      </c>
      <c r="J572" s="36" t="str">
        <f t="shared" si="8"/>
        <v>Casi nada popular</v>
      </c>
      <c r="K572" s="42">
        <v>45534</v>
      </c>
    </row>
    <row r="573" spans="1:11">
      <c r="A573" s="39">
        <v>0.754</v>
      </c>
      <c r="B573" s="37">
        <v>840</v>
      </c>
      <c r="C573" s="38">
        <v>0.86299999999999999</v>
      </c>
      <c r="D573" s="39">
        <v>0.30099999999999999</v>
      </c>
      <c r="E573" s="37">
        <v>77</v>
      </c>
      <c r="F573" s="37">
        <v>1</v>
      </c>
      <c r="G573" s="37">
        <v>11</v>
      </c>
      <c r="H573" s="40">
        <f ca="1">LEFT(Music_Data[[#This Row],[Duration_minutes]],3)/60</f>
        <v>3.2833333333333332</v>
      </c>
      <c r="I573" s="39">
        <v>1.25E-3</v>
      </c>
      <c r="J573" s="41" t="str">
        <f t="shared" si="8"/>
        <v>Casi nada popular</v>
      </c>
      <c r="K573" s="43">
        <v>45547</v>
      </c>
    </row>
    <row r="574" spans="1:11">
      <c r="A574" s="34">
        <v>0.58599999999999997</v>
      </c>
      <c r="B574" s="32">
        <v>124</v>
      </c>
      <c r="C574" s="33">
        <v>0.73099999999999998</v>
      </c>
      <c r="D574" s="34">
        <v>0.14699999999999999</v>
      </c>
      <c r="E574" s="32">
        <v>77</v>
      </c>
      <c r="F574" s="32">
        <v>0</v>
      </c>
      <c r="G574" s="32">
        <v>1</v>
      </c>
      <c r="H574" s="35">
        <f ca="1">LEFT(Music_Data[[#This Row],[Duration_minutes]],3)/60</f>
        <v>2.65</v>
      </c>
      <c r="I574" s="34">
        <v>0.11600000000000001</v>
      </c>
      <c r="J574" s="36" t="str">
        <f t="shared" si="8"/>
        <v>Casi nada popular</v>
      </c>
      <c r="K574" s="42">
        <v>45555</v>
      </c>
    </row>
    <row r="575" spans="1:11">
      <c r="A575" s="39">
        <v>0.41299999999999998</v>
      </c>
      <c r="B575" s="37">
        <v>119</v>
      </c>
      <c r="C575" s="38">
        <v>0.77200000000000002</v>
      </c>
      <c r="D575" s="39">
        <v>0.21099999999999999</v>
      </c>
      <c r="E575" s="37">
        <v>77</v>
      </c>
      <c r="F575" s="37">
        <v>0</v>
      </c>
      <c r="G575" s="37">
        <v>0</v>
      </c>
      <c r="H575" s="40">
        <f ca="1">LEFT(Music_Data[[#This Row],[Duration_minutes]],3)/60</f>
        <v>3.1333333333333333</v>
      </c>
      <c r="I575" s="39">
        <v>3.61E-2</v>
      </c>
      <c r="J575" s="41" t="str">
        <f t="shared" si="8"/>
        <v>Casi nada popular</v>
      </c>
      <c r="K575" s="43">
        <v>45422</v>
      </c>
    </row>
    <row r="576" spans="1:11">
      <c r="A576" s="34">
        <v>0.48699999999999999</v>
      </c>
      <c r="B576" s="32">
        <v>860</v>
      </c>
      <c r="C576" s="33">
        <v>0.96399999999999997</v>
      </c>
      <c r="D576" s="34">
        <v>0.108</v>
      </c>
      <c r="E576" s="32">
        <v>77</v>
      </c>
      <c r="F576" s="32">
        <v>0</v>
      </c>
      <c r="G576" s="32">
        <v>10</v>
      </c>
      <c r="H576" s="35">
        <f ca="1">LEFT(Music_Data[[#This Row],[Duration_minutes]],3)/60</f>
        <v>3</v>
      </c>
      <c r="I576" s="34">
        <v>1.2700000000000001E-3</v>
      </c>
      <c r="J576" s="36" t="str">
        <f t="shared" si="8"/>
        <v>Casi nada popular</v>
      </c>
      <c r="K576" s="42">
        <v>43434</v>
      </c>
    </row>
    <row r="577" spans="1:11">
      <c r="A577" s="39">
        <v>0.41299999999999998</v>
      </c>
      <c r="B577" s="37">
        <v>938</v>
      </c>
      <c r="C577" s="38">
        <v>0.77200000000000002</v>
      </c>
      <c r="D577" s="39">
        <v>0.21099999999999999</v>
      </c>
      <c r="E577" s="37">
        <v>77</v>
      </c>
      <c r="F577" s="37">
        <v>0</v>
      </c>
      <c r="G577" s="37">
        <v>0</v>
      </c>
      <c r="H577" s="40">
        <f ca="1">LEFT(Music_Data[[#This Row],[Duration_minutes]],3)/60</f>
        <v>5.416666666666667</v>
      </c>
      <c r="I577" s="39">
        <v>3.61E-2</v>
      </c>
      <c r="J577" s="41" t="str">
        <f t="shared" si="8"/>
        <v>Casi nada popular</v>
      </c>
      <c r="K577" s="43">
        <v>34814</v>
      </c>
    </row>
    <row r="578" spans="1:11">
      <c r="A578" s="34">
        <v>0.65700000000000003</v>
      </c>
      <c r="B578" s="32">
        <v>999</v>
      </c>
      <c r="C578" s="33">
        <v>0.88300000000000001</v>
      </c>
      <c r="D578" s="34">
        <v>0.28399999999999997</v>
      </c>
      <c r="E578" s="32">
        <v>77</v>
      </c>
      <c r="F578" s="32">
        <v>1</v>
      </c>
      <c r="G578" s="32">
        <v>8</v>
      </c>
      <c r="H578" s="35">
        <f ca="1">LEFT(Music_Data[[#This Row],[Duration_minutes]],3)/60</f>
        <v>5.333333333333333</v>
      </c>
      <c r="I578" s="34">
        <v>6.0299999999999999E-2</v>
      </c>
      <c r="J578" s="36" t="str">
        <f t="shared" si="8"/>
        <v>Casi nada popular</v>
      </c>
      <c r="K578" s="42">
        <v>36032</v>
      </c>
    </row>
    <row r="579" spans="1:11">
      <c r="A579" s="39">
        <v>0.64800000000000002</v>
      </c>
      <c r="B579" s="37">
        <v>150</v>
      </c>
      <c r="C579" s="38">
        <v>0.73699999999999999</v>
      </c>
      <c r="D579" s="39">
        <v>0.746</v>
      </c>
      <c r="E579" s="37">
        <v>77</v>
      </c>
      <c r="F579" s="37">
        <v>1</v>
      </c>
      <c r="G579" s="37">
        <v>1</v>
      </c>
      <c r="H579" s="40">
        <f ca="1">LEFT(Music_Data[[#This Row],[Duration_minutes]],3)/60</f>
        <v>2.9</v>
      </c>
      <c r="I579" s="39">
        <v>0.252</v>
      </c>
      <c r="J579" s="41" t="str">
        <f t="shared" si="8"/>
        <v>Casi nada popular</v>
      </c>
      <c r="K579" s="43">
        <v>43714</v>
      </c>
    </row>
    <row r="580" spans="1:11">
      <c r="A580" s="34">
        <v>0.82399999999999995</v>
      </c>
      <c r="B580" s="32">
        <v>165</v>
      </c>
      <c r="C580" s="33">
        <v>0.747</v>
      </c>
      <c r="D580" s="34">
        <v>0.79300000000000004</v>
      </c>
      <c r="E580" s="32">
        <v>77</v>
      </c>
      <c r="F580" s="32">
        <v>0</v>
      </c>
      <c r="G580" s="32">
        <v>7</v>
      </c>
      <c r="H580" s="35">
        <f ca="1">LEFT(Music_Data[[#This Row],[Duration_minutes]],3)/60</f>
        <v>3.6666666666666665</v>
      </c>
      <c r="I580" s="34">
        <v>0.184</v>
      </c>
      <c r="J580" s="36" t="str">
        <f t="shared" ref="J580:J643" si="9">IF(E580&gt;=94,"Muy Popular",IF(E580&gt;=86,"Popular",IF(E580&gt;=78,"No muy popular","Casi nada popular")))</f>
        <v>Casi nada popular</v>
      </c>
      <c r="K580" s="42">
        <v>45303</v>
      </c>
    </row>
    <row r="581" spans="1:11">
      <c r="A581" s="39">
        <v>0.872</v>
      </c>
      <c r="B581" s="37">
        <v>127</v>
      </c>
      <c r="C581" s="38">
        <v>0.81599999999999995</v>
      </c>
      <c r="D581" s="39">
        <v>0.94</v>
      </c>
      <c r="E581" s="37">
        <v>77</v>
      </c>
      <c r="F581" s="37">
        <v>0</v>
      </c>
      <c r="G581" s="37">
        <v>11</v>
      </c>
      <c r="H581" s="40">
        <f ca="1">LEFT(Music_Data[[#This Row],[Duration_minutes]],3)/60</f>
        <v>4.0999999999999996</v>
      </c>
      <c r="I581" s="39">
        <v>0.25</v>
      </c>
      <c r="J581" s="41" t="str">
        <f t="shared" si="9"/>
        <v>Casi nada popular</v>
      </c>
      <c r="K581" s="43">
        <v>42629</v>
      </c>
    </row>
    <row r="582" spans="1:11">
      <c r="A582" s="34">
        <v>0.749</v>
      </c>
      <c r="B582" s="32">
        <v>136</v>
      </c>
      <c r="C582" s="33">
        <v>0.59299999999999997</v>
      </c>
      <c r="D582" s="34">
        <v>0.64900000000000002</v>
      </c>
      <c r="E582" s="32">
        <v>77</v>
      </c>
      <c r="F582" s="32">
        <v>1</v>
      </c>
      <c r="G582" s="32">
        <v>5</v>
      </c>
      <c r="H582" s="35">
        <f ca="1">LEFT(Music_Data[[#This Row],[Duration_minutes]],3)/60</f>
        <v>3.2</v>
      </c>
      <c r="I582" s="34">
        <v>1.1299999999999999E-2</v>
      </c>
      <c r="J582" s="36" t="str">
        <f t="shared" si="9"/>
        <v>Casi nada popular</v>
      </c>
      <c r="K582" s="42">
        <v>44260</v>
      </c>
    </row>
    <row r="583" spans="1:11">
      <c r="A583" s="39">
        <v>0.51800000000000002</v>
      </c>
      <c r="B583" s="37">
        <v>135</v>
      </c>
      <c r="C583" s="38">
        <v>0.81499999999999995</v>
      </c>
      <c r="D583" s="39">
        <v>0.877</v>
      </c>
      <c r="E583" s="37">
        <v>77</v>
      </c>
      <c r="F583" s="37">
        <v>0</v>
      </c>
      <c r="G583" s="37">
        <v>7</v>
      </c>
      <c r="H583" s="40">
        <f ca="1">LEFT(Music_Data[[#This Row],[Duration_minutes]],3)/60</f>
        <v>2.9833333333333334</v>
      </c>
      <c r="I583" s="39">
        <v>0.223</v>
      </c>
      <c r="J583" s="41" t="str">
        <f t="shared" si="9"/>
        <v>Casi nada popular</v>
      </c>
      <c r="K583" s="43">
        <v>45596</v>
      </c>
    </row>
    <row r="584" spans="1:11">
      <c r="A584" s="34">
        <v>0.84599999999999997</v>
      </c>
      <c r="B584" s="32">
        <v>120</v>
      </c>
      <c r="C584" s="33">
        <v>0.61099999999999999</v>
      </c>
      <c r="D584" s="34">
        <v>0.751</v>
      </c>
      <c r="E584" s="32">
        <v>77</v>
      </c>
      <c r="F584" s="32">
        <v>1</v>
      </c>
      <c r="G584" s="32">
        <v>11</v>
      </c>
      <c r="H584" s="35">
        <f ca="1">LEFT(Music_Data[[#This Row],[Duration_minutes]],3)/60</f>
        <v>2.9833333333333334</v>
      </c>
      <c r="I584" s="34">
        <v>5.0899999999999999E-3</v>
      </c>
      <c r="J584" s="36" t="str">
        <f t="shared" si="9"/>
        <v>Casi nada popular</v>
      </c>
      <c r="K584" s="42">
        <v>45555</v>
      </c>
    </row>
    <row r="585" spans="1:11">
      <c r="A585" s="39">
        <v>0.503</v>
      </c>
      <c r="B585" s="37">
        <v>828</v>
      </c>
      <c r="C585" s="38">
        <v>0.64600000000000002</v>
      </c>
      <c r="D585" s="39">
        <v>0.78900000000000003</v>
      </c>
      <c r="E585" s="37">
        <v>77</v>
      </c>
      <c r="F585" s="37">
        <v>1</v>
      </c>
      <c r="G585" s="37">
        <v>2</v>
      </c>
      <c r="H585" s="40">
        <f ca="1">LEFT(Music_Data[[#This Row],[Duration_minutes]],3)/60</f>
        <v>3.5166666666666666</v>
      </c>
      <c r="I585" s="39">
        <v>4.2599999999999999E-3</v>
      </c>
      <c r="J585" s="41" t="str">
        <f t="shared" si="9"/>
        <v>Casi nada popular</v>
      </c>
      <c r="K585" s="43">
        <v>41982</v>
      </c>
    </row>
    <row r="586" spans="1:11">
      <c r="A586" s="34">
        <v>0.59399999999999997</v>
      </c>
      <c r="B586" s="32">
        <v>780</v>
      </c>
      <c r="C586" s="33">
        <v>0.79500000000000004</v>
      </c>
      <c r="D586" s="34">
        <v>0.40899999999999997</v>
      </c>
      <c r="E586" s="32">
        <v>77</v>
      </c>
      <c r="F586" s="32">
        <v>1</v>
      </c>
      <c r="G586" s="32">
        <v>0</v>
      </c>
      <c r="H586" s="35">
        <f ca="1">LEFT(Music_Data[[#This Row],[Duration_minutes]],3)/60</f>
        <v>3.2833333333333332</v>
      </c>
      <c r="I586" s="34">
        <v>0.112</v>
      </c>
      <c r="J586" s="36" t="str">
        <f t="shared" si="9"/>
        <v>Casi nada popular</v>
      </c>
      <c r="K586" s="42">
        <v>45579</v>
      </c>
    </row>
    <row r="587" spans="1:11">
      <c r="A587" s="39">
        <v>0.68100000000000005</v>
      </c>
      <c r="B587" s="37">
        <v>959</v>
      </c>
      <c r="C587" s="38">
        <v>0.67300000000000004</v>
      </c>
      <c r="D587" s="39">
        <v>0.70699999999999996</v>
      </c>
      <c r="E587" s="37">
        <v>77</v>
      </c>
      <c r="F587" s="37">
        <v>1</v>
      </c>
      <c r="G587" s="37">
        <v>1</v>
      </c>
      <c r="H587" s="40">
        <f ca="1">LEFT(Music_Data[[#This Row],[Duration_minutes]],3)/60</f>
        <v>3.3666666666666667</v>
      </c>
      <c r="I587" s="39">
        <v>0.52</v>
      </c>
      <c r="J587" s="41" t="str">
        <f t="shared" si="9"/>
        <v>Casi nada popular</v>
      </c>
      <c r="K587" s="43">
        <v>44694</v>
      </c>
    </row>
    <row r="588" spans="1:11">
      <c r="A588" s="34">
        <v>0.55200000000000005</v>
      </c>
      <c r="B588" s="32">
        <v>149</v>
      </c>
      <c r="C588" s="33">
        <v>0.72699999999999998</v>
      </c>
      <c r="D588" s="34">
        <v>0.60699999999999998</v>
      </c>
      <c r="E588" s="32">
        <v>77</v>
      </c>
      <c r="F588" s="32">
        <v>0</v>
      </c>
      <c r="G588" s="32">
        <v>2</v>
      </c>
      <c r="H588" s="35">
        <f ca="1">LEFT(Music_Data[[#This Row],[Duration_minutes]],3)/60</f>
        <v>2.3833333333333333</v>
      </c>
      <c r="I588" s="34">
        <v>0.22600000000000001</v>
      </c>
      <c r="J588" s="36" t="str">
        <f t="shared" si="9"/>
        <v>Casi nada popular</v>
      </c>
      <c r="K588" s="42">
        <v>44505</v>
      </c>
    </row>
    <row r="589" spans="1:11">
      <c r="A589" s="39">
        <v>0.72099999999999997</v>
      </c>
      <c r="B589" s="37">
        <v>998</v>
      </c>
      <c r="C589" s="38">
        <v>0.62</v>
      </c>
      <c r="D589" s="39">
        <v>0.77</v>
      </c>
      <c r="E589" s="37">
        <v>77</v>
      </c>
      <c r="F589" s="37">
        <v>0</v>
      </c>
      <c r="G589" s="37">
        <v>4</v>
      </c>
      <c r="H589" s="40">
        <f ca="1">LEFT(Music_Data[[#This Row],[Duration_minutes]],3)/60</f>
        <v>2.7</v>
      </c>
      <c r="I589" s="39">
        <v>4.2200000000000001E-2</v>
      </c>
      <c r="J589" s="41" t="str">
        <f t="shared" si="9"/>
        <v>Casi nada popular</v>
      </c>
      <c r="K589" s="43">
        <v>45554</v>
      </c>
    </row>
    <row r="590" spans="1:11">
      <c r="A590" s="34">
        <v>0.86</v>
      </c>
      <c r="B590" s="32">
        <v>147</v>
      </c>
      <c r="C590" s="33">
        <v>0.60799999999999998</v>
      </c>
      <c r="D590" s="34">
        <v>0.437</v>
      </c>
      <c r="E590" s="32">
        <v>77</v>
      </c>
      <c r="F590" s="32">
        <v>0</v>
      </c>
      <c r="G590" s="32">
        <v>5</v>
      </c>
      <c r="H590" s="35">
        <f ca="1">LEFT(Music_Data[[#This Row],[Duration_minutes]],3)/60</f>
        <v>2.5</v>
      </c>
      <c r="I590" s="34">
        <v>9.9099999999999994E-2</v>
      </c>
      <c r="J590" s="36" t="str">
        <f t="shared" si="9"/>
        <v>Casi nada popular</v>
      </c>
      <c r="K590" s="42">
        <v>45555</v>
      </c>
    </row>
    <row r="591" spans="1:11">
      <c r="A591" s="39">
        <v>0.81100000000000005</v>
      </c>
      <c r="B591" s="37">
        <v>179</v>
      </c>
      <c r="C591" s="38">
        <v>0.79400000000000004</v>
      </c>
      <c r="D591" s="39">
        <v>0.86199999999999999</v>
      </c>
      <c r="E591" s="37">
        <v>77</v>
      </c>
      <c r="F591" s="37">
        <v>0</v>
      </c>
      <c r="G591" s="37">
        <v>6</v>
      </c>
      <c r="H591" s="40">
        <f ca="1">LEFT(Music_Data[[#This Row],[Duration_minutes]],3)/60</f>
        <v>2.85</v>
      </c>
      <c r="I591" s="39">
        <v>4.2599999999999999E-2</v>
      </c>
      <c r="J591" s="41" t="str">
        <f t="shared" si="9"/>
        <v>Casi nada popular</v>
      </c>
      <c r="K591" s="43">
        <v>43707</v>
      </c>
    </row>
    <row r="592" spans="1:11">
      <c r="A592" s="34">
        <v>0.74099999999999999</v>
      </c>
      <c r="B592" s="32">
        <v>120</v>
      </c>
      <c r="C592" s="33">
        <v>0.64600000000000002</v>
      </c>
      <c r="D592" s="34">
        <v>0.57099999999999995</v>
      </c>
      <c r="E592" s="32">
        <v>77</v>
      </c>
      <c r="F592" s="32">
        <v>0</v>
      </c>
      <c r="G592" s="32">
        <v>5</v>
      </c>
      <c r="H592" s="35">
        <f ca="1">LEFT(Music_Data[[#This Row],[Duration_minutes]],3)/60</f>
        <v>3.7333333333333334</v>
      </c>
      <c r="I592" s="34">
        <v>2.75E-2</v>
      </c>
      <c r="J592" s="36" t="str">
        <f t="shared" si="9"/>
        <v>Casi nada popular</v>
      </c>
      <c r="K592" s="42">
        <v>43749</v>
      </c>
    </row>
    <row r="593" spans="1:11">
      <c r="A593" s="39">
        <v>0.51900000000000002</v>
      </c>
      <c r="B593" s="37">
        <v>140</v>
      </c>
      <c r="C593" s="38">
        <v>0.501</v>
      </c>
      <c r="D593" s="39">
        <v>0.16800000000000001</v>
      </c>
      <c r="E593" s="37">
        <v>77</v>
      </c>
      <c r="F593" s="37">
        <v>0</v>
      </c>
      <c r="G593" s="37">
        <v>4</v>
      </c>
      <c r="H593" s="40">
        <f ca="1">LEFT(Music_Data[[#This Row],[Duration_minutes]],3)/60</f>
        <v>2.7333333333333334</v>
      </c>
      <c r="I593" s="39">
        <v>0.109</v>
      </c>
      <c r="J593" s="41" t="str">
        <f t="shared" si="9"/>
        <v>Casi nada popular</v>
      </c>
      <c r="K593" s="43">
        <v>45597</v>
      </c>
    </row>
    <row r="594" spans="1:11">
      <c r="A594" s="34">
        <v>0.92700000000000005</v>
      </c>
      <c r="B594" s="32">
        <v>174</v>
      </c>
      <c r="C594" s="33">
        <v>0.63100000000000001</v>
      </c>
      <c r="D594" s="34">
        <v>0.46500000000000002</v>
      </c>
      <c r="E594" s="32">
        <v>77</v>
      </c>
      <c r="F594" s="32">
        <v>0</v>
      </c>
      <c r="G594" s="32">
        <v>9</v>
      </c>
      <c r="H594" s="35">
        <f ca="1">LEFT(Music_Data[[#This Row],[Duration_minutes]],3)/60</f>
        <v>4.2166666666666668</v>
      </c>
      <c r="I594" s="34">
        <v>0.19900000000000001</v>
      </c>
      <c r="J594" s="36" t="str">
        <f t="shared" si="9"/>
        <v>Casi nada popular</v>
      </c>
      <c r="K594" s="42">
        <v>34884</v>
      </c>
    </row>
    <row r="595" spans="1:11">
      <c r="A595" s="39">
        <v>0.83</v>
      </c>
      <c r="B595" s="37">
        <v>141</v>
      </c>
      <c r="C595" s="38">
        <v>0.76700000000000002</v>
      </c>
      <c r="D595" s="39">
        <v>0.187</v>
      </c>
      <c r="E595" s="37">
        <v>77</v>
      </c>
      <c r="F595" s="37">
        <v>1</v>
      </c>
      <c r="G595" s="37">
        <v>7</v>
      </c>
      <c r="H595" s="40">
        <f ca="1">LEFT(Music_Data[[#This Row],[Duration_minutes]],3)/60</f>
        <v>5.75</v>
      </c>
      <c r="I595" s="39">
        <v>0.20899999999999999</v>
      </c>
      <c r="J595" s="41" t="str">
        <f t="shared" si="9"/>
        <v>Casi nada popular</v>
      </c>
      <c r="K595" s="43">
        <v>43315</v>
      </c>
    </row>
    <row r="596" spans="1:11">
      <c r="A596" s="34">
        <v>0.52300000000000002</v>
      </c>
      <c r="B596" s="32">
        <v>920</v>
      </c>
      <c r="C596" s="33">
        <v>0.628</v>
      </c>
      <c r="D596" s="34">
        <v>0.41599999999999998</v>
      </c>
      <c r="E596" s="32">
        <v>77</v>
      </c>
      <c r="F596" s="32">
        <v>0</v>
      </c>
      <c r="G596" s="32">
        <v>11</v>
      </c>
      <c r="H596" s="35">
        <f ca="1">LEFT(Music_Data[[#This Row],[Duration_minutes]],3)/60</f>
        <v>2.1166666666666667</v>
      </c>
      <c r="I596" s="34">
        <v>0.70099999999999996</v>
      </c>
      <c r="J596" s="36" t="str">
        <f t="shared" si="9"/>
        <v>Casi nada popular</v>
      </c>
      <c r="K596" s="42">
        <v>45544</v>
      </c>
    </row>
    <row r="597" spans="1:11">
      <c r="A597" s="39">
        <v>0.93400000000000005</v>
      </c>
      <c r="B597" s="37">
        <v>970</v>
      </c>
      <c r="C597" s="38">
        <v>0.77700000000000002</v>
      </c>
      <c r="D597" s="39">
        <v>0.63700000000000001</v>
      </c>
      <c r="E597" s="37">
        <v>77</v>
      </c>
      <c r="F597" s="37">
        <v>1</v>
      </c>
      <c r="G597" s="37">
        <v>2</v>
      </c>
      <c r="H597" s="40">
        <f ca="1">LEFT(Music_Data[[#This Row],[Duration_minutes]],3)/60</f>
        <v>3</v>
      </c>
      <c r="I597" s="39">
        <v>0.28499999999999998</v>
      </c>
      <c r="J597" s="41" t="str">
        <f t="shared" si="9"/>
        <v>Casi nada popular</v>
      </c>
      <c r="K597" s="43">
        <v>43644</v>
      </c>
    </row>
    <row r="598" spans="1:11">
      <c r="A598" s="34">
        <v>0.92700000000000005</v>
      </c>
      <c r="B598" s="32">
        <v>118</v>
      </c>
      <c r="C598" s="33">
        <v>0.755</v>
      </c>
      <c r="D598" s="34">
        <v>0.70199999999999996</v>
      </c>
      <c r="E598" s="32">
        <v>77</v>
      </c>
      <c r="F598" s="32">
        <v>0</v>
      </c>
      <c r="G598" s="32">
        <v>11</v>
      </c>
      <c r="H598" s="35">
        <f ca="1">LEFT(Music_Data[[#This Row],[Duration_minutes]],3)/60</f>
        <v>3.7833333333333332</v>
      </c>
      <c r="I598" s="34">
        <v>2.8800000000000002E-3</v>
      </c>
      <c r="J598" s="36" t="str">
        <f t="shared" si="9"/>
        <v>Casi nada popular</v>
      </c>
      <c r="K598" s="42">
        <v>43608</v>
      </c>
    </row>
    <row r="599" spans="1:11">
      <c r="A599" s="39">
        <v>0.62</v>
      </c>
      <c r="B599" s="37">
        <v>139</v>
      </c>
      <c r="C599" s="38">
        <v>0.74099999999999999</v>
      </c>
      <c r="D599" s="39">
        <v>0.93400000000000005</v>
      </c>
      <c r="E599" s="37">
        <v>77</v>
      </c>
      <c r="F599" s="37">
        <v>1</v>
      </c>
      <c r="G599" s="37">
        <v>10</v>
      </c>
      <c r="H599" s="40">
        <f ca="1">LEFT(Music_Data[[#This Row],[Duration_minutes]],3)/60</f>
        <v>3.8166666666666669</v>
      </c>
      <c r="I599" s="39">
        <v>2.9499999999999998E-2</v>
      </c>
      <c r="J599" s="41" t="str">
        <f t="shared" si="9"/>
        <v>Casi nada popular</v>
      </c>
      <c r="K599" s="43">
        <v>43714</v>
      </c>
    </row>
    <row r="600" spans="1:11">
      <c r="A600" s="34">
        <v>0.64</v>
      </c>
      <c r="B600" s="32">
        <v>999</v>
      </c>
      <c r="C600" s="33">
        <v>0.53700000000000003</v>
      </c>
      <c r="D600" s="34">
        <v>0.222</v>
      </c>
      <c r="E600" s="32">
        <v>77</v>
      </c>
      <c r="F600" s="32">
        <v>1</v>
      </c>
      <c r="G600" s="32">
        <v>1</v>
      </c>
      <c r="H600" s="35">
        <f ca="1">LEFT(Music_Data[[#This Row],[Duration_minutes]],3)/60</f>
        <v>1.95</v>
      </c>
      <c r="I600" s="34">
        <v>0.14599999999999999</v>
      </c>
      <c r="J600" s="36" t="str">
        <f t="shared" si="9"/>
        <v>Casi nada popular</v>
      </c>
      <c r="K600" s="42">
        <v>44995</v>
      </c>
    </row>
    <row r="601" spans="1:11">
      <c r="A601" s="39">
        <v>0.96299999999999997</v>
      </c>
      <c r="B601" s="37">
        <v>785</v>
      </c>
      <c r="C601" s="38">
        <v>0.81699999999999995</v>
      </c>
      <c r="D601" s="39">
        <v>0.502</v>
      </c>
      <c r="E601" s="37">
        <v>77</v>
      </c>
      <c r="F601" s="37">
        <v>1</v>
      </c>
      <c r="G601" s="37">
        <v>1</v>
      </c>
      <c r="H601" s="40">
        <f ca="1">LEFT(Music_Data[[#This Row],[Duration_minutes]],3)/60</f>
        <v>3.0166666666666666</v>
      </c>
      <c r="I601" s="39">
        <v>6.83E-2</v>
      </c>
      <c r="J601" s="41" t="str">
        <f t="shared" si="9"/>
        <v>Casi nada popular</v>
      </c>
      <c r="K601" s="43">
        <v>45443</v>
      </c>
    </row>
    <row r="602" spans="1:11">
      <c r="A602" s="34">
        <v>0.55600000000000005</v>
      </c>
      <c r="B602" s="32">
        <v>899</v>
      </c>
      <c r="C602" s="33">
        <v>0.86399999999999999</v>
      </c>
      <c r="D602" s="34">
        <v>0.72599999999999998</v>
      </c>
      <c r="E602" s="32">
        <v>77</v>
      </c>
      <c r="F602" s="32">
        <v>0</v>
      </c>
      <c r="G602" s="32">
        <v>2</v>
      </c>
      <c r="H602" s="35">
        <f ca="1">LEFT(Music_Data[[#This Row],[Duration_minutes]],3)/60</f>
        <v>2.5666666666666669</v>
      </c>
      <c r="I602" s="34">
        <v>0.255</v>
      </c>
      <c r="J602" s="36" t="str">
        <f t="shared" si="9"/>
        <v>Casi nada popular</v>
      </c>
      <c r="K602" s="42">
        <v>45380</v>
      </c>
    </row>
    <row r="603" spans="1:11">
      <c r="A603" s="39">
        <v>0.80300000000000005</v>
      </c>
      <c r="B603" s="37">
        <v>960</v>
      </c>
      <c r="C603" s="38">
        <v>0.877</v>
      </c>
      <c r="D603" s="39">
        <v>0.79500000000000004</v>
      </c>
      <c r="E603" s="37">
        <v>77</v>
      </c>
      <c r="F603" s="37">
        <v>1</v>
      </c>
      <c r="G603" s="37">
        <v>9</v>
      </c>
      <c r="H603" s="40">
        <f ca="1">LEFT(Music_Data[[#This Row],[Duration_minutes]],3)/60</f>
        <v>5.0333333333333332</v>
      </c>
      <c r="I603" s="39">
        <v>0.73399999999999999</v>
      </c>
      <c r="J603" s="41" t="str">
        <f t="shared" si="9"/>
        <v>Casi nada popular</v>
      </c>
      <c r="K603" s="43">
        <v>34590</v>
      </c>
    </row>
    <row r="604" spans="1:11">
      <c r="A604" s="34">
        <v>0.57299999999999995</v>
      </c>
      <c r="B604" s="32">
        <v>142</v>
      </c>
      <c r="C604" s="33">
        <v>0.91100000000000003</v>
      </c>
      <c r="D604" s="34">
        <v>0.97199999999999998</v>
      </c>
      <c r="E604" s="32">
        <v>77</v>
      </c>
      <c r="F604" s="32">
        <v>1</v>
      </c>
      <c r="G604" s="32">
        <v>6</v>
      </c>
      <c r="H604" s="35">
        <f ca="1">LEFT(Music_Data[[#This Row],[Duration_minutes]],3)/60</f>
        <v>2.0166666666666666</v>
      </c>
      <c r="I604" s="34">
        <v>0.38</v>
      </c>
      <c r="J604" s="36" t="str">
        <f t="shared" si="9"/>
        <v>Casi nada popular</v>
      </c>
      <c r="K604" s="42">
        <v>44372</v>
      </c>
    </row>
    <row r="605" spans="1:11">
      <c r="A605" s="39">
        <v>0.629</v>
      </c>
      <c r="B605" s="37">
        <v>140</v>
      </c>
      <c r="C605" s="38">
        <v>0.84799999999999998</v>
      </c>
      <c r="D605" s="39">
        <v>0.58599999999999997</v>
      </c>
      <c r="E605" s="37">
        <v>77</v>
      </c>
      <c r="F605" s="37">
        <v>1</v>
      </c>
      <c r="G605" s="37">
        <v>0</v>
      </c>
      <c r="H605" s="40">
        <f ca="1">LEFT(Music_Data[[#This Row],[Duration_minutes]],3)/60</f>
        <v>3.7</v>
      </c>
      <c r="I605" s="39">
        <v>1.6E-2</v>
      </c>
      <c r="J605" s="41" t="str">
        <f t="shared" si="9"/>
        <v>Casi nada popular</v>
      </c>
      <c r="K605" s="43">
        <v>43791</v>
      </c>
    </row>
    <row r="606" spans="1:11">
      <c r="A606" s="34">
        <v>0.64800000000000002</v>
      </c>
      <c r="B606" s="32">
        <v>675</v>
      </c>
      <c r="C606" s="33">
        <v>0.73699999999999999</v>
      </c>
      <c r="D606" s="34">
        <v>0.746</v>
      </c>
      <c r="E606" s="32">
        <v>77</v>
      </c>
      <c r="F606" s="32">
        <v>1</v>
      </c>
      <c r="G606" s="32">
        <v>1</v>
      </c>
      <c r="H606" s="35">
        <f ca="1">LEFT(Music_Data[[#This Row],[Duration_minutes]],3)/60</f>
        <v>5.3833333333333337</v>
      </c>
      <c r="I606" s="34">
        <v>0.252</v>
      </c>
      <c r="J606" s="36" t="str">
        <f t="shared" si="9"/>
        <v>Casi nada popular</v>
      </c>
      <c r="K606" s="42">
        <v>42150</v>
      </c>
    </row>
    <row r="607" spans="1:11">
      <c r="A607" s="39">
        <v>0.79400000000000004</v>
      </c>
      <c r="B607" s="37">
        <v>113</v>
      </c>
      <c r="C607" s="38">
        <v>0.53100000000000003</v>
      </c>
      <c r="D607" s="39">
        <v>0.77500000000000002</v>
      </c>
      <c r="E607" s="37">
        <v>77</v>
      </c>
      <c r="F607" s="37">
        <v>1</v>
      </c>
      <c r="G607" s="37">
        <v>10</v>
      </c>
      <c r="H607" s="40">
        <f ca="1">LEFT(Music_Data[[#This Row],[Duration_minutes]],3)/60</f>
        <v>2.6</v>
      </c>
      <c r="I607" s="39">
        <v>1.7600000000000001E-2</v>
      </c>
      <c r="J607" s="41" t="str">
        <f t="shared" si="9"/>
        <v>Casi nada popular</v>
      </c>
      <c r="K607" s="43">
        <v>44162</v>
      </c>
    </row>
    <row r="608" spans="1:11">
      <c r="A608" s="34">
        <v>0.89800000000000002</v>
      </c>
      <c r="B608" s="32">
        <v>128</v>
      </c>
      <c r="C608" s="33">
        <v>0.35299999999999998</v>
      </c>
      <c r="D608" s="34">
        <v>0.52500000000000002</v>
      </c>
      <c r="E608" s="32">
        <v>77</v>
      </c>
      <c r="F608" s="32">
        <v>1</v>
      </c>
      <c r="G608" s="32">
        <v>2</v>
      </c>
      <c r="H608" s="35">
        <f ca="1">LEFT(Music_Data[[#This Row],[Duration_minutes]],3)/60</f>
        <v>3.1833333333333331</v>
      </c>
      <c r="I608" s="34">
        <v>2.23E-5</v>
      </c>
      <c r="J608" s="36" t="str">
        <f t="shared" si="9"/>
        <v>Casi nada popular</v>
      </c>
      <c r="K608" s="42">
        <v>42737</v>
      </c>
    </row>
    <row r="609" spans="1:11">
      <c r="A609" s="39">
        <v>0.96299999999999997</v>
      </c>
      <c r="B609" s="37">
        <v>941</v>
      </c>
      <c r="C609" s="38">
        <v>0.59</v>
      </c>
      <c r="D609" s="39">
        <v>0.58599999999999997</v>
      </c>
      <c r="E609" s="37">
        <v>77</v>
      </c>
      <c r="F609" s="37">
        <v>0</v>
      </c>
      <c r="G609" s="37">
        <v>0</v>
      </c>
      <c r="H609" s="40">
        <f ca="1">LEFT(Music_Data[[#This Row],[Duration_minutes]],3)/60</f>
        <v>3.9333333333333331</v>
      </c>
      <c r="I609" s="39">
        <v>8.7499999999999999E-5</v>
      </c>
      <c r="J609" s="41" t="str">
        <f t="shared" si="9"/>
        <v>Casi nada popular</v>
      </c>
      <c r="K609" s="43">
        <v>35913</v>
      </c>
    </row>
    <row r="610" spans="1:11">
      <c r="A610" s="34">
        <v>0.78100000000000003</v>
      </c>
      <c r="B610" s="32">
        <v>146</v>
      </c>
      <c r="C610" s="33">
        <v>0.443</v>
      </c>
      <c r="D610" s="34">
        <v>0.372</v>
      </c>
      <c r="E610" s="32">
        <v>77</v>
      </c>
      <c r="F610" s="32">
        <v>1</v>
      </c>
      <c r="G610" s="32">
        <v>1</v>
      </c>
      <c r="H610" s="35">
        <f ca="1">LEFT(Music_Data[[#This Row],[Duration_minutes]],3)/60</f>
        <v>2.9</v>
      </c>
      <c r="I610" s="34">
        <v>1.33E-5</v>
      </c>
      <c r="J610" s="36" t="str">
        <f t="shared" si="9"/>
        <v>Casi nada popular</v>
      </c>
      <c r="K610" s="42">
        <v>44910</v>
      </c>
    </row>
    <row r="611" spans="1:11">
      <c r="A611" s="39">
        <v>0.71599999999999997</v>
      </c>
      <c r="B611" s="37">
        <v>117</v>
      </c>
      <c r="C611" s="38">
        <v>0.53500000000000003</v>
      </c>
      <c r="D611" s="39">
        <v>0.90100000000000002</v>
      </c>
      <c r="E611" s="37">
        <v>77</v>
      </c>
      <c r="F611" s="37">
        <v>1</v>
      </c>
      <c r="G611" s="37">
        <v>4</v>
      </c>
      <c r="H611" s="40">
        <f ca="1">LEFT(Music_Data[[#This Row],[Duration_minutes]],3)/60</f>
        <v>2.1</v>
      </c>
      <c r="I611" s="39">
        <v>0.32600000000000001</v>
      </c>
      <c r="J611" s="41" t="str">
        <f t="shared" si="9"/>
        <v>Casi nada popular</v>
      </c>
      <c r="K611" s="43">
        <v>45534</v>
      </c>
    </row>
    <row r="612" spans="1:11">
      <c r="A612" s="34">
        <v>0.65800000000000003</v>
      </c>
      <c r="B612" s="32">
        <v>148</v>
      </c>
      <c r="C612" s="33">
        <v>0.8</v>
      </c>
      <c r="D612" s="34">
        <v>0.46200000000000002</v>
      </c>
      <c r="E612" s="32">
        <v>77</v>
      </c>
      <c r="F612" s="32">
        <v>0</v>
      </c>
      <c r="G612" s="32">
        <v>1</v>
      </c>
      <c r="H612" s="35">
        <f ca="1">LEFT(Music_Data[[#This Row],[Duration_minutes]],3)/60</f>
        <v>3.4333333333333331</v>
      </c>
      <c r="I612" s="34">
        <v>0.25</v>
      </c>
      <c r="J612" s="36" t="str">
        <f t="shared" si="9"/>
        <v>Casi nada popular</v>
      </c>
      <c r="K612" s="42">
        <v>45596</v>
      </c>
    </row>
    <row r="613" spans="1:11">
      <c r="A613" s="39">
        <v>0.48699999999999999</v>
      </c>
      <c r="B613" s="37">
        <v>174</v>
      </c>
      <c r="C613" s="38">
        <v>0.96399999999999997</v>
      </c>
      <c r="D613" s="39">
        <v>0.108</v>
      </c>
      <c r="E613" s="37">
        <v>77</v>
      </c>
      <c r="F613" s="37">
        <v>0</v>
      </c>
      <c r="G613" s="37">
        <v>10</v>
      </c>
      <c r="H613" s="40">
        <f ca="1">LEFT(Music_Data[[#This Row],[Duration_minutes]],3)/60</f>
        <v>4.1333333333333337</v>
      </c>
      <c r="I613" s="39">
        <v>1.2700000000000001E-3</v>
      </c>
      <c r="J613" s="41" t="str">
        <f t="shared" si="9"/>
        <v>Casi nada popular</v>
      </c>
      <c r="K613" s="43">
        <v>42839</v>
      </c>
    </row>
    <row r="614" spans="1:11">
      <c r="A614" s="34">
        <v>0.51600000000000001</v>
      </c>
      <c r="B614" s="32">
        <v>188</v>
      </c>
      <c r="C614" s="33">
        <v>0.877</v>
      </c>
      <c r="D614" s="34">
        <v>0.255</v>
      </c>
      <c r="E614" s="32">
        <v>77</v>
      </c>
      <c r="F614" s="32">
        <v>0</v>
      </c>
      <c r="G614" s="32">
        <v>2</v>
      </c>
      <c r="H614" s="35">
        <f ca="1">LEFT(Music_Data[[#This Row],[Duration_minutes]],3)/60</f>
        <v>2.0333333333333332</v>
      </c>
      <c r="I614" s="34">
        <v>0.215</v>
      </c>
      <c r="J614" s="36" t="str">
        <f t="shared" si="9"/>
        <v>Casi nada popular</v>
      </c>
      <c r="K614" s="42">
        <v>44134</v>
      </c>
    </row>
    <row r="615" spans="1:11">
      <c r="A615" s="39">
        <v>0.65100000000000002</v>
      </c>
      <c r="B615" s="37">
        <v>148</v>
      </c>
      <c r="C615" s="38">
        <v>0.66500000000000004</v>
      </c>
      <c r="D615" s="39">
        <v>0.23699999999999999</v>
      </c>
      <c r="E615" s="37">
        <v>77</v>
      </c>
      <c r="F615" s="37">
        <v>1</v>
      </c>
      <c r="G615" s="37">
        <v>1</v>
      </c>
      <c r="H615" s="40">
        <f ca="1">LEFT(Music_Data[[#This Row],[Duration_minutes]],3)/60</f>
        <v>1.9333333333333333</v>
      </c>
      <c r="I615" s="39">
        <v>4.1399999999999999E-2</v>
      </c>
      <c r="J615" s="41" t="str">
        <f t="shared" si="9"/>
        <v>Casi nada popular</v>
      </c>
      <c r="K615" s="43">
        <v>43707</v>
      </c>
    </row>
    <row r="616" spans="1:11">
      <c r="A616" s="34">
        <v>0.64800000000000002</v>
      </c>
      <c r="B616" s="32">
        <v>765</v>
      </c>
      <c r="C616" s="33">
        <v>0.73699999999999999</v>
      </c>
      <c r="D616" s="34">
        <v>0.746</v>
      </c>
      <c r="E616" s="32">
        <v>77</v>
      </c>
      <c r="F616" s="32">
        <v>1</v>
      </c>
      <c r="G616" s="32">
        <v>1</v>
      </c>
      <c r="H616" s="35">
        <f ca="1">LEFT(Music_Data[[#This Row],[Duration_minutes]],3)/60</f>
        <v>1.7833333333333334</v>
      </c>
      <c r="I616" s="34">
        <v>0.252</v>
      </c>
      <c r="J616" s="36" t="str">
        <f t="shared" si="9"/>
        <v>Casi nada popular</v>
      </c>
      <c r="K616" s="42">
        <v>45324</v>
      </c>
    </row>
    <row r="617" spans="1:11">
      <c r="A617" s="39">
        <v>0.36599999999999999</v>
      </c>
      <c r="B617" s="37">
        <v>120</v>
      </c>
      <c r="C617" s="38">
        <v>0.60399999999999998</v>
      </c>
      <c r="D617" s="39">
        <v>0.13</v>
      </c>
      <c r="E617" s="37">
        <v>77</v>
      </c>
      <c r="F617" s="37">
        <v>1</v>
      </c>
      <c r="G617" s="37">
        <v>5</v>
      </c>
      <c r="H617" s="40">
        <f ca="1">LEFT(Music_Data[[#This Row],[Duration_minutes]],3)/60</f>
        <v>3.4666666666666668</v>
      </c>
      <c r="I617" s="39">
        <v>0.57799999999999996</v>
      </c>
      <c r="J617" s="41" t="str">
        <f t="shared" si="9"/>
        <v>Casi nada popular</v>
      </c>
      <c r="K617" s="43">
        <v>42265</v>
      </c>
    </row>
    <row r="618" spans="1:11">
      <c r="A618" s="34">
        <v>0.77900000000000003</v>
      </c>
      <c r="B618" s="32">
        <v>954</v>
      </c>
      <c r="C618" s="33">
        <v>0.46800000000000003</v>
      </c>
      <c r="D618" s="34">
        <v>0.26</v>
      </c>
      <c r="E618" s="32">
        <v>77</v>
      </c>
      <c r="F618" s="32">
        <v>1</v>
      </c>
      <c r="G618" s="32">
        <v>9</v>
      </c>
      <c r="H618" s="35">
        <f ca="1">LEFT(Music_Data[[#This Row],[Duration_minutes]],3)/60</f>
        <v>4.9666666666666668</v>
      </c>
      <c r="I618" s="34">
        <v>0.112</v>
      </c>
      <c r="J618" s="36" t="str">
        <f t="shared" si="9"/>
        <v>Casi nada popular</v>
      </c>
      <c r="K618" s="42">
        <v>36452</v>
      </c>
    </row>
    <row r="619" spans="1:11">
      <c r="A619" s="39">
        <v>0.73799999999999999</v>
      </c>
      <c r="B619" s="37">
        <v>129</v>
      </c>
      <c r="C619" s="38">
        <v>0.72099999999999997</v>
      </c>
      <c r="D619" s="39">
        <v>0.63700000000000001</v>
      </c>
      <c r="E619" s="37">
        <v>77</v>
      </c>
      <c r="F619" s="37">
        <v>1</v>
      </c>
      <c r="G619" s="37">
        <v>7</v>
      </c>
      <c r="H619" s="40">
        <f ca="1">LEFT(Music_Data[[#This Row],[Duration_minutes]],3)/60</f>
        <v>2.2999999999999998</v>
      </c>
      <c r="I619" s="39">
        <v>2.2599999999999999E-3</v>
      </c>
      <c r="J619" s="41" t="str">
        <f t="shared" si="9"/>
        <v>Casi nada popular</v>
      </c>
      <c r="K619" s="43">
        <v>45562</v>
      </c>
    </row>
    <row r="620" spans="1:11">
      <c r="A620" s="34">
        <v>0.90200000000000002</v>
      </c>
      <c r="B620" s="32">
        <v>121</v>
      </c>
      <c r="C620" s="33">
        <v>0.67300000000000004</v>
      </c>
      <c r="D620" s="34">
        <v>0.53600000000000003</v>
      </c>
      <c r="E620" s="32">
        <v>77</v>
      </c>
      <c r="F620" s="32">
        <v>1</v>
      </c>
      <c r="G620" s="32">
        <v>2</v>
      </c>
      <c r="H620" s="35">
        <f ca="1">LEFT(Music_Data[[#This Row],[Duration_minutes]],3)/60</f>
        <v>2.7833333333333332</v>
      </c>
      <c r="I620" s="34">
        <v>5.91E-2</v>
      </c>
      <c r="J620" s="36" t="str">
        <f t="shared" si="9"/>
        <v>Casi nada popular</v>
      </c>
      <c r="K620" s="42">
        <v>45507</v>
      </c>
    </row>
    <row r="621" spans="1:11">
      <c r="A621" s="39">
        <v>0.80800000000000005</v>
      </c>
      <c r="B621" s="37">
        <v>819</v>
      </c>
      <c r="C621" s="38">
        <v>0.72</v>
      </c>
      <c r="D621" s="39">
        <v>0.86899999999999999</v>
      </c>
      <c r="E621" s="37">
        <v>77</v>
      </c>
      <c r="F621" s="37">
        <v>1</v>
      </c>
      <c r="G621" s="37">
        <v>6</v>
      </c>
      <c r="H621" s="40">
        <f ca="1">LEFT(Music_Data[[#This Row],[Duration_minutes]],3)/60</f>
        <v>2.9833333333333334</v>
      </c>
      <c r="I621" s="39">
        <v>7.9299999999999995E-3</v>
      </c>
      <c r="J621" s="41" t="str">
        <f t="shared" si="9"/>
        <v>Casi nada popular</v>
      </c>
      <c r="K621" s="43">
        <v>42713</v>
      </c>
    </row>
    <row r="622" spans="1:11">
      <c r="A622" s="34">
        <v>0.625</v>
      </c>
      <c r="B622" s="32">
        <v>859</v>
      </c>
      <c r="C622" s="33">
        <v>0.79800000000000004</v>
      </c>
      <c r="D622" s="34">
        <v>0.85799999999999998</v>
      </c>
      <c r="E622" s="32">
        <v>77</v>
      </c>
      <c r="F622" s="32">
        <v>1</v>
      </c>
      <c r="G622" s="32">
        <v>11</v>
      </c>
      <c r="H622" s="35">
        <f ca="1">LEFT(Music_Data[[#This Row],[Duration_minutes]],3)/60</f>
        <v>3.7666666666666666</v>
      </c>
      <c r="I622" s="34">
        <v>5.47E-3</v>
      </c>
      <c r="J622" s="36" t="str">
        <f t="shared" si="9"/>
        <v>Casi nada popular</v>
      </c>
      <c r="K622" s="42">
        <v>45296</v>
      </c>
    </row>
    <row r="623" spans="1:11">
      <c r="A623" s="39">
        <v>0.86</v>
      </c>
      <c r="B623" s="37">
        <v>104</v>
      </c>
      <c r="C623" s="38">
        <v>0.60799999999999998</v>
      </c>
      <c r="D623" s="39">
        <v>0.437</v>
      </c>
      <c r="E623" s="37">
        <v>77</v>
      </c>
      <c r="F623" s="37">
        <v>0</v>
      </c>
      <c r="G623" s="37">
        <v>5</v>
      </c>
      <c r="H623" s="40">
        <f ca="1">LEFT(Music_Data[[#This Row],[Duration_minutes]],3)/60</f>
        <v>4.2833333333333332</v>
      </c>
      <c r="I623" s="39">
        <v>9.9099999999999994E-2</v>
      </c>
      <c r="J623" s="41" t="str">
        <f t="shared" si="9"/>
        <v>Casi nada popular</v>
      </c>
      <c r="K623" s="43">
        <v>35493</v>
      </c>
    </row>
    <row r="624" spans="1:11">
      <c r="A624" s="34">
        <v>0.81100000000000005</v>
      </c>
      <c r="B624" s="32">
        <v>181</v>
      </c>
      <c r="C624" s="33">
        <v>0.79400000000000004</v>
      </c>
      <c r="D624" s="34">
        <v>0.86199999999999999</v>
      </c>
      <c r="E624" s="32">
        <v>77</v>
      </c>
      <c r="F624" s="32">
        <v>0</v>
      </c>
      <c r="G624" s="32">
        <v>6</v>
      </c>
      <c r="H624" s="35">
        <f ca="1">LEFT(Music_Data[[#This Row],[Duration_minutes]],3)/60</f>
        <v>4.2</v>
      </c>
      <c r="I624" s="34">
        <v>4.2599999999999999E-2</v>
      </c>
      <c r="J624" s="36" t="str">
        <f t="shared" si="9"/>
        <v>Casi nada popular</v>
      </c>
      <c r="K624" s="42">
        <v>34282</v>
      </c>
    </row>
    <row r="625" spans="1:11">
      <c r="A625" s="39">
        <v>0.88900000000000001</v>
      </c>
      <c r="B625" s="37">
        <v>158</v>
      </c>
      <c r="C625" s="38">
        <v>0.58399999999999996</v>
      </c>
      <c r="D625" s="39">
        <v>0.46400000000000002</v>
      </c>
      <c r="E625" s="37">
        <v>77</v>
      </c>
      <c r="F625" s="37">
        <v>0</v>
      </c>
      <c r="G625" s="37">
        <v>1</v>
      </c>
      <c r="H625" s="40">
        <f ca="1">LEFT(Music_Data[[#This Row],[Duration_minutes]],3)/60</f>
        <v>2.8333333333333335</v>
      </c>
      <c r="I625" s="39">
        <v>4.6199999999999998E-2</v>
      </c>
      <c r="J625" s="41" t="str">
        <f t="shared" si="9"/>
        <v>Casi nada popular</v>
      </c>
      <c r="K625" s="43">
        <v>45583</v>
      </c>
    </row>
    <row r="626" spans="1:11">
      <c r="A626" s="34">
        <v>0.65400000000000003</v>
      </c>
      <c r="B626" s="32">
        <v>145</v>
      </c>
      <c r="C626" s="33">
        <v>0.92</v>
      </c>
      <c r="D626" s="34">
        <v>0.84699999999999998</v>
      </c>
      <c r="E626" s="32">
        <v>77</v>
      </c>
      <c r="F626" s="32">
        <v>0</v>
      </c>
      <c r="G626" s="32">
        <v>11</v>
      </c>
      <c r="H626" s="35">
        <f ca="1">LEFT(Music_Data[[#This Row],[Duration_minutes]],3)/60</f>
        <v>3.7666666666666666</v>
      </c>
      <c r="I626" s="34">
        <v>2.3599999999999999E-2</v>
      </c>
      <c r="J626" s="36" t="str">
        <f t="shared" si="9"/>
        <v>Casi nada popular</v>
      </c>
      <c r="K626" s="42">
        <v>44302</v>
      </c>
    </row>
    <row r="627" spans="1:11">
      <c r="A627" s="39">
        <v>0.75800000000000001</v>
      </c>
      <c r="B627" s="37">
        <v>108</v>
      </c>
      <c r="C627" s="38">
        <v>0.67300000000000004</v>
      </c>
      <c r="D627" s="39">
        <v>0.54200000000000004</v>
      </c>
      <c r="E627" s="37">
        <v>77</v>
      </c>
      <c r="F627" s="37">
        <v>1</v>
      </c>
      <c r="G627" s="37">
        <v>7</v>
      </c>
      <c r="H627" s="40">
        <f ca="1">LEFT(Music_Data[[#This Row],[Duration_minutes]],3)/60</f>
        <v>4.2666666666666666</v>
      </c>
      <c r="I627" s="39">
        <v>3.9E-2</v>
      </c>
      <c r="J627" s="41" t="str">
        <f t="shared" si="9"/>
        <v>Casi nada popular</v>
      </c>
      <c r="K627" s="43">
        <v>37658</v>
      </c>
    </row>
    <row r="628" spans="1:11">
      <c r="A628" s="34">
        <v>0.71599999999999997</v>
      </c>
      <c r="B628" s="32">
        <v>929</v>
      </c>
      <c r="C628" s="33">
        <v>0.53500000000000003</v>
      </c>
      <c r="D628" s="34">
        <v>0.90100000000000002</v>
      </c>
      <c r="E628" s="32">
        <v>77</v>
      </c>
      <c r="F628" s="32">
        <v>1</v>
      </c>
      <c r="G628" s="32">
        <v>4</v>
      </c>
      <c r="H628" s="35">
        <f ca="1">LEFT(Music_Data[[#This Row],[Duration_minutes]],3)/60</f>
        <v>2.1333333333333333</v>
      </c>
      <c r="I628" s="34">
        <v>0.32600000000000001</v>
      </c>
      <c r="J628" s="36" t="str">
        <f t="shared" si="9"/>
        <v>Casi nada popular</v>
      </c>
      <c r="K628" s="42">
        <v>45513</v>
      </c>
    </row>
    <row r="629" spans="1:11">
      <c r="A629" s="39">
        <v>0.77</v>
      </c>
      <c r="B629" s="37">
        <v>128</v>
      </c>
      <c r="C629" s="38">
        <v>0.64600000000000002</v>
      </c>
      <c r="D629" s="39">
        <v>0.68100000000000005</v>
      </c>
      <c r="E629" s="37">
        <v>77</v>
      </c>
      <c r="F629" s="37">
        <v>0</v>
      </c>
      <c r="G629" s="37">
        <v>2</v>
      </c>
      <c r="H629" s="40">
        <f ca="1">LEFT(Music_Data[[#This Row],[Duration_minutes]],3)/60</f>
        <v>2.3833333333333333</v>
      </c>
      <c r="I629" s="39">
        <v>2.49E-3</v>
      </c>
      <c r="J629" s="41" t="str">
        <f t="shared" si="9"/>
        <v>Casi nada popular</v>
      </c>
      <c r="K629" s="43">
        <v>45576</v>
      </c>
    </row>
    <row r="630" spans="1:11">
      <c r="A630" s="34">
        <v>0.92700000000000005</v>
      </c>
      <c r="B630" s="32">
        <v>940</v>
      </c>
      <c r="C630" s="33">
        <v>0.63100000000000001</v>
      </c>
      <c r="D630" s="34">
        <v>0.46500000000000002</v>
      </c>
      <c r="E630" s="32">
        <v>77</v>
      </c>
      <c r="F630" s="32">
        <v>0</v>
      </c>
      <c r="G630" s="32">
        <v>9</v>
      </c>
      <c r="H630" s="35">
        <f ca="1">LEFT(Music_Data[[#This Row],[Duration_minutes]],3)/60</f>
        <v>2.9333333333333331</v>
      </c>
      <c r="I630" s="34">
        <v>0.19900000000000001</v>
      </c>
      <c r="J630" s="36" t="str">
        <f t="shared" si="9"/>
        <v>Casi nada popular</v>
      </c>
      <c r="K630" s="42">
        <v>43322</v>
      </c>
    </row>
    <row r="631" spans="1:11">
      <c r="A631" s="39">
        <v>0.85499999999999998</v>
      </c>
      <c r="B631" s="37">
        <v>969</v>
      </c>
      <c r="C631" s="38">
        <v>0.67</v>
      </c>
      <c r="D631" s="39">
        <v>0.64800000000000002</v>
      </c>
      <c r="E631" s="37">
        <v>77</v>
      </c>
      <c r="F631" s="37">
        <v>0</v>
      </c>
      <c r="G631" s="37">
        <v>0</v>
      </c>
      <c r="H631" s="40">
        <f ca="1">LEFT(Music_Data[[#This Row],[Duration_minutes]],3)/60</f>
        <v>2.75</v>
      </c>
      <c r="I631" s="39">
        <v>1.24E-2</v>
      </c>
      <c r="J631" s="41" t="str">
        <f t="shared" si="9"/>
        <v>Casi nada popular</v>
      </c>
      <c r="K631" s="43">
        <v>45596</v>
      </c>
    </row>
    <row r="632" spans="1:11">
      <c r="A632" s="34">
        <v>0.56799999999999995</v>
      </c>
      <c r="B632" s="32">
        <v>143</v>
      </c>
      <c r="C632" s="33">
        <v>0.61399999999999999</v>
      </c>
      <c r="D632" s="34">
        <v>0.51600000000000001</v>
      </c>
      <c r="E632" s="32">
        <v>77</v>
      </c>
      <c r="F632" s="32">
        <v>0</v>
      </c>
      <c r="G632" s="32">
        <v>7</v>
      </c>
      <c r="H632" s="35">
        <f ca="1">LEFT(Music_Data[[#This Row],[Duration_minutes]],3)/60</f>
        <v>2.4833333333333334</v>
      </c>
      <c r="I632" s="34">
        <v>7.9699999999999997E-3</v>
      </c>
      <c r="J632" s="36" t="str">
        <f t="shared" si="9"/>
        <v>Casi nada popular</v>
      </c>
      <c r="K632" s="42">
        <v>42773</v>
      </c>
    </row>
    <row r="633" spans="1:11">
      <c r="A633" s="39">
        <v>0.9</v>
      </c>
      <c r="B633" s="37">
        <v>120</v>
      </c>
      <c r="C633" s="38">
        <v>0.42699999999999999</v>
      </c>
      <c r="D633" s="39">
        <v>0.59899999999999998</v>
      </c>
      <c r="E633" s="37">
        <v>77</v>
      </c>
      <c r="F633" s="37">
        <v>1</v>
      </c>
      <c r="G633" s="37">
        <v>11</v>
      </c>
      <c r="H633" s="40">
        <f ca="1">LEFT(Music_Data[[#This Row],[Duration_minutes]],3)/60</f>
        <v>3.8666666666666667</v>
      </c>
      <c r="I633" s="39">
        <v>0.11600000000000001</v>
      </c>
      <c r="J633" s="41" t="str">
        <f t="shared" si="9"/>
        <v>Casi nada popular</v>
      </c>
      <c r="K633" s="43">
        <v>44288</v>
      </c>
    </row>
    <row r="634" spans="1:11">
      <c r="A634" s="34">
        <v>0.94399999999999995</v>
      </c>
      <c r="B634" s="32">
        <v>142</v>
      </c>
      <c r="C634" s="33">
        <v>0.39400000000000002</v>
      </c>
      <c r="D634" s="34">
        <v>0.26500000000000001</v>
      </c>
      <c r="E634" s="32">
        <v>77</v>
      </c>
      <c r="F634" s="32">
        <v>0</v>
      </c>
      <c r="G634" s="32">
        <v>10</v>
      </c>
      <c r="H634" s="35">
        <f ca="1">LEFT(Music_Data[[#This Row],[Duration_minutes]],3)/60</f>
        <v>2.1166666666666667</v>
      </c>
      <c r="I634" s="34">
        <v>1.7799999999999999E-3</v>
      </c>
      <c r="J634" s="36" t="str">
        <f t="shared" si="9"/>
        <v>Casi nada popular</v>
      </c>
      <c r="K634" s="42">
        <v>43868</v>
      </c>
    </row>
    <row r="635" spans="1:11">
      <c r="A635" s="39">
        <v>0.91300000000000003</v>
      </c>
      <c r="B635" s="37">
        <v>135</v>
      </c>
      <c r="C635" s="38">
        <v>0.55600000000000005</v>
      </c>
      <c r="D635" s="39">
        <v>0.73</v>
      </c>
      <c r="E635" s="37">
        <v>77</v>
      </c>
      <c r="F635" s="37">
        <v>1</v>
      </c>
      <c r="G635" s="37">
        <v>0</v>
      </c>
      <c r="H635" s="40">
        <f ca="1">LEFT(Music_Data[[#This Row],[Duration_minutes]],3)/60</f>
        <v>5.4333333333333336</v>
      </c>
      <c r="I635" s="39">
        <v>1.9300000000000001E-2</v>
      </c>
      <c r="J635" s="41" t="str">
        <f t="shared" si="9"/>
        <v>Casi nada popular</v>
      </c>
      <c r="K635" s="43">
        <v>42614</v>
      </c>
    </row>
    <row r="636" spans="1:11">
      <c r="A636" s="34">
        <v>0.89800000000000002</v>
      </c>
      <c r="B636" s="32">
        <v>940</v>
      </c>
      <c r="C636" s="33">
        <v>0.35299999999999998</v>
      </c>
      <c r="D636" s="34">
        <v>0.52500000000000002</v>
      </c>
      <c r="E636" s="32">
        <v>77</v>
      </c>
      <c r="F636" s="32">
        <v>1</v>
      </c>
      <c r="G636" s="32">
        <v>2</v>
      </c>
      <c r="H636" s="35">
        <f ca="1">LEFT(Music_Data[[#This Row],[Duration_minutes]],3)/60</f>
        <v>2.9</v>
      </c>
      <c r="I636" s="34">
        <v>2.23E-5</v>
      </c>
      <c r="J636" s="36" t="str">
        <f t="shared" si="9"/>
        <v>Casi nada popular</v>
      </c>
      <c r="K636" s="42">
        <v>45065</v>
      </c>
    </row>
    <row r="637" spans="1:11">
      <c r="A637" s="39">
        <v>0.96299999999999997</v>
      </c>
      <c r="B637" s="37">
        <v>105</v>
      </c>
      <c r="C637" s="38">
        <v>0.59</v>
      </c>
      <c r="D637" s="39">
        <v>0.58599999999999997</v>
      </c>
      <c r="E637" s="37">
        <v>77</v>
      </c>
      <c r="F637" s="37">
        <v>0</v>
      </c>
      <c r="G637" s="37">
        <v>0</v>
      </c>
      <c r="H637" s="40">
        <f ca="1">LEFT(Music_Data[[#This Row],[Duration_minutes]],3)/60</f>
        <v>5.8166666666666664</v>
      </c>
      <c r="I637" s="39">
        <v>8.7499999999999999E-5</v>
      </c>
      <c r="J637" s="41" t="str">
        <f t="shared" si="9"/>
        <v>Casi nada popular</v>
      </c>
      <c r="K637" s="43">
        <v>42251</v>
      </c>
    </row>
    <row r="638" spans="1:11">
      <c r="A638" s="34">
        <v>0.78100000000000003</v>
      </c>
      <c r="B638" s="32">
        <v>144</v>
      </c>
      <c r="C638" s="33">
        <v>0.443</v>
      </c>
      <c r="D638" s="34">
        <v>0.372</v>
      </c>
      <c r="E638" s="32">
        <v>77</v>
      </c>
      <c r="F638" s="32">
        <v>1</v>
      </c>
      <c r="G638" s="32">
        <v>1</v>
      </c>
      <c r="H638" s="35">
        <f ca="1">LEFT(Music_Data[[#This Row],[Duration_minutes]],3)/60</f>
        <v>2.8833333333333333</v>
      </c>
      <c r="I638" s="34">
        <v>1.33E-5</v>
      </c>
      <c r="J638" s="36" t="str">
        <f t="shared" si="9"/>
        <v>Casi nada popular</v>
      </c>
      <c r="K638" s="42">
        <v>44267</v>
      </c>
    </row>
    <row r="639" spans="1:11">
      <c r="A639" s="39">
        <v>0.9</v>
      </c>
      <c r="B639" s="37">
        <v>134</v>
      </c>
      <c r="C639" s="38">
        <v>0.48699999999999999</v>
      </c>
      <c r="D639" s="39">
        <v>0.48399999999999999</v>
      </c>
      <c r="E639" s="37">
        <v>77</v>
      </c>
      <c r="F639" s="37">
        <v>1</v>
      </c>
      <c r="G639" s="37">
        <v>0</v>
      </c>
      <c r="H639" s="40">
        <f ca="1">LEFT(Music_Data[[#This Row],[Duration_minutes]],3)/60</f>
        <v>2.8333333333333335</v>
      </c>
      <c r="I639" s="39">
        <v>6.7899999999999997E-5</v>
      </c>
      <c r="J639" s="41" t="str">
        <f t="shared" si="9"/>
        <v>Casi nada popular</v>
      </c>
      <c r="K639" s="43">
        <v>45526</v>
      </c>
    </row>
    <row r="640" spans="1:11">
      <c r="A640" s="34">
        <v>0.81399999999999995</v>
      </c>
      <c r="B640" s="32">
        <v>102</v>
      </c>
      <c r="C640" s="33">
        <v>0.54600000000000004</v>
      </c>
      <c r="D640" s="34">
        <v>0.14599999999999999</v>
      </c>
      <c r="E640" s="32">
        <v>77</v>
      </c>
      <c r="F640" s="32">
        <v>1</v>
      </c>
      <c r="G640" s="32">
        <v>7</v>
      </c>
      <c r="H640" s="35">
        <f ca="1">LEFT(Music_Data[[#This Row],[Duration_minutes]],3)/60</f>
        <v>3.4666666666666668</v>
      </c>
      <c r="I640" s="34">
        <v>2.3E-2</v>
      </c>
      <c r="J640" s="36" t="str">
        <f t="shared" si="9"/>
        <v>Casi nada popular</v>
      </c>
      <c r="K640" s="42">
        <v>34170</v>
      </c>
    </row>
    <row r="641" spans="1:11">
      <c r="A641" s="39">
        <v>0.89200000000000002</v>
      </c>
      <c r="B641" s="37">
        <v>150</v>
      </c>
      <c r="C641" s="38">
        <v>0.46</v>
      </c>
      <c r="D641" s="39">
        <v>0.59</v>
      </c>
      <c r="E641" s="37">
        <v>77</v>
      </c>
      <c r="F641" s="37">
        <v>0</v>
      </c>
      <c r="G641" s="37">
        <v>10</v>
      </c>
      <c r="H641" s="40">
        <f ca="1">LEFT(Music_Data[[#This Row],[Duration_minutes]],3)/60</f>
        <v>3.9333333333333331</v>
      </c>
      <c r="I641" s="39">
        <v>5.1000000000000004E-3</v>
      </c>
      <c r="J641" s="41" t="str">
        <f t="shared" si="9"/>
        <v>Casi nada popular</v>
      </c>
      <c r="K641" s="43">
        <v>44316</v>
      </c>
    </row>
    <row r="642" spans="1:11">
      <c r="A642" s="34">
        <v>0.95099999999999996</v>
      </c>
      <c r="B642" s="32">
        <v>151</v>
      </c>
      <c r="C642" s="33">
        <v>0.39100000000000001</v>
      </c>
      <c r="D642" s="34">
        <v>0.46800000000000003</v>
      </c>
      <c r="E642" s="32">
        <v>77</v>
      </c>
      <c r="F642" s="32">
        <v>1</v>
      </c>
      <c r="G642" s="32">
        <v>6</v>
      </c>
      <c r="H642" s="35">
        <f ca="1">LEFT(Music_Data[[#This Row],[Duration_minutes]],3)/60</f>
        <v>3.55</v>
      </c>
      <c r="I642" s="34">
        <v>1.2E-2</v>
      </c>
      <c r="J642" s="36" t="str">
        <f t="shared" si="9"/>
        <v>Casi nada popular</v>
      </c>
      <c r="K642" s="42">
        <v>44148</v>
      </c>
    </row>
    <row r="643" spans="1:11">
      <c r="A643" s="39">
        <v>0.65200000000000002</v>
      </c>
      <c r="B643" s="37">
        <v>150</v>
      </c>
      <c r="C643" s="38">
        <v>0.52</v>
      </c>
      <c r="D643" s="39">
        <v>0.72199999999999998</v>
      </c>
      <c r="E643" s="37">
        <v>77</v>
      </c>
      <c r="F643" s="37">
        <v>1</v>
      </c>
      <c r="G643" s="37">
        <v>5</v>
      </c>
      <c r="H643" s="40">
        <f ca="1">LEFT(Music_Data[[#This Row],[Duration_minutes]],3)/60</f>
        <v>3.6333333333333333</v>
      </c>
      <c r="I643" s="39">
        <v>0.33900000000000002</v>
      </c>
      <c r="J643" s="41" t="str">
        <f t="shared" si="9"/>
        <v>Casi nada popular</v>
      </c>
      <c r="K643" s="43">
        <v>43532</v>
      </c>
    </row>
    <row r="644" spans="1:11">
      <c r="A644" s="34">
        <v>0.68</v>
      </c>
      <c r="B644" s="32">
        <v>841</v>
      </c>
      <c r="C644" s="33">
        <v>0.72699999999999998</v>
      </c>
      <c r="D644" s="34">
        <v>0.72799999999999998</v>
      </c>
      <c r="E644" s="32">
        <v>77</v>
      </c>
      <c r="F644" s="32">
        <v>1</v>
      </c>
      <c r="G644" s="32">
        <v>2</v>
      </c>
      <c r="H644" s="35">
        <f ca="1">LEFT(Music_Data[[#This Row],[Duration_minutes]],3)/60</f>
        <v>3.25</v>
      </c>
      <c r="I644" s="34">
        <v>1.01E-2</v>
      </c>
      <c r="J644" s="36" t="str">
        <f t="shared" ref="J644:J707" si="10">IF(E644&gt;=94,"Muy Popular",IF(E644&gt;=86,"Popular",IF(E644&gt;=78,"No muy popular","Casi nada popular")))</f>
        <v>Casi nada popular</v>
      </c>
      <c r="K644" s="42">
        <v>39336</v>
      </c>
    </row>
    <row r="645" spans="1:11">
      <c r="A645" s="39">
        <v>0.56499999999999995</v>
      </c>
      <c r="B645" s="37">
        <v>866</v>
      </c>
      <c r="C645" s="38">
        <v>0.78</v>
      </c>
      <c r="D645" s="39">
        <v>0.36499999999999999</v>
      </c>
      <c r="E645" s="37">
        <v>77</v>
      </c>
      <c r="F645" s="37">
        <v>0</v>
      </c>
      <c r="G645" s="37">
        <v>3</v>
      </c>
      <c r="H645" s="40">
        <f ca="1">LEFT(Music_Data[[#This Row],[Duration_minutes]],3)/60</f>
        <v>3</v>
      </c>
      <c r="I645" s="39">
        <v>0.73599999999999999</v>
      </c>
      <c r="J645" s="41" t="str">
        <f t="shared" si="10"/>
        <v>Casi nada popular</v>
      </c>
      <c r="K645" s="43">
        <v>45583</v>
      </c>
    </row>
    <row r="646" spans="1:11">
      <c r="A646" s="34">
        <v>0.29099999999999998</v>
      </c>
      <c r="B646" s="32">
        <v>139</v>
      </c>
      <c r="C646" s="33">
        <v>0.38800000000000001</v>
      </c>
      <c r="D646" s="34">
        <v>0.51</v>
      </c>
      <c r="E646" s="32">
        <v>77</v>
      </c>
      <c r="F646" s="32">
        <v>1</v>
      </c>
      <c r="G646" s="32">
        <v>3</v>
      </c>
      <c r="H646" s="35">
        <f ca="1">LEFT(Music_Data[[#This Row],[Duration_minutes]],3)/60</f>
        <v>3.05</v>
      </c>
      <c r="I646" s="34">
        <v>0.77400000000000002</v>
      </c>
      <c r="J646" s="36" t="str">
        <f t="shared" si="10"/>
        <v>Casi nada popular</v>
      </c>
      <c r="K646" s="42">
        <v>44890</v>
      </c>
    </row>
    <row r="647" spans="1:11">
      <c r="A647" s="39">
        <v>0.36299999999999999</v>
      </c>
      <c r="B647" s="37">
        <v>172</v>
      </c>
      <c r="C647" s="38">
        <v>0.53100000000000003</v>
      </c>
      <c r="D647" s="39">
        <v>0.25900000000000001</v>
      </c>
      <c r="E647" s="37">
        <v>77</v>
      </c>
      <c r="F647" s="37">
        <v>1</v>
      </c>
      <c r="G647" s="37">
        <v>10</v>
      </c>
      <c r="H647" s="40">
        <f ca="1">LEFT(Music_Data[[#This Row],[Duration_minutes]],3)/60</f>
        <v>2.3666666666666667</v>
      </c>
      <c r="I647" s="39">
        <v>0.749</v>
      </c>
      <c r="J647" s="41" t="str">
        <f t="shared" si="10"/>
        <v>Casi nada popular</v>
      </c>
      <c r="K647" s="43">
        <v>44812</v>
      </c>
    </row>
    <row r="648" spans="1:11">
      <c r="A648" s="34">
        <v>0.86</v>
      </c>
      <c r="B648" s="32">
        <v>150</v>
      </c>
      <c r="C648" s="33">
        <v>0.755</v>
      </c>
      <c r="D648" s="34">
        <v>0.61799999999999999</v>
      </c>
      <c r="E648" s="32">
        <v>77</v>
      </c>
      <c r="F648" s="32">
        <v>0</v>
      </c>
      <c r="G648" s="32">
        <v>5</v>
      </c>
      <c r="H648" s="35">
        <f ca="1">LEFT(Music_Data[[#This Row],[Duration_minutes]],3)/60</f>
        <v>2.4333333333333331</v>
      </c>
      <c r="I648" s="34">
        <v>1.44E-2</v>
      </c>
      <c r="J648" s="36" t="str">
        <f t="shared" si="10"/>
        <v>Casi nada popular</v>
      </c>
      <c r="K648" s="42">
        <v>43861</v>
      </c>
    </row>
    <row r="649" spans="1:11">
      <c r="A649" s="39">
        <v>0.81299999999999994</v>
      </c>
      <c r="B649" s="37">
        <v>750</v>
      </c>
      <c r="C649" s="38">
        <v>0.51300000000000001</v>
      </c>
      <c r="D649" s="39">
        <v>0.35499999999999998</v>
      </c>
      <c r="E649" s="37">
        <v>77</v>
      </c>
      <c r="F649" s="37">
        <v>1</v>
      </c>
      <c r="G649" s="37">
        <v>5</v>
      </c>
      <c r="H649" s="40">
        <f ca="1">LEFT(Music_Data[[#This Row],[Duration_minutes]],3)/60</f>
        <v>3.6166666666666667</v>
      </c>
      <c r="I649" s="39">
        <v>0.28000000000000003</v>
      </c>
      <c r="J649" s="41" t="str">
        <f t="shared" si="10"/>
        <v>Casi nada popular</v>
      </c>
      <c r="K649" s="43">
        <v>45513</v>
      </c>
    </row>
    <row r="650" spans="1:11">
      <c r="A650" s="34">
        <v>0.79700000000000004</v>
      </c>
      <c r="B650" s="32">
        <v>111</v>
      </c>
      <c r="C650" s="33">
        <v>0.84499999999999997</v>
      </c>
      <c r="D650" s="34">
        <v>0.42199999999999999</v>
      </c>
      <c r="E650" s="32">
        <v>77</v>
      </c>
      <c r="F650" s="32">
        <v>1</v>
      </c>
      <c r="G650" s="32">
        <v>1</v>
      </c>
      <c r="H650" s="35">
        <f ca="1">LEFT(Music_Data[[#This Row],[Duration_minutes]],3)/60</f>
        <v>2.1166666666666667</v>
      </c>
      <c r="I650" s="34">
        <v>5.8200000000000002E-2</v>
      </c>
      <c r="J650" s="36" t="str">
        <f t="shared" si="10"/>
        <v>Casi nada popular</v>
      </c>
      <c r="K650" s="42">
        <v>45611</v>
      </c>
    </row>
    <row r="651" spans="1:11">
      <c r="A651" s="39">
        <v>0.65500000000000003</v>
      </c>
      <c r="B651" s="37">
        <v>779</v>
      </c>
      <c r="C651" s="38">
        <v>0.55800000000000005</v>
      </c>
      <c r="D651" s="39">
        <v>0.39</v>
      </c>
      <c r="E651" s="37">
        <v>77</v>
      </c>
      <c r="F651" s="37">
        <v>1</v>
      </c>
      <c r="G651" s="37">
        <v>0</v>
      </c>
      <c r="H651" s="40">
        <f ca="1">LEFT(Music_Data[[#This Row],[Duration_minutes]],3)/60</f>
        <v>2.25</v>
      </c>
      <c r="I651" s="39">
        <v>0.20799999999999999</v>
      </c>
      <c r="J651" s="41" t="str">
        <f t="shared" si="10"/>
        <v>Casi nada popular</v>
      </c>
      <c r="K651" s="43">
        <v>44169</v>
      </c>
    </row>
    <row r="652" spans="1:11">
      <c r="A652" s="34">
        <v>0.85399999999999998</v>
      </c>
      <c r="B652" s="32">
        <v>135</v>
      </c>
      <c r="C652" s="33">
        <v>0.78600000000000003</v>
      </c>
      <c r="D652" s="34">
        <v>0.52200000000000002</v>
      </c>
      <c r="E652" s="32">
        <v>77</v>
      </c>
      <c r="F652" s="32">
        <v>0</v>
      </c>
      <c r="G652" s="32">
        <v>10</v>
      </c>
      <c r="H652" s="35">
        <f ca="1">LEFT(Music_Data[[#This Row],[Duration_minutes]],3)/60</f>
        <v>3.0166666666666666</v>
      </c>
      <c r="I652" s="34">
        <v>0.16900000000000001</v>
      </c>
      <c r="J652" s="36" t="str">
        <f t="shared" si="10"/>
        <v>Casi nada popular</v>
      </c>
      <c r="K652" s="42">
        <v>43952</v>
      </c>
    </row>
    <row r="653" spans="1:11">
      <c r="A653" s="39">
        <v>0.621</v>
      </c>
      <c r="B653" s="37">
        <v>160</v>
      </c>
      <c r="C653" s="38">
        <v>0.78700000000000003</v>
      </c>
      <c r="D653" s="39">
        <v>0.13</v>
      </c>
      <c r="E653" s="37">
        <v>77</v>
      </c>
      <c r="F653" s="37">
        <v>0</v>
      </c>
      <c r="G653" s="37">
        <v>4</v>
      </c>
      <c r="H653" s="40">
        <f ca="1">LEFT(Music_Data[[#This Row],[Duration_minutes]],3)/60</f>
        <v>2.6</v>
      </c>
      <c r="I653" s="39">
        <v>0.15</v>
      </c>
      <c r="J653" s="41" t="str">
        <f t="shared" si="10"/>
        <v>Casi nada popular</v>
      </c>
      <c r="K653" s="43">
        <v>43081</v>
      </c>
    </row>
    <row r="654" spans="1:11">
      <c r="A654" s="34">
        <v>0.80300000000000005</v>
      </c>
      <c r="B654" s="32">
        <v>114</v>
      </c>
      <c r="C654" s="33">
        <v>0.877</v>
      </c>
      <c r="D654" s="34">
        <v>0.79500000000000004</v>
      </c>
      <c r="E654" s="32">
        <v>77</v>
      </c>
      <c r="F654" s="32">
        <v>1</v>
      </c>
      <c r="G654" s="32">
        <v>9</v>
      </c>
      <c r="H654" s="35">
        <f ca="1">LEFT(Music_Data[[#This Row],[Duration_minutes]],3)/60</f>
        <v>2</v>
      </c>
      <c r="I654" s="34">
        <v>0.73399999999999999</v>
      </c>
      <c r="J654" s="36" t="str">
        <f t="shared" si="10"/>
        <v>Casi nada popular</v>
      </c>
      <c r="K654" s="42">
        <v>45310</v>
      </c>
    </row>
    <row r="655" spans="1:11">
      <c r="A655" s="39">
        <v>0.42699999999999999</v>
      </c>
      <c r="B655" s="37">
        <v>138</v>
      </c>
      <c r="C655" s="38">
        <v>0.49199999999999999</v>
      </c>
      <c r="D655" s="39">
        <v>0.443</v>
      </c>
      <c r="E655" s="37">
        <v>77</v>
      </c>
      <c r="F655" s="37">
        <v>0</v>
      </c>
      <c r="G655" s="37">
        <v>9</v>
      </c>
      <c r="H655" s="40">
        <f ca="1">LEFT(Music_Data[[#This Row],[Duration_minutes]],3)/60</f>
        <v>14.916666666666666</v>
      </c>
      <c r="I655" s="39">
        <v>0.36399999999999999</v>
      </c>
      <c r="J655" s="41" t="str">
        <f t="shared" si="10"/>
        <v>Casi nada popular</v>
      </c>
      <c r="K655" s="43">
        <v>44162</v>
      </c>
    </row>
    <row r="656" spans="1:11">
      <c r="A656" s="34">
        <v>0.63600000000000001</v>
      </c>
      <c r="B656" s="32">
        <v>157</v>
      </c>
      <c r="C656" s="33">
        <v>0.83699999999999997</v>
      </c>
      <c r="D656" s="34">
        <v>0.27400000000000002</v>
      </c>
      <c r="E656" s="32">
        <v>77</v>
      </c>
      <c r="F656" s="32">
        <v>1</v>
      </c>
      <c r="G656" s="32">
        <v>1</v>
      </c>
      <c r="H656" s="35">
        <f ca="1">LEFT(Music_Data[[#This Row],[Duration_minutes]],3)/60</f>
        <v>2.2666666666666666</v>
      </c>
      <c r="I656" s="34">
        <v>3.95E-2</v>
      </c>
      <c r="J656" s="36" t="str">
        <f t="shared" si="10"/>
        <v>Casi nada popular</v>
      </c>
      <c r="K656" s="42">
        <v>45520</v>
      </c>
    </row>
    <row r="657" spans="1:11">
      <c r="A657" s="39">
        <v>0.28299999999999997</v>
      </c>
      <c r="B657" s="37">
        <v>109</v>
      </c>
      <c r="C657" s="38">
        <v>0.76600000000000001</v>
      </c>
      <c r="D657" s="39">
        <v>0.14399999999999999</v>
      </c>
      <c r="E657" s="37">
        <v>77</v>
      </c>
      <c r="F657" s="37">
        <v>0</v>
      </c>
      <c r="G657" s="37">
        <v>8</v>
      </c>
      <c r="H657" s="40">
        <f ca="1">LEFT(Music_Data[[#This Row],[Duration_minutes]],3)/60</f>
        <v>3.8333333333333335</v>
      </c>
      <c r="I657" s="39">
        <v>0.111</v>
      </c>
      <c r="J657" s="41" t="str">
        <f t="shared" si="10"/>
        <v>Casi nada popular</v>
      </c>
      <c r="K657" s="43">
        <v>45544</v>
      </c>
    </row>
    <row r="658" spans="1:11">
      <c r="A658" s="34">
        <v>0.64800000000000002</v>
      </c>
      <c r="B658" s="32">
        <v>127</v>
      </c>
      <c r="C658" s="33">
        <v>0.73699999999999999</v>
      </c>
      <c r="D658" s="34">
        <v>0.746</v>
      </c>
      <c r="E658" s="32">
        <v>77</v>
      </c>
      <c r="F658" s="32">
        <v>1</v>
      </c>
      <c r="G658" s="32">
        <v>1</v>
      </c>
      <c r="H658" s="35">
        <f ca="1">LEFT(Music_Data[[#This Row],[Duration_minutes]],3)/60</f>
        <v>5.7166666666666668</v>
      </c>
      <c r="I658" s="34">
        <v>0.252</v>
      </c>
      <c r="J658" s="36" t="str">
        <f t="shared" si="10"/>
        <v>Casi nada popular</v>
      </c>
      <c r="K658" s="42">
        <v>42762</v>
      </c>
    </row>
    <row r="659" spans="1:11">
      <c r="A659" s="39">
        <v>0.04</v>
      </c>
      <c r="B659" s="37">
        <v>840</v>
      </c>
      <c r="C659" s="38">
        <v>0.44</v>
      </c>
      <c r="D659" s="39">
        <v>0.249</v>
      </c>
      <c r="E659" s="37">
        <v>77</v>
      </c>
      <c r="F659" s="37">
        <v>1</v>
      </c>
      <c r="G659" s="37">
        <v>3</v>
      </c>
      <c r="H659" s="40">
        <f ca="1">LEFT(Music_Data[[#This Row],[Duration_minutes]],3)/60</f>
        <v>4.8833333333333337</v>
      </c>
      <c r="I659" s="39">
        <v>0.98099999999999998</v>
      </c>
      <c r="J659" s="41" t="str">
        <f t="shared" si="10"/>
        <v>Casi nada popular</v>
      </c>
      <c r="K659" s="43">
        <v>34443</v>
      </c>
    </row>
    <row r="660" spans="1:11">
      <c r="A660" s="34">
        <v>0.36299999999999999</v>
      </c>
      <c r="B660" s="32">
        <v>121</v>
      </c>
      <c r="C660" s="33">
        <v>0.53100000000000003</v>
      </c>
      <c r="D660" s="34">
        <v>0.25900000000000001</v>
      </c>
      <c r="E660" s="32">
        <v>77</v>
      </c>
      <c r="F660" s="32">
        <v>1</v>
      </c>
      <c r="G660" s="32">
        <v>10</v>
      </c>
      <c r="H660" s="35">
        <f ca="1">LEFT(Music_Data[[#This Row],[Duration_minutes]],3)/60</f>
        <v>2.8833333333333333</v>
      </c>
      <c r="I660" s="34">
        <v>0.749</v>
      </c>
      <c r="J660" s="36" t="str">
        <f t="shared" si="10"/>
        <v>Casi nada popular</v>
      </c>
      <c r="K660" s="42">
        <v>45212</v>
      </c>
    </row>
    <row r="661" spans="1:11">
      <c r="A661" s="39">
        <v>0.65100000000000002</v>
      </c>
      <c r="B661" s="37">
        <v>970</v>
      </c>
      <c r="C661" s="38">
        <v>0.66500000000000004</v>
      </c>
      <c r="D661" s="39">
        <v>0.23699999999999999</v>
      </c>
      <c r="E661" s="37">
        <v>77</v>
      </c>
      <c r="F661" s="37">
        <v>1</v>
      </c>
      <c r="G661" s="37">
        <v>1</v>
      </c>
      <c r="H661" s="40">
        <f ca="1">LEFT(Music_Data[[#This Row],[Duration_minutes]],3)/60</f>
        <v>3.8333333333333335</v>
      </c>
      <c r="I661" s="39">
        <v>4.1399999999999999E-2</v>
      </c>
      <c r="J661" s="41" t="str">
        <f t="shared" si="10"/>
        <v>Casi nada popular</v>
      </c>
      <c r="K661" s="43">
        <v>35304</v>
      </c>
    </row>
    <row r="662" spans="1:11">
      <c r="A662" s="34">
        <v>0.53800000000000003</v>
      </c>
      <c r="B662" s="32">
        <v>970</v>
      </c>
      <c r="C662" s="33">
        <v>0.82899999999999996</v>
      </c>
      <c r="D662" s="34">
        <v>0.38900000000000001</v>
      </c>
      <c r="E662" s="32">
        <v>77</v>
      </c>
      <c r="F662" s="32">
        <v>0</v>
      </c>
      <c r="G662" s="32">
        <v>11</v>
      </c>
      <c r="H662" s="35">
        <f ca="1">LEFT(Music_Data[[#This Row],[Duration_minutes]],3)/60</f>
        <v>3.8333333333333335</v>
      </c>
      <c r="I662" s="34">
        <v>0.13700000000000001</v>
      </c>
      <c r="J662" s="36" t="str">
        <f t="shared" si="10"/>
        <v>Casi nada popular</v>
      </c>
      <c r="K662" s="42">
        <v>35304</v>
      </c>
    </row>
    <row r="663" spans="1:11">
      <c r="A663" s="39">
        <v>0.78200000000000003</v>
      </c>
      <c r="B663" s="37">
        <v>880</v>
      </c>
      <c r="C663" s="38">
        <v>0.70099999999999996</v>
      </c>
      <c r="D663" s="39">
        <v>0.56999999999999995</v>
      </c>
      <c r="E663" s="37">
        <v>77</v>
      </c>
      <c r="F663" s="37">
        <v>1</v>
      </c>
      <c r="G663" s="37">
        <v>1</v>
      </c>
      <c r="H663" s="40">
        <f ca="1">LEFT(Music_Data[[#This Row],[Duration_minutes]],3)/60</f>
        <v>3.2666666666666666</v>
      </c>
      <c r="I663" s="39">
        <v>9.1800000000000007E-2</v>
      </c>
      <c r="J663" s="41" t="str">
        <f t="shared" si="10"/>
        <v>Casi nada popular</v>
      </c>
      <c r="K663" s="43">
        <v>45422</v>
      </c>
    </row>
    <row r="664" spans="1:11">
      <c r="A664" s="34">
        <v>0.32100000000000001</v>
      </c>
      <c r="B664" s="32">
        <v>129</v>
      </c>
      <c r="C664" s="33">
        <v>0.68</v>
      </c>
      <c r="D664" s="34">
        <v>0.41599999999999998</v>
      </c>
      <c r="E664" s="32">
        <v>77</v>
      </c>
      <c r="F664" s="32">
        <v>1</v>
      </c>
      <c r="G664" s="32">
        <v>5</v>
      </c>
      <c r="H664" s="35">
        <f ca="1">LEFT(Music_Data[[#This Row],[Duration_minutes]],3)/60</f>
        <v>3.55</v>
      </c>
      <c r="I664" s="34">
        <v>0.79100000000000004</v>
      </c>
      <c r="J664" s="36" t="str">
        <f t="shared" si="10"/>
        <v>Casi nada popular</v>
      </c>
      <c r="K664" s="42">
        <v>42650</v>
      </c>
    </row>
    <row r="665" spans="1:11">
      <c r="A665" s="39">
        <v>0.57299999999999995</v>
      </c>
      <c r="B665" s="37">
        <v>115</v>
      </c>
      <c r="C665" s="38">
        <v>0.91100000000000003</v>
      </c>
      <c r="D665" s="39">
        <v>0.97199999999999998</v>
      </c>
      <c r="E665" s="37">
        <v>77</v>
      </c>
      <c r="F665" s="37">
        <v>1</v>
      </c>
      <c r="G665" s="37">
        <v>6</v>
      </c>
      <c r="H665" s="40">
        <f ca="1">LEFT(Music_Data[[#This Row],[Duration_minutes]],3)/60</f>
        <v>4.916666666666667</v>
      </c>
      <c r="I665" s="39">
        <v>0.38</v>
      </c>
      <c r="J665" s="41" t="str">
        <f t="shared" si="10"/>
        <v>Casi nada popular</v>
      </c>
      <c r="K665" s="43">
        <v>42772</v>
      </c>
    </row>
    <row r="666" spans="1:11">
      <c r="A666" s="34">
        <v>0.75800000000000001</v>
      </c>
      <c r="B666" s="32">
        <v>133</v>
      </c>
      <c r="C666" s="33">
        <v>0.69599999999999995</v>
      </c>
      <c r="D666" s="34">
        <v>0.85799999999999998</v>
      </c>
      <c r="E666" s="32">
        <v>77</v>
      </c>
      <c r="F666" s="32">
        <v>1</v>
      </c>
      <c r="G666" s="32">
        <v>4</v>
      </c>
      <c r="H666" s="35">
        <f ca="1">LEFT(Music_Data[[#This Row],[Duration_minutes]],3)/60</f>
        <v>2.4</v>
      </c>
      <c r="I666" s="34">
        <v>0.17199999999999999</v>
      </c>
      <c r="J666" s="36" t="str">
        <f t="shared" si="10"/>
        <v>Casi nada popular</v>
      </c>
      <c r="K666" s="42">
        <v>45392</v>
      </c>
    </row>
    <row r="667" spans="1:11">
      <c r="A667" s="39">
        <v>0.59199999999999997</v>
      </c>
      <c r="B667" s="37">
        <v>841</v>
      </c>
      <c r="C667" s="38">
        <v>0.33200000000000002</v>
      </c>
      <c r="D667" s="39">
        <v>0.31</v>
      </c>
      <c r="E667" s="37">
        <v>77</v>
      </c>
      <c r="F667" s="37">
        <v>1</v>
      </c>
      <c r="G667" s="37">
        <v>1</v>
      </c>
      <c r="H667" s="40">
        <f ca="1">LEFT(Music_Data[[#This Row],[Duration_minutes]],3)/60</f>
        <v>2.9333333333333331</v>
      </c>
      <c r="I667" s="39">
        <v>8.2400000000000001E-2</v>
      </c>
      <c r="J667" s="41" t="str">
        <f t="shared" si="10"/>
        <v>Casi nada popular</v>
      </c>
      <c r="K667" s="43">
        <v>43175</v>
      </c>
    </row>
    <row r="668" spans="1:11">
      <c r="A668" s="34">
        <v>0.73499999999999999</v>
      </c>
      <c r="B668" s="32">
        <v>114</v>
      </c>
      <c r="C668" s="33">
        <v>0.71399999999999997</v>
      </c>
      <c r="D668" s="34">
        <v>0.68</v>
      </c>
      <c r="E668" s="32">
        <v>77</v>
      </c>
      <c r="F668" s="32">
        <v>0</v>
      </c>
      <c r="G668" s="32">
        <v>4</v>
      </c>
      <c r="H668" s="35">
        <f ca="1">LEFT(Music_Data[[#This Row],[Duration_minutes]],3)/60</f>
        <v>3.0666666666666669</v>
      </c>
      <c r="I668" s="34">
        <v>0.17599999999999999</v>
      </c>
      <c r="J668" s="36" t="str">
        <f t="shared" si="10"/>
        <v>Casi nada popular</v>
      </c>
      <c r="K668" s="42">
        <v>45576</v>
      </c>
    </row>
    <row r="669" spans="1:11">
      <c r="A669" s="39">
        <v>0.44900000000000001</v>
      </c>
      <c r="B669" s="37">
        <v>140</v>
      </c>
      <c r="C669" s="38">
        <v>0.66900000000000004</v>
      </c>
      <c r="D669" s="39">
        <v>0.32700000000000001</v>
      </c>
      <c r="E669" s="37">
        <v>77</v>
      </c>
      <c r="F669" s="37">
        <v>0</v>
      </c>
      <c r="G669" s="37">
        <v>0</v>
      </c>
      <c r="H669" s="40">
        <f ca="1">LEFT(Music_Data[[#This Row],[Duration_minutes]],3)/60</f>
        <v>3.3</v>
      </c>
      <c r="I669" s="39">
        <v>0.184</v>
      </c>
      <c r="J669" s="41" t="str">
        <f t="shared" si="10"/>
        <v>Casi nada popular</v>
      </c>
      <c r="K669" s="43">
        <v>45081</v>
      </c>
    </row>
    <row r="670" spans="1:11">
      <c r="A670" s="34">
        <v>0.82399999999999995</v>
      </c>
      <c r="B670" s="32">
        <v>115</v>
      </c>
      <c r="C670" s="33">
        <v>0.5</v>
      </c>
      <c r="D670" s="34">
        <v>0.53900000000000003</v>
      </c>
      <c r="E670" s="32">
        <v>76</v>
      </c>
      <c r="F670" s="32">
        <v>0</v>
      </c>
      <c r="G670" s="32">
        <v>4</v>
      </c>
      <c r="H670" s="35">
        <f ca="1">LEFT(Music_Data[[#This Row],[Duration_minutes]],3)/60</f>
        <v>3.2</v>
      </c>
      <c r="I670" s="34">
        <v>1.6000000000000001E-4</v>
      </c>
      <c r="J670" s="36" t="str">
        <f t="shared" si="10"/>
        <v>Casi nada popular</v>
      </c>
      <c r="K670" s="42">
        <v>44985</v>
      </c>
    </row>
    <row r="671" spans="1:11">
      <c r="A671" s="39">
        <v>0.86299999999999999</v>
      </c>
      <c r="B671" s="37">
        <v>101</v>
      </c>
      <c r="C671" s="38">
        <v>0.72299999999999998</v>
      </c>
      <c r="D671" s="39">
        <v>0.93100000000000005</v>
      </c>
      <c r="E671" s="37">
        <v>76</v>
      </c>
      <c r="F671" s="37">
        <v>1</v>
      </c>
      <c r="G671" s="37">
        <v>2</v>
      </c>
      <c r="H671" s="40">
        <f ca="1">LEFT(Music_Data[[#This Row],[Duration_minutes]],3)/60</f>
        <v>4.55</v>
      </c>
      <c r="I671" s="39">
        <v>3.8300000000000001E-2</v>
      </c>
      <c r="J671" s="41" t="str">
        <f t="shared" si="10"/>
        <v>Casi nada popular</v>
      </c>
      <c r="K671" s="43">
        <v>34660</v>
      </c>
    </row>
    <row r="672" spans="1:11">
      <c r="A672" s="34">
        <v>0.44900000000000001</v>
      </c>
      <c r="B672" s="32">
        <v>143</v>
      </c>
      <c r="C672" s="33">
        <v>0.48599999999999999</v>
      </c>
      <c r="D672" s="34">
        <v>0.54900000000000004</v>
      </c>
      <c r="E672" s="32">
        <v>76</v>
      </c>
      <c r="F672" s="32">
        <v>1</v>
      </c>
      <c r="G672" s="32">
        <v>5</v>
      </c>
      <c r="H672" s="35">
        <f ca="1">LEFT(Music_Data[[#This Row],[Duration_minutes]],3)/60</f>
        <v>3.0166666666666666</v>
      </c>
      <c r="I672" s="34">
        <v>0.16600000000000001</v>
      </c>
      <c r="J672" s="36" t="str">
        <f t="shared" si="10"/>
        <v>Casi nada popular</v>
      </c>
      <c r="K672" s="42">
        <v>43826</v>
      </c>
    </row>
    <row r="673" spans="1:11">
      <c r="A673" s="39">
        <v>0.23899999999999999</v>
      </c>
      <c r="B673" s="37">
        <v>130</v>
      </c>
      <c r="C673" s="38">
        <v>0.44600000000000001</v>
      </c>
      <c r="D673" s="39">
        <v>0.29799999999999999</v>
      </c>
      <c r="E673" s="37">
        <v>76</v>
      </c>
      <c r="F673" s="37">
        <v>1</v>
      </c>
      <c r="G673" s="37">
        <v>0</v>
      </c>
      <c r="H673" s="40">
        <f ca="1">LEFT(Music_Data[[#This Row],[Duration_minutes]],3)/60</f>
        <v>2.3666666666666667</v>
      </c>
      <c r="I673" s="39">
        <v>0.55100000000000005</v>
      </c>
      <c r="J673" s="41" t="str">
        <f t="shared" si="10"/>
        <v>Casi nada popular</v>
      </c>
      <c r="K673" s="43">
        <v>43133</v>
      </c>
    </row>
    <row r="674" spans="1:11">
      <c r="A674" s="34">
        <v>0.52100000000000002</v>
      </c>
      <c r="B674" s="32">
        <v>119</v>
      </c>
      <c r="C674" s="33">
        <v>0.72099999999999997</v>
      </c>
      <c r="D674" s="34">
        <v>0.94199999999999995</v>
      </c>
      <c r="E674" s="32">
        <v>76</v>
      </c>
      <c r="F674" s="32">
        <v>1</v>
      </c>
      <c r="G674" s="32">
        <v>2</v>
      </c>
      <c r="H674" s="35">
        <f ca="1">LEFT(Music_Data[[#This Row],[Duration_minutes]],3)/60</f>
        <v>5.6833333333333336</v>
      </c>
      <c r="I674" s="34">
        <v>7.0800000000000002E-2</v>
      </c>
      <c r="J674" s="36" t="str">
        <f t="shared" si="10"/>
        <v>Casi nada popular</v>
      </c>
      <c r="K674" s="42">
        <v>42462</v>
      </c>
    </row>
    <row r="675" spans="1:11">
      <c r="A675" s="39">
        <v>0.91200000000000003</v>
      </c>
      <c r="B675" s="37">
        <v>769</v>
      </c>
      <c r="C675" s="38">
        <v>0.502</v>
      </c>
      <c r="D675" s="39">
        <v>0.72</v>
      </c>
      <c r="E675" s="37">
        <v>76</v>
      </c>
      <c r="F675" s="37">
        <v>1</v>
      </c>
      <c r="G675" s="37">
        <v>1</v>
      </c>
      <c r="H675" s="40">
        <f ca="1">LEFT(Music_Data[[#This Row],[Duration_minutes]],3)/60</f>
        <v>3.55</v>
      </c>
      <c r="I675" s="39">
        <v>2.55E-5</v>
      </c>
      <c r="J675" s="41" t="str">
        <f t="shared" si="10"/>
        <v>Casi nada popular</v>
      </c>
      <c r="K675" s="43">
        <v>43434</v>
      </c>
    </row>
    <row r="676" spans="1:11">
      <c r="A676" s="34">
        <v>0.441</v>
      </c>
      <c r="B676" s="32">
        <v>142</v>
      </c>
      <c r="C676" s="33">
        <v>0.51900000000000002</v>
      </c>
      <c r="D676" s="34">
        <v>0.25</v>
      </c>
      <c r="E676" s="32">
        <v>76</v>
      </c>
      <c r="F676" s="32">
        <v>1</v>
      </c>
      <c r="G676" s="32">
        <v>4</v>
      </c>
      <c r="H676" s="35">
        <f ca="1">LEFT(Music_Data[[#This Row],[Duration_minutes]],3)/60</f>
        <v>3.7166666666666668</v>
      </c>
      <c r="I676" s="34">
        <v>2.0400000000000001E-2</v>
      </c>
      <c r="J676" s="36" t="str">
        <f t="shared" si="10"/>
        <v>Casi nada popular</v>
      </c>
      <c r="K676" s="42">
        <v>45058</v>
      </c>
    </row>
    <row r="677" spans="1:11">
      <c r="A677" s="39">
        <v>0.51900000000000002</v>
      </c>
      <c r="B677" s="37">
        <v>125</v>
      </c>
      <c r="C677" s="38">
        <v>0.65300000000000002</v>
      </c>
      <c r="D677" s="39">
        <v>0.82199999999999995</v>
      </c>
      <c r="E677" s="37">
        <v>76</v>
      </c>
      <c r="F677" s="37">
        <v>1</v>
      </c>
      <c r="G677" s="37">
        <v>2</v>
      </c>
      <c r="H677" s="40">
        <f ca="1">LEFT(Music_Data[[#This Row],[Duration_minutes]],3)/60</f>
        <v>2.1833333333333331</v>
      </c>
      <c r="I677" s="39">
        <v>0.40600000000000003</v>
      </c>
      <c r="J677" s="41" t="str">
        <f t="shared" si="10"/>
        <v>Casi nada popular</v>
      </c>
      <c r="K677" s="43">
        <v>43805</v>
      </c>
    </row>
    <row r="678" spans="1:11">
      <c r="A678" s="34">
        <v>0.82799999999999996</v>
      </c>
      <c r="B678" s="32">
        <v>106</v>
      </c>
      <c r="C678" s="33">
        <v>0.35</v>
      </c>
      <c r="D678" s="34">
        <v>0.14699999999999999</v>
      </c>
      <c r="E678" s="32">
        <v>76</v>
      </c>
      <c r="F678" s="32">
        <v>1</v>
      </c>
      <c r="G678" s="32">
        <v>6</v>
      </c>
      <c r="H678" s="35">
        <f ca="1">LEFT(Music_Data[[#This Row],[Duration_minutes]],3)/60</f>
        <v>2.65</v>
      </c>
      <c r="I678" s="34">
        <v>2.1699999999999999E-4</v>
      </c>
      <c r="J678" s="36" t="str">
        <f t="shared" si="10"/>
        <v>Casi nada popular</v>
      </c>
      <c r="K678" s="42">
        <v>45526</v>
      </c>
    </row>
    <row r="679" spans="1:11">
      <c r="A679" s="39">
        <v>0.33800000000000002</v>
      </c>
      <c r="B679" s="37">
        <v>141</v>
      </c>
      <c r="C679" s="38">
        <v>0.38800000000000001</v>
      </c>
      <c r="D679" s="39">
        <v>0.47799999999999998</v>
      </c>
      <c r="E679" s="37">
        <v>76</v>
      </c>
      <c r="F679" s="37">
        <v>1</v>
      </c>
      <c r="G679" s="37">
        <v>10</v>
      </c>
      <c r="H679" s="40">
        <f ca="1">LEFT(Music_Data[[#This Row],[Duration_minutes]],3)/60</f>
        <v>1.8</v>
      </c>
      <c r="I679" s="39">
        <v>0.65200000000000002</v>
      </c>
      <c r="J679" s="41" t="str">
        <f t="shared" si="10"/>
        <v>Casi nada popular</v>
      </c>
      <c r="K679" s="43">
        <v>44616</v>
      </c>
    </row>
    <row r="680" spans="1:11">
      <c r="A680" s="34">
        <v>0.50700000000000001</v>
      </c>
      <c r="B680" s="32">
        <v>165</v>
      </c>
      <c r="C680" s="33">
        <v>0.872</v>
      </c>
      <c r="D680" s="34">
        <v>0.50600000000000001</v>
      </c>
      <c r="E680" s="32">
        <v>76</v>
      </c>
      <c r="F680" s="32">
        <v>0</v>
      </c>
      <c r="G680" s="32">
        <v>4</v>
      </c>
      <c r="H680" s="35">
        <f ca="1">LEFT(Music_Data[[#This Row],[Duration_minutes]],3)/60</f>
        <v>3.4</v>
      </c>
      <c r="I680" s="34">
        <v>0.19500000000000001</v>
      </c>
      <c r="J680" s="36" t="str">
        <f t="shared" si="10"/>
        <v>Casi nada popular</v>
      </c>
      <c r="K680" s="42">
        <v>45575</v>
      </c>
    </row>
    <row r="681" spans="1:11">
      <c r="A681" s="39">
        <v>0.66300000000000003</v>
      </c>
      <c r="B681" s="37">
        <v>115</v>
      </c>
      <c r="C681" s="38">
        <v>0.67200000000000004</v>
      </c>
      <c r="D681" s="39">
        <v>0.38100000000000001</v>
      </c>
      <c r="E681" s="37">
        <v>76</v>
      </c>
      <c r="F681" s="37">
        <v>1</v>
      </c>
      <c r="G681" s="37">
        <v>3</v>
      </c>
      <c r="H681" s="40">
        <f ca="1">LEFT(Music_Data[[#This Row],[Duration_minutes]],3)/60</f>
        <v>2.3166666666666669</v>
      </c>
      <c r="I681" s="39">
        <v>0.112</v>
      </c>
      <c r="J681" s="41" t="str">
        <f t="shared" si="10"/>
        <v>Casi nada popular</v>
      </c>
      <c r="K681" s="43">
        <v>45065</v>
      </c>
    </row>
    <row r="682" spans="1:11">
      <c r="A682" s="34">
        <v>0.72299999999999998</v>
      </c>
      <c r="B682" s="32">
        <v>104</v>
      </c>
      <c r="C682" s="33">
        <v>0.78300000000000003</v>
      </c>
      <c r="D682" s="34">
        <v>0.29399999999999998</v>
      </c>
      <c r="E682" s="32">
        <v>76</v>
      </c>
      <c r="F682" s="32">
        <v>1</v>
      </c>
      <c r="G682" s="32">
        <v>1</v>
      </c>
      <c r="H682" s="35">
        <f ca="1">LEFT(Music_Data[[#This Row],[Duration_minutes]],3)/60</f>
        <v>3.5</v>
      </c>
      <c r="I682" s="34">
        <v>2.64E-2</v>
      </c>
      <c r="J682" s="36" t="str">
        <f t="shared" si="10"/>
        <v>Casi nada popular</v>
      </c>
      <c r="K682" s="42">
        <v>45562</v>
      </c>
    </row>
    <row r="683" spans="1:11">
      <c r="A683" s="39">
        <v>0.5</v>
      </c>
      <c r="B683" s="37">
        <v>120</v>
      </c>
      <c r="C683" s="38">
        <v>0.42699999999999999</v>
      </c>
      <c r="D683" s="39">
        <v>0.26900000000000002</v>
      </c>
      <c r="E683" s="37">
        <v>76</v>
      </c>
      <c r="F683" s="37">
        <v>1</v>
      </c>
      <c r="G683" s="37">
        <v>0</v>
      </c>
      <c r="H683" s="40">
        <f ca="1">LEFT(Music_Data[[#This Row],[Duration_minutes]],3)/60</f>
        <v>4.333333333333333</v>
      </c>
      <c r="I683" s="39">
        <v>0.28599999999999998</v>
      </c>
      <c r="J683" s="41" t="str">
        <f t="shared" si="10"/>
        <v>Casi nada popular</v>
      </c>
      <c r="K683" s="43">
        <v>43203</v>
      </c>
    </row>
    <row r="684" spans="1:11">
      <c r="A684" s="34">
        <v>0.80500000000000005</v>
      </c>
      <c r="B684" s="32">
        <v>841</v>
      </c>
      <c r="C684" s="33">
        <v>0.54800000000000004</v>
      </c>
      <c r="D684" s="34">
        <v>0.64900000000000002</v>
      </c>
      <c r="E684" s="32">
        <v>76</v>
      </c>
      <c r="F684" s="32">
        <v>1</v>
      </c>
      <c r="G684" s="32">
        <v>7</v>
      </c>
      <c r="H684" s="35">
        <f ca="1">LEFT(Music_Data[[#This Row],[Duration_minutes]],3)/60</f>
        <v>4.666666666666667</v>
      </c>
      <c r="I684" s="34">
        <v>0.21199999999999999</v>
      </c>
      <c r="J684" s="36" t="str">
        <f t="shared" si="10"/>
        <v>Casi nada popular</v>
      </c>
      <c r="K684" s="42">
        <v>34772</v>
      </c>
    </row>
    <row r="685" spans="1:11">
      <c r="A685" s="39">
        <v>0.79200000000000004</v>
      </c>
      <c r="B685" s="37">
        <v>172</v>
      </c>
      <c r="C685" s="38">
        <v>0.749</v>
      </c>
      <c r="D685" s="39">
        <v>0.90300000000000002</v>
      </c>
      <c r="E685" s="37">
        <v>76</v>
      </c>
      <c r="F685" s="37">
        <v>1</v>
      </c>
      <c r="G685" s="37">
        <v>5</v>
      </c>
      <c r="H685" s="40">
        <f ca="1">LEFT(Music_Data[[#This Row],[Duration_minutes]],3)/60</f>
        <v>4.3666666666666663</v>
      </c>
      <c r="I685" s="39">
        <v>0.308</v>
      </c>
      <c r="J685" s="41" t="str">
        <f t="shared" si="10"/>
        <v>Casi nada popular</v>
      </c>
      <c r="K685" s="43">
        <v>34016</v>
      </c>
    </row>
    <row r="686" spans="1:11">
      <c r="A686" s="34">
        <v>0.73699999999999999</v>
      </c>
      <c r="B686" s="32">
        <v>123</v>
      </c>
      <c r="C686" s="33">
        <v>0.77900000000000003</v>
      </c>
      <c r="D686" s="34">
        <v>0.44500000000000001</v>
      </c>
      <c r="E686" s="32">
        <v>76</v>
      </c>
      <c r="F686" s="32">
        <v>1</v>
      </c>
      <c r="G686" s="32">
        <v>11</v>
      </c>
      <c r="H686" s="35">
        <f ca="1">LEFT(Music_Data[[#This Row],[Duration_minutes]],3)/60</f>
        <v>2.85</v>
      </c>
      <c r="I686" s="34">
        <v>0.13400000000000001</v>
      </c>
      <c r="J686" s="36" t="str">
        <f t="shared" si="10"/>
        <v>Casi nada popular</v>
      </c>
      <c r="K686" s="42">
        <v>45247</v>
      </c>
    </row>
    <row r="687" spans="1:11">
      <c r="A687" s="39">
        <v>0.71899999999999997</v>
      </c>
      <c r="B687" s="37">
        <v>966</v>
      </c>
      <c r="C687" s="38">
        <v>0.70699999999999996</v>
      </c>
      <c r="D687" s="39">
        <v>0.70099999999999996</v>
      </c>
      <c r="E687" s="37">
        <v>76</v>
      </c>
      <c r="F687" s="37">
        <v>0</v>
      </c>
      <c r="G687" s="37">
        <v>4</v>
      </c>
      <c r="H687" s="40">
        <f ca="1">LEFT(Music_Data[[#This Row],[Duration_minutes]],3)/60</f>
        <v>4.1833333333333336</v>
      </c>
      <c r="I687" s="39">
        <v>0.223</v>
      </c>
      <c r="J687" s="41" t="str">
        <f t="shared" si="10"/>
        <v>Casi nada popular</v>
      </c>
      <c r="K687" s="43">
        <v>32980</v>
      </c>
    </row>
    <row r="688" spans="1:11">
      <c r="A688" s="34">
        <v>0.92400000000000004</v>
      </c>
      <c r="B688" s="32">
        <v>124</v>
      </c>
      <c r="C688" s="33">
        <v>0.59799999999999998</v>
      </c>
      <c r="D688" s="34">
        <v>0.61099999999999999</v>
      </c>
      <c r="E688" s="32">
        <v>76</v>
      </c>
      <c r="F688" s="32">
        <v>0</v>
      </c>
      <c r="G688" s="32">
        <v>6</v>
      </c>
      <c r="H688" s="35">
        <f ca="1">LEFT(Music_Data[[#This Row],[Duration_minutes]],3)/60</f>
        <v>4.3833333333333337</v>
      </c>
      <c r="I688" s="34">
        <v>2.0500000000000001E-2</v>
      </c>
      <c r="J688" s="36" t="str">
        <f t="shared" si="10"/>
        <v>Casi nada popular</v>
      </c>
      <c r="K688" s="42">
        <v>42836</v>
      </c>
    </row>
    <row r="689" spans="1:11">
      <c r="A689" s="39">
        <v>0.82799999999999996</v>
      </c>
      <c r="B689" s="37">
        <v>139</v>
      </c>
      <c r="C689" s="38">
        <v>0.65400000000000003</v>
      </c>
      <c r="D689" s="39">
        <v>0.79</v>
      </c>
      <c r="E689" s="37">
        <v>76</v>
      </c>
      <c r="F689" s="37">
        <v>0</v>
      </c>
      <c r="G689" s="37">
        <v>1</v>
      </c>
      <c r="H689" s="40">
        <f ca="1">LEFT(Music_Data[[#This Row],[Duration_minutes]],3)/60</f>
        <v>2.5</v>
      </c>
      <c r="I689" s="39">
        <v>1.4599999999999999E-3</v>
      </c>
      <c r="J689" s="41" t="str">
        <f t="shared" si="10"/>
        <v>Casi nada popular</v>
      </c>
      <c r="K689" s="43">
        <v>45555</v>
      </c>
    </row>
    <row r="690" spans="1:11">
      <c r="A690" s="34">
        <v>0.60899999999999999</v>
      </c>
      <c r="B690" s="32">
        <v>131</v>
      </c>
      <c r="C690" s="33">
        <v>0.65200000000000002</v>
      </c>
      <c r="D690" s="34">
        <v>0.48199999999999998</v>
      </c>
      <c r="E690" s="32">
        <v>76</v>
      </c>
      <c r="F690" s="32">
        <v>0</v>
      </c>
      <c r="G690" s="32">
        <v>11</v>
      </c>
      <c r="H690" s="35">
        <f ca="1">LEFT(Music_Data[[#This Row],[Duration_minutes]],3)/60</f>
        <v>2.2000000000000002</v>
      </c>
      <c r="I690" s="34">
        <v>0.26300000000000001</v>
      </c>
      <c r="J690" s="36" t="str">
        <f t="shared" si="10"/>
        <v>Casi nada popular</v>
      </c>
      <c r="K690" s="42">
        <v>45513</v>
      </c>
    </row>
    <row r="691" spans="1:11">
      <c r="A691" s="39">
        <v>0.55200000000000005</v>
      </c>
      <c r="B691" s="37">
        <v>140</v>
      </c>
      <c r="C691" s="38">
        <v>0.64100000000000001</v>
      </c>
      <c r="D691" s="39">
        <v>0.152</v>
      </c>
      <c r="E691" s="37">
        <v>76</v>
      </c>
      <c r="F691" s="37">
        <v>0</v>
      </c>
      <c r="G691" s="37">
        <v>1</v>
      </c>
      <c r="H691" s="40">
        <f ca="1">LEFT(Music_Data[[#This Row],[Duration_minutes]],3)/60</f>
        <v>4.7166666666666668</v>
      </c>
      <c r="I691" s="39">
        <v>2.7E-2</v>
      </c>
      <c r="J691" s="41" t="str">
        <f t="shared" si="10"/>
        <v>Casi nada popular</v>
      </c>
      <c r="K691" s="43">
        <v>42891</v>
      </c>
    </row>
    <row r="692" spans="1:11">
      <c r="A692" s="34">
        <v>0.69799999999999995</v>
      </c>
      <c r="B692" s="32">
        <v>175</v>
      </c>
      <c r="C692" s="33">
        <v>0.59</v>
      </c>
      <c r="D692" s="34">
        <v>0.35199999999999998</v>
      </c>
      <c r="E692" s="32">
        <v>76</v>
      </c>
      <c r="F692" s="32">
        <v>1</v>
      </c>
      <c r="G692" s="32">
        <v>11</v>
      </c>
      <c r="H692" s="35">
        <f ca="1">LEFT(Music_Data[[#This Row],[Duration_minutes]],3)/60</f>
        <v>2.9166666666666665</v>
      </c>
      <c r="I692" s="34">
        <v>1.76E-4</v>
      </c>
      <c r="J692" s="36" t="str">
        <f t="shared" si="10"/>
        <v>Casi nada popular</v>
      </c>
      <c r="K692" s="42">
        <v>45584</v>
      </c>
    </row>
    <row r="693" spans="1:11">
      <c r="A693" s="39">
        <v>0.61</v>
      </c>
      <c r="B693" s="37">
        <v>137</v>
      </c>
      <c r="C693" s="38">
        <v>0.74099999999999999</v>
      </c>
      <c r="D693" s="39">
        <v>0.72</v>
      </c>
      <c r="E693" s="37">
        <v>76</v>
      </c>
      <c r="F693" s="37">
        <v>0</v>
      </c>
      <c r="G693" s="37">
        <v>6</v>
      </c>
      <c r="H693" s="40">
        <f ca="1">LEFT(Music_Data[[#This Row],[Duration_minutes]],3)/60</f>
        <v>4.05</v>
      </c>
      <c r="I693" s="39">
        <v>0.316</v>
      </c>
      <c r="J693" s="41" t="str">
        <f t="shared" si="10"/>
        <v>Casi nada popular</v>
      </c>
      <c r="K693" s="43">
        <v>44729</v>
      </c>
    </row>
    <row r="694" spans="1:11">
      <c r="A694" s="34">
        <v>0.378</v>
      </c>
      <c r="B694" s="32">
        <v>147</v>
      </c>
      <c r="C694" s="33">
        <v>0.61699999999999999</v>
      </c>
      <c r="D694" s="34">
        <v>0.22</v>
      </c>
      <c r="E694" s="32">
        <v>76</v>
      </c>
      <c r="F694" s="32">
        <v>1</v>
      </c>
      <c r="G694" s="32">
        <v>9</v>
      </c>
      <c r="H694" s="35">
        <f ca="1">LEFT(Music_Data[[#This Row],[Duration_minutes]],3)/60</f>
        <v>2.2833333333333332</v>
      </c>
      <c r="I694" s="34">
        <v>0.42799999999999999</v>
      </c>
      <c r="J694" s="36" t="str">
        <f t="shared" si="10"/>
        <v>Casi nada popular</v>
      </c>
      <c r="K694" s="42">
        <v>45006</v>
      </c>
    </row>
    <row r="695" spans="1:11">
      <c r="A695" s="39">
        <v>0.71699999999999997</v>
      </c>
      <c r="B695" s="37">
        <v>879</v>
      </c>
      <c r="C695" s="38">
        <v>0.79300000000000004</v>
      </c>
      <c r="D695" s="39">
        <v>0.46600000000000003</v>
      </c>
      <c r="E695" s="37">
        <v>76</v>
      </c>
      <c r="F695" s="37">
        <v>0</v>
      </c>
      <c r="G695" s="37">
        <v>0</v>
      </c>
      <c r="H695" s="40">
        <f ca="1">LEFT(Music_Data[[#This Row],[Duration_minutes]],3)/60</f>
        <v>3.8833333333333333</v>
      </c>
      <c r="I695" s="39">
        <v>9.2700000000000005E-2</v>
      </c>
      <c r="J695" s="41" t="str">
        <f t="shared" si="10"/>
        <v>Casi nada popular</v>
      </c>
      <c r="K695" s="43">
        <v>45261</v>
      </c>
    </row>
    <row r="696" spans="1:11">
      <c r="A696" s="34">
        <v>0.68500000000000005</v>
      </c>
      <c r="B696" s="32">
        <v>138</v>
      </c>
      <c r="C696" s="33">
        <v>0.77200000000000002</v>
      </c>
      <c r="D696" s="34">
        <v>0.501</v>
      </c>
      <c r="E696" s="32">
        <v>76</v>
      </c>
      <c r="F696" s="32">
        <v>1</v>
      </c>
      <c r="G696" s="32">
        <v>5</v>
      </c>
      <c r="H696" s="35">
        <f ca="1">LEFT(Music_Data[[#This Row],[Duration_minutes]],3)/60</f>
        <v>3.6</v>
      </c>
      <c r="I696" s="34">
        <v>1.9E-2</v>
      </c>
      <c r="J696" s="36" t="str">
        <f t="shared" si="10"/>
        <v>Casi nada popular</v>
      </c>
      <c r="K696" s="42">
        <v>42713</v>
      </c>
    </row>
    <row r="697" spans="1:11">
      <c r="A697" s="39">
        <v>0.86899999999999999</v>
      </c>
      <c r="B697" s="37">
        <v>948</v>
      </c>
      <c r="C697" s="38">
        <v>0.61599999999999999</v>
      </c>
      <c r="D697" s="39">
        <v>0.47299999999999998</v>
      </c>
      <c r="E697" s="37">
        <v>76</v>
      </c>
      <c r="F697" s="37">
        <v>1</v>
      </c>
      <c r="G697" s="37">
        <v>0</v>
      </c>
      <c r="H697" s="40">
        <f ca="1">LEFT(Music_Data[[#This Row],[Duration_minutes]],3)/60</f>
        <v>3.7333333333333334</v>
      </c>
      <c r="I697" s="39">
        <v>2.8299999999999999E-2</v>
      </c>
      <c r="J697" s="41" t="str">
        <f t="shared" si="10"/>
        <v>Casi nada popular</v>
      </c>
      <c r="K697" s="43">
        <v>41072</v>
      </c>
    </row>
    <row r="698" spans="1:11">
      <c r="A698" s="34">
        <v>0.91500000000000004</v>
      </c>
      <c r="B698" s="32">
        <v>176</v>
      </c>
      <c r="C698" s="33">
        <v>0.54400000000000004</v>
      </c>
      <c r="D698" s="34">
        <v>0.51</v>
      </c>
      <c r="E698" s="32">
        <v>76</v>
      </c>
      <c r="F698" s="32">
        <v>1</v>
      </c>
      <c r="G698" s="32">
        <v>8</v>
      </c>
      <c r="H698" s="35">
        <f ca="1">LEFT(Music_Data[[#This Row],[Duration_minutes]],3)/60</f>
        <v>3.6666666666666665</v>
      </c>
      <c r="I698" s="34">
        <v>0.129</v>
      </c>
      <c r="J698" s="36" t="str">
        <f t="shared" si="10"/>
        <v>Casi nada popular</v>
      </c>
      <c r="K698" s="42">
        <v>44764</v>
      </c>
    </row>
    <row r="699" spans="1:11">
      <c r="A699" s="39">
        <v>0.77700000000000002</v>
      </c>
      <c r="B699" s="37">
        <v>129</v>
      </c>
      <c r="C699" s="38">
        <v>0.57999999999999996</v>
      </c>
      <c r="D699" s="39">
        <v>0.58899999999999997</v>
      </c>
      <c r="E699" s="37">
        <v>76</v>
      </c>
      <c r="F699" s="37">
        <v>1</v>
      </c>
      <c r="G699" s="37">
        <v>3</v>
      </c>
      <c r="H699" s="40">
        <f ca="1">LEFT(Music_Data[[#This Row],[Duration_minutes]],3)/60</f>
        <v>3.7666666666666666</v>
      </c>
      <c r="I699" s="39">
        <v>0.104</v>
      </c>
      <c r="J699" s="41" t="str">
        <f t="shared" si="10"/>
        <v>Casi nada popular</v>
      </c>
      <c r="K699" s="43">
        <v>43200</v>
      </c>
    </row>
    <row r="700" spans="1:11">
      <c r="A700" s="34">
        <v>0.53900000000000003</v>
      </c>
      <c r="B700" s="32">
        <v>143</v>
      </c>
      <c r="C700" s="33">
        <v>0.65</v>
      </c>
      <c r="D700" s="34">
        <v>0.253</v>
      </c>
      <c r="E700" s="32">
        <v>76</v>
      </c>
      <c r="F700" s="32">
        <v>1</v>
      </c>
      <c r="G700" s="32">
        <v>1</v>
      </c>
      <c r="H700" s="35">
        <f ca="1">LEFT(Music_Data[[#This Row],[Duration_minutes]],3)/60</f>
        <v>2.8166666666666669</v>
      </c>
      <c r="I700" s="34">
        <v>6.1700000000000001E-3</v>
      </c>
      <c r="J700" s="36" t="str">
        <f t="shared" si="10"/>
        <v>Casi nada popular</v>
      </c>
      <c r="K700" s="42">
        <v>43959</v>
      </c>
    </row>
    <row r="701" spans="1:11">
      <c r="A701" s="39">
        <v>0.67200000000000004</v>
      </c>
      <c r="B701" s="37">
        <v>124</v>
      </c>
      <c r="C701" s="38">
        <v>0.67300000000000004</v>
      </c>
      <c r="D701" s="39">
        <v>0.14000000000000001</v>
      </c>
      <c r="E701" s="37">
        <v>76</v>
      </c>
      <c r="F701" s="37">
        <v>1</v>
      </c>
      <c r="G701" s="37">
        <v>8</v>
      </c>
      <c r="H701" s="40">
        <f ca="1">LEFT(Music_Data[[#This Row],[Duration_minutes]],3)/60</f>
        <v>3.15</v>
      </c>
      <c r="I701" s="39">
        <v>4.6600000000000003E-2</v>
      </c>
      <c r="J701" s="41" t="str">
        <f t="shared" si="10"/>
        <v>Casi nada popular</v>
      </c>
      <c r="K701" s="43">
        <v>45597</v>
      </c>
    </row>
    <row r="702" spans="1:11">
      <c r="A702" s="34">
        <v>0.81799999999999995</v>
      </c>
      <c r="B702" s="32">
        <v>948</v>
      </c>
      <c r="C702" s="33">
        <v>0.68700000000000006</v>
      </c>
      <c r="D702" s="34">
        <v>0.88600000000000001</v>
      </c>
      <c r="E702" s="32">
        <v>76</v>
      </c>
      <c r="F702" s="32">
        <v>1</v>
      </c>
      <c r="G702" s="32">
        <v>0</v>
      </c>
      <c r="H702" s="35">
        <f ca="1">LEFT(Music_Data[[#This Row],[Duration_minutes]],3)/60</f>
        <v>3.7333333333333334</v>
      </c>
      <c r="I702" s="34">
        <v>1.12E-2</v>
      </c>
      <c r="J702" s="36" t="str">
        <f t="shared" si="10"/>
        <v>Casi nada popular</v>
      </c>
      <c r="K702" s="42">
        <v>34814</v>
      </c>
    </row>
    <row r="703" spans="1:11">
      <c r="A703" s="39">
        <v>0.68700000000000006</v>
      </c>
      <c r="B703" s="37">
        <v>775</v>
      </c>
      <c r="C703" s="38">
        <v>0.755</v>
      </c>
      <c r="D703" s="39">
        <v>0.38100000000000001</v>
      </c>
      <c r="E703" s="37">
        <v>76</v>
      </c>
      <c r="F703" s="37">
        <v>0</v>
      </c>
      <c r="G703" s="37">
        <v>8</v>
      </c>
      <c r="H703" s="40">
        <f ca="1">LEFT(Music_Data[[#This Row],[Duration_minutes]],3)/60</f>
        <v>3.1</v>
      </c>
      <c r="I703" s="39">
        <v>0.183</v>
      </c>
      <c r="J703" s="41" t="str">
        <f t="shared" si="10"/>
        <v>Casi nada popular</v>
      </c>
      <c r="K703" s="43">
        <v>43170</v>
      </c>
    </row>
    <row r="704" spans="1:11">
      <c r="A704" s="34">
        <v>0.91900000000000004</v>
      </c>
      <c r="B704" s="32">
        <v>997</v>
      </c>
      <c r="C704" s="33">
        <v>0.83</v>
      </c>
      <c r="D704" s="34">
        <v>0.84799999999999998</v>
      </c>
      <c r="E704" s="32">
        <v>76</v>
      </c>
      <c r="F704" s="32">
        <v>0</v>
      </c>
      <c r="G704" s="32">
        <v>10</v>
      </c>
      <c r="H704" s="35">
        <f ca="1">LEFT(Music_Data[[#This Row],[Duration_minutes]],3)/60</f>
        <v>3.35</v>
      </c>
      <c r="I704" s="34">
        <v>0.503</v>
      </c>
      <c r="J704" s="36" t="str">
        <f t="shared" si="10"/>
        <v>Casi nada popular</v>
      </c>
      <c r="K704" s="42">
        <v>44015</v>
      </c>
    </row>
    <row r="705" spans="1:11">
      <c r="A705" s="39">
        <v>0.79200000000000004</v>
      </c>
      <c r="B705" s="37">
        <v>135</v>
      </c>
      <c r="C705" s="38">
        <v>0.749</v>
      </c>
      <c r="D705" s="39">
        <v>0.90300000000000002</v>
      </c>
      <c r="E705" s="37">
        <v>76</v>
      </c>
      <c r="F705" s="37">
        <v>1</v>
      </c>
      <c r="G705" s="37">
        <v>5</v>
      </c>
      <c r="H705" s="40">
        <f ca="1">LEFT(Music_Data[[#This Row],[Duration_minutes]],3)/60</f>
        <v>2.4</v>
      </c>
      <c r="I705" s="39">
        <v>0.308</v>
      </c>
      <c r="J705" s="41" t="str">
        <f t="shared" si="10"/>
        <v>Casi nada popular</v>
      </c>
      <c r="K705" s="43">
        <v>44202</v>
      </c>
    </row>
    <row r="706" spans="1:11">
      <c r="A706" s="34">
        <v>0.82099999999999995</v>
      </c>
      <c r="B706" s="32">
        <v>180</v>
      </c>
      <c r="C706" s="33">
        <v>0.66900000000000004</v>
      </c>
      <c r="D706" s="34">
        <v>0.68400000000000005</v>
      </c>
      <c r="E706" s="32">
        <v>76</v>
      </c>
      <c r="F706" s="32">
        <v>0</v>
      </c>
      <c r="G706" s="32">
        <v>11</v>
      </c>
      <c r="H706" s="35">
        <f ca="1">LEFT(Music_Data[[#This Row],[Duration_minutes]],3)/60</f>
        <v>2.4666666666666668</v>
      </c>
      <c r="I706" s="34">
        <v>1.82E-3</v>
      </c>
      <c r="J706" s="36" t="str">
        <f t="shared" si="10"/>
        <v>Casi nada popular</v>
      </c>
      <c r="K706" s="42">
        <v>44813</v>
      </c>
    </row>
    <row r="707" spans="1:11">
      <c r="A707" s="39">
        <v>0.82099999999999995</v>
      </c>
      <c r="B707" s="37">
        <v>100</v>
      </c>
      <c r="C707" s="38">
        <v>0.66900000000000004</v>
      </c>
      <c r="D707" s="39">
        <v>0.68400000000000005</v>
      </c>
      <c r="E707" s="37">
        <v>76</v>
      </c>
      <c r="F707" s="37">
        <v>0</v>
      </c>
      <c r="G707" s="37">
        <v>11</v>
      </c>
      <c r="H707" s="40">
        <f ca="1">LEFT(Music_Data[[#This Row],[Duration_minutes]],3)/60</f>
        <v>2.6833333333333331</v>
      </c>
      <c r="I707" s="39">
        <v>1.82E-3</v>
      </c>
      <c r="J707" s="41" t="str">
        <f t="shared" si="10"/>
        <v>Casi nada popular</v>
      </c>
      <c r="K707" s="43">
        <v>45247</v>
      </c>
    </row>
    <row r="708" spans="1:11">
      <c r="A708" s="34">
        <v>0.93200000000000005</v>
      </c>
      <c r="B708" s="32">
        <v>119</v>
      </c>
      <c r="C708" s="33">
        <v>0.63100000000000001</v>
      </c>
      <c r="D708" s="34">
        <v>0.97099999999999997</v>
      </c>
      <c r="E708" s="32">
        <v>76</v>
      </c>
      <c r="F708" s="32">
        <v>1</v>
      </c>
      <c r="G708" s="32">
        <v>5</v>
      </c>
      <c r="H708" s="35">
        <f ca="1">LEFT(Music_Data[[#This Row],[Duration_minutes]],3)/60</f>
        <v>2.8333333333333335</v>
      </c>
      <c r="I708" s="34">
        <v>4.2900000000000001E-2</v>
      </c>
      <c r="J708" s="36" t="str">
        <f t="shared" ref="J708:J771" si="11">IF(E708&gt;=94,"Muy Popular",IF(E708&gt;=86,"Popular",IF(E708&gt;=78,"No muy popular","Casi nada popular")))</f>
        <v>Casi nada popular</v>
      </c>
      <c r="K708" s="42">
        <v>44216</v>
      </c>
    </row>
    <row r="709" spans="1:11">
      <c r="A709" s="39">
        <v>0.67300000000000004</v>
      </c>
      <c r="B709" s="37">
        <v>493</v>
      </c>
      <c r="C709" s="38">
        <v>0.45300000000000001</v>
      </c>
      <c r="D709" s="39">
        <v>0.26600000000000001</v>
      </c>
      <c r="E709" s="37">
        <v>76</v>
      </c>
      <c r="F709" s="37">
        <v>1</v>
      </c>
      <c r="G709" s="37">
        <v>8</v>
      </c>
      <c r="H709" s="40">
        <f ca="1">LEFT(Music_Data[[#This Row],[Duration_minutes]],3)/60</f>
        <v>16.649999999999999</v>
      </c>
      <c r="I709" s="39">
        <v>0.32</v>
      </c>
      <c r="J709" s="41" t="str">
        <f t="shared" si="11"/>
        <v>Casi nada popular</v>
      </c>
      <c r="K709" s="43">
        <v>43707</v>
      </c>
    </row>
    <row r="710" spans="1:11">
      <c r="A710" s="34">
        <v>0.69</v>
      </c>
      <c r="B710" s="32">
        <v>119</v>
      </c>
      <c r="C710" s="33">
        <v>0.83899999999999997</v>
      </c>
      <c r="D710" s="34">
        <v>0.74399999999999999</v>
      </c>
      <c r="E710" s="32">
        <v>76</v>
      </c>
      <c r="F710" s="32">
        <v>1</v>
      </c>
      <c r="G710" s="32">
        <v>11</v>
      </c>
      <c r="H710" s="35">
        <f ca="1">LEFT(Music_Data[[#This Row],[Duration_minutes]],3)/60</f>
        <v>2.9333333333333331</v>
      </c>
      <c r="I710" s="34">
        <v>0.20699999999999999</v>
      </c>
      <c r="J710" s="36" t="str">
        <f t="shared" si="11"/>
        <v>Casi nada popular</v>
      </c>
      <c r="K710" s="42">
        <v>44904</v>
      </c>
    </row>
    <row r="711" spans="1:11">
      <c r="A711" s="39">
        <v>0.61299999999999999</v>
      </c>
      <c r="B711" s="37">
        <v>135</v>
      </c>
      <c r="C711" s="38">
        <v>0.65</v>
      </c>
      <c r="D711" s="39">
        <v>8.0399999999999999E-2</v>
      </c>
      <c r="E711" s="37">
        <v>76</v>
      </c>
      <c r="F711" s="37">
        <v>0</v>
      </c>
      <c r="G711" s="37">
        <v>9</v>
      </c>
      <c r="H711" s="40">
        <f ca="1">LEFT(Music_Data[[#This Row],[Duration_minutes]],3)/60</f>
        <v>4.1166666666666663</v>
      </c>
      <c r="I711" s="39">
        <v>3.3600000000000001E-3</v>
      </c>
      <c r="J711" s="41" t="str">
        <f t="shared" si="11"/>
        <v>Casi nada popular</v>
      </c>
      <c r="K711" s="43">
        <v>43875</v>
      </c>
    </row>
    <row r="712" spans="1:11">
      <c r="A712" s="34">
        <v>0.65700000000000003</v>
      </c>
      <c r="B712" s="32">
        <v>133</v>
      </c>
      <c r="C712" s="33">
        <v>0.753</v>
      </c>
      <c r="D712" s="34">
        <v>0.437</v>
      </c>
      <c r="E712" s="32">
        <v>76</v>
      </c>
      <c r="F712" s="32">
        <v>1</v>
      </c>
      <c r="G712" s="32">
        <v>7</v>
      </c>
      <c r="H712" s="35">
        <f ca="1">LEFT(Music_Data[[#This Row],[Duration_minutes]],3)/60</f>
        <v>3.7833333333333332</v>
      </c>
      <c r="I712" s="34">
        <v>0.17100000000000001</v>
      </c>
      <c r="J712" s="36" t="str">
        <f t="shared" si="11"/>
        <v>Casi nada popular</v>
      </c>
      <c r="K712" s="42">
        <v>40802</v>
      </c>
    </row>
    <row r="713" spans="1:11">
      <c r="A713" s="39">
        <v>0.34200000000000003</v>
      </c>
      <c r="B713" s="37">
        <v>124</v>
      </c>
      <c r="C713" s="38">
        <v>0.51600000000000001</v>
      </c>
      <c r="D713" s="39">
        <v>9.9299999999999999E-2</v>
      </c>
      <c r="E713" s="37">
        <v>76</v>
      </c>
      <c r="F713" s="37">
        <v>1</v>
      </c>
      <c r="G713" s="37">
        <v>4</v>
      </c>
      <c r="H713" s="40">
        <f ca="1">LEFT(Music_Data[[#This Row],[Duration_minutes]],3)/60</f>
        <v>4.666666666666667</v>
      </c>
      <c r="I713" s="39">
        <v>0.55000000000000004</v>
      </c>
      <c r="J713" s="41" t="str">
        <f t="shared" si="11"/>
        <v>Casi nada popular</v>
      </c>
      <c r="K713" s="43">
        <v>43708</v>
      </c>
    </row>
    <row r="714" spans="1:11">
      <c r="A714" s="34">
        <v>0.79400000000000004</v>
      </c>
      <c r="B714" s="32">
        <v>122</v>
      </c>
      <c r="C714" s="33">
        <v>0.60099999999999998</v>
      </c>
      <c r="D714" s="34">
        <v>0.24399999999999999</v>
      </c>
      <c r="E714" s="32">
        <v>76</v>
      </c>
      <c r="F714" s="32">
        <v>0</v>
      </c>
      <c r="G714" s="32">
        <v>7</v>
      </c>
      <c r="H714" s="35">
        <f ca="1">LEFT(Music_Data[[#This Row],[Duration_minutes]],3)/60</f>
        <v>5.6833333333333336</v>
      </c>
      <c r="I714" s="34">
        <v>9.8700000000000003E-3</v>
      </c>
      <c r="J714" s="36" t="str">
        <f t="shared" si="11"/>
        <v>Casi nada popular</v>
      </c>
      <c r="K714" s="42">
        <v>42293</v>
      </c>
    </row>
    <row r="715" spans="1:11">
      <c r="A715" s="39">
        <v>0.67300000000000004</v>
      </c>
      <c r="B715" s="37">
        <v>172</v>
      </c>
      <c r="C715" s="38">
        <v>0.49199999999999999</v>
      </c>
      <c r="D715" s="39">
        <v>0.48799999999999999</v>
      </c>
      <c r="E715" s="37">
        <v>76</v>
      </c>
      <c r="F715" s="37">
        <v>1</v>
      </c>
      <c r="G715" s="37">
        <v>6</v>
      </c>
      <c r="H715" s="40">
        <f ca="1">LEFT(Music_Data[[#This Row],[Duration_minutes]],3)/60</f>
        <v>2.9666666666666668</v>
      </c>
      <c r="I715" s="39">
        <v>0.41299999999999998</v>
      </c>
      <c r="J715" s="41" t="str">
        <f t="shared" si="11"/>
        <v>Casi nada popular</v>
      </c>
      <c r="K715" s="43">
        <v>43376</v>
      </c>
    </row>
    <row r="716" spans="1:11">
      <c r="A716" s="34">
        <v>0.42599999999999999</v>
      </c>
      <c r="B716" s="32">
        <v>810</v>
      </c>
      <c r="C716" s="33">
        <v>0.67400000000000004</v>
      </c>
      <c r="D716" s="34">
        <v>0.33700000000000002</v>
      </c>
      <c r="E716" s="32">
        <v>76</v>
      </c>
      <c r="F716" s="32">
        <v>1</v>
      </c>
      <c r="G716" s="32">
        <v>7</v>
      </c>
      <c r="H716" s="35">
        <f ca="1">LEFT(Music_Data[[#This Row],[Duration_minutes]],3)/60</f>
        <v>3.8333333333333335</v>
      </c>
      <c r="I716" s="34">
        <v>0.12</v>
      </c>
      <c r="J716" s="36" t="str">
        <f t="shared" si="11"/>
        <v>Casi nada popular</v>
      </c>
      <c r="K716" s="42">
        <v>44407</v>
      </c>
    </row>
    <row r="717" spans="1:11">
      <c r="A717" s="39">
        <v>0.92200000000000004</v>
      </c>
      <c r="B717" s="37">
        <v>100</v>
      </c>
      <c r="C717" s="38">
        <v>0.64100000000000001</v>
      </c>
      <c r="D717" s="39">
        <v>0.84699999999999998</v>
      </c>
      <c r="E717" s="37">
        <v>76</v>
      </c>
      <c r="F717" s="37">
        <v>1</v>
      </c>
      <c r="G717" s="37">
        <v>2</v>
      </c>
      <c r="H717" s="40">
        <f ca="1">LEFT(Music_Data[[#This Row],[Duration_minutes]],3)/60</f>
        <v>4.2333333333333334</v>
      </c>
      <c r="I717" s="39">
        <v>2.9100000000000001E-2</v>
      </c>
      <c r="J717" s="41" t="str">
        <f t="shared" si="11"/>
        <v>Casi nada popular</v>
      </c>
      <c r="K717" s="43">
        <v>44092</v>
      </c>
    </row>
    <row r="718" spans="1:11">
      <c r="A718" s="34">
        <v>0.71599999999999997</v>
      </c>
      <c r="B718" s="32">
        <v>829</v>
      </c>
      <c r="C718" s="33">
        <v>0.747</v>
      </c>
      <c r="D718" s="34">
        <v>0.751</v>
      </c>
      <c r="E718" s="32">
        <v>76</v>
      </c>
      <c r="F718" s="32">
        <v>0</v>
      </c>
      <c r="G718" s="32">
        <v>11</v>
      </c>
      <c r="H718" s="35">
        <f ca="1">LEFT(Music_Data[[#This Row],[Duration_minutes]],3)/60</f>
        <v>3.8</v>
      </c>
      <c r="I718" s="34">
        <v>0.13500000000000001</v>
      </c>
      <c r="J718" s="36" t="str">
        <f t="shared" si="11"/>
        <v>Casi nada popular</v>
      </c>
      <c r="K718" s="42">
        <v>44413</v>
      </c>
    </row>
    <row r="719" spans="1:11">
      <c r="A719" s="39">
        <v>0.64600000000000002</v>
      </c>
      <c r="B719" s="37">
        <v>979</v>
      </c>
      <c r="C719" s="38">
        <v>0.86699999999999999</v>
      </c>
      <c r="D719" s="39">
        <v>0.67</v>
      </c>
      <c r="E719" s="37">
        <v>76</v>
      </c>
      <c r="F719" s="37">
        <v>0</v>
      </c>
      <c r="G719" s="37">
        <v>1</v>
      </c>
      <c r="H719" s="40">
        <f ca="1">LEFT(Music_Data[[#This Row],[Duration_minutes]],3)/60</f>
        <v>3.95</v>
      </c>
      <c r="I719" s="39">
        <v>0.30299999999999999</v>
      </c>
      <c r="J719" s="41" t="str">
        <f t="shared" si="11"/>
        <v>Casi nada popular</v>
      </c>
      <c r="K719" s="43">
        <v>43875</v>
      </c>
    </row>
    <row r="720" spans="1:11">
      <c r="A720" s="34">
        <v>0.87</v>
      </c>
      <c r="B720" s="32">
        <v>168</v>
      </c>
      <c r="C720" s="33">
        <v>0.59699999999999998</v>
      </c>
      <c r="D720" s="34">
        <v>0.94399999999999995</v>
      </c>
      <c r="E720" s="32">
        <v>76</v>
      </c>
      <c r="F720" s="32">
        <v>1</v>
      </c>
      <c r="G720" s="32">
        <v>10</v>
      </c>
      <c r="H720" s="35">
        <f ca="1">LEFT(Music_Data[[#This Row],[Duration_minutes]],3)/60</f>
        <v>2.7</v>
      </c>
      <c r="I720" s="34">
        <v>1.1900000000000001E-2</v>
      </c>
      <c r="J720" s="36" t="str">
        <f t="shared" si="11"/>
        <v>Casi nada popular</v>
      </c>
      <c r="K720" s="42">
        <v>44630</v>
      </c>
    </row>
    <row r="721" spans="1:11">
      <c r="A721" s="39">
        <v>0.86899999999999999</v>
      </c>
      <c r="B721" s="37">
        <v>102</v>
      </c>
      <c r="C721" s="38">
        <v>0.61599999999999999</v>
      </c>
      <c r="D721" s="39">
        <v>0.47299999999999998</v>
      </c>
      <c r="E721" s="37">
        <v>76</v>
      </c>
      <c r="F721" s="37">
        <v>1</v>
      </c>
      <c r="G721" s="37">
        <v>0</v>
      </c>
      <c r="H721" s="40">
        <f ca="1">LEFT(Music_Data[[#This Row],[Duration_minutes]],3)/60</f>
        <v>4.1500000000000004</v>
      </c>
      <c r="I721" s="39">
        <v>2.8299999999999999E-2</v>
      </c>
      <c r="J721" s="41" t="str">
        <f t="shared" si="11"/>
        <v>Casi nada popular</v>
      </c>
      <c r="K721" s="43">
        <v>43217</v>
      </c>
    </row>
    <row r="722" spans="1:11">
      <c r="A722" s="34">
        <v>0.748</v>
      </c>
      <c r="B722" s="32">
        <v>118</v>
      </c>
      <c r="C722" s="33">
        <v>0.749</v>
      </c>
      <c r="D722" s="34">
        <v>0.82699999999999996</v>
      </c>
      <c r="E722" s="32">
        <v>76</v>
      </c>
      <c r="F722" s="32">
        <v>1</v>
      </c>
      <c r="G722" s="32">
        <v>2</v>
      </c>
      <c r="H722" s="35">
        <f ca="1">LEFT(Music_Data[[#This Row],[Duration_minutes]],3)/60</f>
        <v>3.9833333333333334</v>
      </c>
      <c r="I722" s="34">
        <v>0.29499999999999998</v>
      </c>
      <c r="J722" s="36" t="str">
        <f t="shared" si="11"/>
        <v>Casi nada popular</v>
      </c>
      <c r="K722" s="42">
        <v>43875</v>
      </c>
    </row>
    <row r="723" spans="1:11">
      <c r="A723" s="39">
        <v>0.73799999999999999</v>
      </c>
      <c r="B723" s="37">
        <v>157</v>
      </c>
      <c r="C723" s="38">
        <v>0.73099999999999998</v>
      </c>
      <c r="D723" s="39">
        <v>0.95799999999999996</v>
      </c>
      <c r="E723" s="37">
        <v>76</v>
      </c>
      <c r="F723" s="37">
        <v>0</v>
      </c>
      <c r="G723" s="37">
        <v>9</v>
      </c>
      <c r="H723" s="40">
        <f ca="1">LEFT(Music_Data[[#This Row],[Duration_minutes]],3)/60</f>
        <v>2.8</v>
      </c>
      <c r="I723" s="39">
        <v>0.184</v>
      </c>
      <c r="J723" s="41" t="str">
        <f t="shared" si="11"/>
        <v>Casi nada popular</v>
      </c>
      <c r="K723" s="43">
        <v>45298</v>
      </c>
    </row>
    <row r="724" spans="1:11">
      <c r="A724" s="34">
        <v>0.83</v>
      </c>
      <c r="B724" s="32">
        <v>149</v>
      </c>
      <c r="C724" s="33">
        <v>0.66600000000000004</v>
      </c>
      <c r="D724" s="34">
        <v>0.70199999999999996</v>
      </c>
      <c r="E724" s="32">
        <v>76</v>
      </c>
      <c r="F724" s="32">
        <v>1</v>
      </c>
      <c r="G724" s="32">
        <v>0</v>
      </c>
      <c r="H724" s="35">
        <f ca="1">LEFT(Music_Data[[#This Row],[Duration_minutes]],3)/60</f>
        <v>4.8</v>
      </c>
      <c r="I724" s="34">
        <v>1.23E-2</v>
      </c>
      <c r="J724" s="36" t="str">
        <f t="shared" si="11"/>
        <v>Casi nada popular</v>
      </c>
      <c r="K724" s="42">
        <v>45393</v>
      </c>
    </row>
    <row r="725" spans="1:11">
      <c r="A725" s="39">
        <v>0.75600000000000001</v>
      </c>
      <c r="B725" s="37">
        <v>141</v>
      </c>
      <c r="C725" s="38">
        <v>0.80200000000000005</v>
      </c>
      <c r="D725" s="39">
        <v>0.96299999999999997</v>
      </c>
      <c r="E725" s="37">
        <v>76</v>
      </c>
      <c r="F725" s="37">
        <v>0</v>
      </c>
      <c r="G725" s="37">
        <v>2</v>
      </c>
      <c r="H725" s="40">
        <f ca="1">LEFT(Music_Data[[#This Row],[Duration_minutes]],3)/60</f>
        <v>4.05</v>
      </c>
      <c r="I725" s="39">
        <v>8.43E-2</v>
      </c>
      <c r="J725" s="41" t="str">
        <f t="shared" si="11"/>
        <v>Casi nada popular</v>
      </c>
      <c r="K725" s="43">
        <v>45492</v>
      </c>
    </row>
    <row r="726" spans="1:11">
      <c r="A726" s="34">
        <v>0.91500000000000004</v>
      </c>
      <c r="B726" s="32">
        <v>101</v>
      </c>
      <c r="C726" s="33">
        <v>0.54400000000000004</v>
      </c>
      <c r="D726" s="34">
        <v>0.51</v>
      </c>
      <c r="E726" s="32">
        <v>76</v>
      </c>
      <c r="F726" s="32">
        <v>1</v>
      </c>
      <c r="G726" s="32">
        <v>8</v>
      </c>
      <c r="H726" s="35">
        <f ca="1">LEFT(Music_Data[[#This Row],[Duration_minutes]],3)/60</f>
        <v>3.2166666666666668</v>
      </c>
      <c r="I726" s="34">
        <v>0.129</v>
      </c>
      <c r="J726" s="36" t="str">
        <f t="shared" si="11"/>
        <v>Casi nada popular</v>
      </c>
      <c r="K726" s="42">
        <v>44846</v>
      </c>
    </row>
    <row r="727" spans="1:11">
      <c r="A727" s="39">
        <v>0.86</v>
      </c>
      <c r="B727" s="37">
        <v>166</v>
      </c>
      <c r="C727" s="38">
        <v>0.73699999999999999</v>
      </c>
      <c r="D727" s="39">
        <v>0.65600000000000003</v>
      </c>
      <c r="E727" s="37">
        <v>76</v>
      </c>
      <c r="F727" s="37">
        <v>0</v>
      </c>
      <c r="G727" s="37">
        <v>8</v>
      </c>
      <c r="H727" s="40">
        <f ca="1">LEFT(Music_Data[[#This Row],[Duration_minutes]],3)/60</f>
        <v>3.55</v>
      </c>
      <c r="I727" s="39">
        <v>0.11</v>
      </c>
      <c r="J727" s="41" t="str">
        <f t="shared" si="11"/>
        <v>Casi nada popular</v>
      </c>
      <c r="K727" s="43">
        <v>45028</v>
      </c>
    </row>
    <row r="728" spans="1:11">
      <c r="A728" s="34">
        <v>0.85099999999999998</v>
      </c>
      <c r="B728" s="32">
        <v>139</v>
      </c>
      <c r="C728" s="33">
        <v>0.72199999999999998</v>
      </c>
      <c r="D728" s="34">
        <v>0.45200000000000001</v>
      </c>
      <c r="E728" s="32">
        <v>76</v>
      </c>
      <c r="F728" s="32">
        <v>0</v>
      </c>
      <c r="G728" s="32">
        <v>7</v>
      </c>
      <c r="H728" s="35">
        <f ca="1">LEFT(Music_Data[[#This Row],[Duration_minutes]],3)/60</f>
        <v>2.5499999999999998</v>
      </c>
      <c r="I728" s="34">
        <v>3.1899999999999998E-2</v>
      </c>
      <c r="J728" s="36" t="str">
        <f t="shared" si="11"/>
        <v>Casi nada popular</v>
      </c>
      <c r="K728" s="42">
        <v>45394</v>
      </c>
    </row>
    <row r="729" spans="1:11">
      <c r="A729" s="39">
        <v>0.80900000000000005</v>
      </c>
      <c r="B729" s="37">
        <v>115</v>
      </c>
      <c r="C729" s="38">
        <v>0.72299999999999998</v>
      </c>
      <c r="D729" s="39">
        <v>0.27400000000000002</v>
      </c>
      <c r="E729" s="37">
        <v>76</v>
      </c>
      <c r="F729" s="37">
        <v>0</v>
      </c>
      <c r="G729" s="37">
        <v>7</v>
      </c>
      <c r="H729" s="40">
        <f ca="1">LEFT(Music_Data[[#This Row],[Duration_minutes]],3)/60</f>
        <v>2.0499999999999998</v>
      </c>
      <c r="I729" s="39">
        <v>3.46E-3</v>
      </c>
      <c r="J729" s="41" t="str">
        <f t="shared" si="11"/>
        <v>Casi nada popular</v>
      </c>
      <c r="K729" s="43">
        <v>45310</v>
      </c>
    </row>
    <row r="730" spans="1:11">
      <c r="A730" s="34">
        <v>0.89</v>
      </c>
      <c r="B730" s="32">
        <v>136</v>
      </c>
      <c r="C730" s="33">
        <v>0.70599999999999996</v>
      </c>
      <c r="D730" s="34">
        <v>0.68400000000000005</v>
      </c>
      <c r="E730" s="32">
        <v>76</v>
      </c>
      <c r="F730" s="32">
        <v>0</v>
      </c>
      <c r="G730" s="32">
        <v>1</v>
      </c>
      <c r="H730" s="35">
        <f ca="1">LEFT(Music_Data[[#This Row],[Duration_minutes]],3)/60</f>
        <v>3.1833333333333331</v>
      </c>
      <c r="I730" s="34">
        <v>5.8799999999999998E-2</v>
      </c>
      <c r="J730" s="36" t="str">
        <f t="shared" si="11"/>
        <v>Casi nada popular</v>
      </c>
      <c r="K730" s="42">
        <v>19725</v>
      </c>
    </row>
    <row r="731" spans="1:11">
      <c r="A731" s="39">
        <v>0.48599999999999999</v>
      </c>
      <c r="B731" s="37">
        <v>140</v>
      </c>
      <c r="C731" s="38">
        <v>0.68700000000000006</v>
      </c>
      <c r="D731" s="39">
        <v>0.79200000000000004</v>
      </c>
      <c r="E731" s="37">
        <v>76</v>
      </c>
      <c r="F731" s="37">
        <v>1</v>
      </c>
      <c r="G731" s="37">
        <v>11</v>
      </c>
      <c r="H731" s="40">
        <f ca="1">LEFT(Music_Data[[#This Row],[Duration_minutes]],3)/60</f>
        <v>2.2999999999999998</v>
      </c>
      <c r="I731" s="39">
        <v>0.58699999999999997</v>
      </c>
      <c r="J731" s="41" t="str">
        <f t="shared" si="11"/>
        <v>Casi nada popular</v>
      </c>
      <c r="K731" s="43">
        <v>45470</v>
      </c>
    </row>
    <row r="732" spans="1:11">
      <c r="A732" s="34">
        <v>0.97199999999999998</v>
      </c>
      <c r="B732" s="32">
        <v>131</v>
      </c>
      <c r="C732" s="33">
        <v>0.58499999999999996</v>
      </c>
      <c r="D732" s="34">
        <v>0.58499999999999996</v>
      </c>
      <c r="E732" s="32">
        <v>76</v>
      </c>
      <c r="F732" s="32">
        <v>0</v>
      </c>
      <c r="G732" s="32">
        <v>9</v>
      </c>
      <c r="H732" s="35">
        <f ca="1">LEFT(Music_Data[[#This Row],[Duration_minutes]],3)/60</f>
        <v>3.5666666666666669</v>
      </c>
      <c r="I732" s="34">
        <v>1.43E-2</v>
      </c>
      <c r="J732" s="36" t="str">
        <f t="shared" si="11"/>
        <v>Casi nada popular</v>
      </c>
      <c r="K732" s="42">
        <v>45240</v>
      </c>
    </row>
    <row r="733" spans="1:11">
      <c r="A733" s="39">
        <v>0.84899999999999998</v>
      </c>
      <c r="B733" s="37">
        <v>140</v>
      </c>
      <c r="C733" s="38">
        <v>0.63600000000000001</v>
      </c>
      <c r="D733" s="39">
        <v>0.91700000000000004</v>
      </c>
      <c r="E733" s="37">
        <v>76</v>
      </c>
      <c r="F733" s="37">
        <v>1</v>
      </c>
      <c r="G733" s="37">
        <v>0</v>
      </c>
      <c r="H733" s="40">
        <f ca="1">LEFT(Music_Data[[#This Row],[Duration_minutes]],3)/60</f>
        <v>2.8333333333333335</v>
      </c>
      <c r="I733" s="39">
        <v>4.3799999999999999E-2</v>
      </c>
      <c r="J733" s="41" t="str">
        <f t="shared" si="11"/>
        <v>Casi nada popular</v>
      </c>
      <c r="K733" s="43">
        <v>45383</v>
      </c>
    </row>
    <row r="734" spans="1:11">
      <c r="A734" s="34">
        <v>0.71499999999999997</v>
      </c>
      <c r="B734" s="32">
        <v>124</v>
      </c>
      <c r="C734" s="33">
        <v>0.27600000000000002</v>
      </c>
      <c r="D734" s="34">
        <v>0.17299999999999999</v>
      </c>
      <c r="E734" s="32">
        <v>76</v>
      </c>
      <c r="F734" s="32">
        <v>1</v>
      </c>
      <c r="G734" s="32">
        <v>0</v>
      </c>
      <c r="H734" s="35">
        <f ca="1">LEFT(Music_Data[[#This Row],[Duration_minutes]],3)/60</f>
        <v>3.65</v>
      </c>
      <c r="I734" s="34">
        <v>5.5199999999999997E-3</v>
      </c>
      <c r="J734" s="36" t="str">
        <f t="shared" si="11"/>
        <v>Casi nada popular</v>
      </c>
      <c r="K734" s="42">
        <v>45436</v>
      </c>
    </row>
    <row r="735" spans="1:11">
      <c r="A735" s="39">
        <v>0.96</v>
      </c>
      <c r="B735" s="37">
        <v>108</v>
      </c>
      <c r="C735" s="38">
        <v>0.35599999999999998</v>
      </c>
      <c r="D735" s="39">
        <v>8.5699999999999998E-2</v>
      </c>
      <c r="E735" s="37">
        <v>76</v>
      </c>
      <c r="F735" s="37">
        <v>1</v>
      </c>
      <c r="G735" s="37">
        <v>4</v>
      </c>
      <c r="H735" s="40">
        <f ca="1">LEFT(Music_Data[[#This Row],[Duration_minutes]],3)/60</f>
        <v>2.7833333333333332</v>
      </c>
      <c r="I735" s="39">
        <v>1.4200000000000001E-2</v>
      </c>
      <c r="J735" s="41" t="str">
        <f t="shared" si="11"/>
        <v>Casi nada popular</v>
      </c>
      <c r="K735" s="43">
        <v>45408</v>
      </c>
    </row>
    <row r="736" spans="1:11">
      <c r="A736" s="34">
        <v>0.84199999999999997</v>
      </c>
      <c r="B736" s="32">
        <v>101</v>
      </c>
      <c r="C736" s="33">
        <v>0.49399999999999999</v>
      </c>
      <c r="D736" s="34">
        <v>0.57399999999999995</v>
      </c>
      <c r="E736" s="32">
        <v>76</v>
      </c>
      <c r="F736" s="32">
        <v>1</v>
      </c>
      <c r="G736" s="32">
        <v>7</v>
      </c>
      <c r="H736" s="35">
        <f ca="1">LEFT(Music_Data[[#This Row],[Duration_minutes]],3)/60</f>
        <v>2.8</v>
      </c>
      <c r="I736" s="34">
        <v>5.79E-3</v>
      </c>
      <c r="J736" s="36" t="str">
        <f t="shared" si="11"/>
        <v>Casi nada popular</v>
      </c>
      <c r="K736" s="42">
        <v>45383</v>
      </c>
    </row>
    <row r="737" spans="1:11">
      <c r="A737" s="39">
        <v>0.186</v>
      </c>
      <c r="B737" s="37">
        <v>919</v>
      </c>
      <c r="C737" s="38">
        <v>0.6</v>
      </c>
      <c r="D737" s="39">
        <v>0.46800000000000003</v>
      </c>
      <c r="E737" s="37">
        <v>76</v>
      </c>
      <c r="F737" s="37">
        <v>1</v>
      </c>
      <c r="G737" s="37">
        <v>3</v>
      </c>
      <c r="H737" s="40">
        <f ca="1">LEFT(Music_Data[[#This Row],[Duration_minutes]],3)/60</f>
        <v>3.2666666666666666</v>
      </c>
      <c r="I737" s="39">
        <v>0.90900000000000003</v>
      </c>
      <c r="J737" s="41" t="str">
        <f t="shared" si="11"/>
        <v>Casi nada popular</v>
      </c>
      <c r="K737" s="43">
        <v>45439</v>
      </c>
    </row>
    <row r="738" spans="1:11">
      <c r="A738" s="34">
        <v>0.50700000000000001</v>
      </c>
      <c r="B738" s="32">
        <v>105</v>
      </c>
      <c r="C738" s="33">
        <v>0.65300000000000002</v>
      </c>
      <c r="D738" s="34">
        <v>0.83099999999999996</v>
      </c>
      <c r="E738" s="32">
        <v>76</v>
      </c>
      <c r="F738" s="32">
        <v>0</v>
      </c>
      <c r="G738" s="32">
        <v>11</v>
      </c>
      <c r="H738" s="35">
        <f ca="1">LEFT(Music_Data[[#This Row],[Duration_minutes]],3)/60</f>
        <v>2.7</v>
      </c>
      <c r="I738" s="34">
        <v>0.68700000000000006</v>
      </c>
      <c r="J738" s="36" t="str">
        <f t="shared" si="11"/>
        <v>Casi nada popular</v>
      </c>
      <c r="K738" s="42">
        <v>45457</v>
      </c>
    </row>
    <row r="739" spans="1:11">
      <c r="A739" s="39">
        <v>0.71699999999999997</v>
      </c>
      <c r="B739" s="37">
        <v>120</v>
      </c>
      <c r="C739" s="38">
        <v>0.79300000000000004</v>
      </c>
      <c r="D739" s="39">
        <v>0.46600000000000003</v>
      </c>
      <c r="E739" s="37">
        <v>76</v>
      </c>
      <c r="F739" s="37">
        <v>0</v>
      </c>
      <c r="G739" s="37">
        <v>0</v>
      </c>
      <c r="H739" s="40">
        <f ca="1">LEFT(Music_Data[[#This Row],[Duration_minutes]],3)/60</f>
        <v>2.9666666666666668</v>
      </c>
      <c r="I739" s="39">
        <v>9.2700000000000005E-2</v>
      </c>
      <c r="J739" s="41" t="str">
        <f t="shared" si="11"/>
        <v>Casi nada popular</v>
      </c>
      <c r="K739" s="43">
        <v>45439</v>
      </c>
    </row>
    <row r="740" spans="1:11">
      <c r="A740" s="34">
        <v>0.77700000000000002</v>
      </c>
      <c r="B740" s="32">
        <v>170</v>
      </c>
      <c r="C740" s="33">
        <v>0.57999999999999996</v>
      </c>
      <c r="D740" s="34">
        <v>0.58899999999999997</v>
      </c>
      <c r="E740" s="32">
        <v>76</v>
      </c>
      <c r="F740" s="32">
        <v>1</v>
      </c>
      <c r="G740" s="32">
        <v>3</v>
      </c>
      <c r="H740" s="35">
        <f ca="1">LEFT(Music_Data[[#This Row],[Duration_minutes]],3)/60</f>
        <v>3.15</v>
      </c>
      <c r="I740" s="34">
        <v>0.104</v>
      </c>
      <c r="J740" s="36" t="str">
        <f t="shared" si="11"/>
        <v>Casi nada popular</v>
      </c>
      <c r="K740" s="42">
        <v>45464</v>
      </c>
    </row>
    <row r="741" spans="1:11">
      <c r="A741" s="39">
        <v>0.77700000000000002</v>
      </c>
      <c r="B741" s="37">
        <v>109</v>
      </c>
      <c r="C741" s="38">
        <v>0.57999999999999996</v>
      </c>
      <c r="D741" s="39">
        <v>0.58899999999999997</v>
      </c>
      <c r="E741" s="37">
        <v>76</v>
      </c>
      <c r="F741" s="37">
        <v>1</v>
      </c>
      <c r="G741" s="37">
        <v>3</v>
      </c>
      <c r="H741" s="40">
        <f ca="1">LEFT(Music_Data[[#This Row],[Duration_minutes]],3)/60</f>
        <v>3.1333333333333333</v>
      </c>
      <c r="I741" s="39">
        <v>0.104</v>
      </c>
      <c r="J741" s="41" t="str">
        <f t="shared" si="11"/>
        <v>Casi nada popular</v>
      </c>
      <c r="K741" s="43">
        <v>45376</v>
      </c>
    </row>
    <row r="742" spans="1:11">
      <c r="A742" s="34">
        <v>0.81799999999999995</v>
      </c>
      <c r="B742" s="32">
        <v>113</v>
      </c>
      <c r="C742" s="33">
        <v>0.68700000000000006</v>
      </c>
      <c r="D742" s="34">
        <v>0.88600000000000001</v>
      </c>
      <c r="E742" s="32">
        <v>76</v>
      </c>
      <c r="F742" s="32">
        <v>1</v>
      </c>
      <c r="G742" s="32">
        <v>0</v>
      </c>
      <c r="H742" s="35">
        <f ca="1">LEFT(Music_Data[[#This Row],[Duration_minutes]],3)/60</f>
        <v>4.3666666666666663</v>
      </c>
      <c r="I742" s="34">
        <v>1.12E-2</v>
      </c>
      <c r="J742" s="36" t="str">
        <f t="shared" si="11"/>
        <v>Casi nada popular</v>
      </c>
      <c r="K742" s="42">
        <v>36487</v>
      </c>
    </row>
    <row r="743" spans="1:11">
      <c r="A743" s="39">
        <v>0.69</v>
      </c>
      <c r="B743" s="37">
        <v>136</v>
      </c>
      <c r="C743" s="38">
        <v>0.84699999999999998</v>
      </c>
      <c r="D743" s="39">
        <v>0.69199999999999995</v>
      </c>
      <c r="E743" s="37">
        <v>76</v>
      </c>
      <c r="F743" s="37">
        <v>0</v>
      </c>
      <c r="G743" s="37">
        <v>1</v>
      </c>
      <c r="H743" s="40">
        <f ca="1">LEFT(Music_Data[[#This Row],[Duration_minutes]],3)/60</f>
        <v>4.0333333333333332</v>
      </c>
      <c r="I743" s="39">
        <v>1.2699999999999999E-2</v>
      </c>
      <c r="J743" s="41" t="str">
        <f t="shared" si="11"/>
        <v>Casi nada popular</v>
      </c>
      <c r="K743" s="43">
        <v>31062</v>
      </c>
    </row>
    <row r="744" spans="1:11">
      <c r="A744" s="34">
        <v>0.68400000000000005</v>
      </c>
      <c r="B744" s="32">
        <v>133</v>
      </c>
      <c r="C744" s="33">
        <v>0.79500000000000004</v>
      </c>
      <c r="D744" s="34">
        <v>0.41899999999999998</v>
      </c>
      <c r="E744" s="32">
        <v>76</v>
      </c>
      <c r="F744" s="32">
        <v>0</v>
      </c>
      <c r="G744" s="32">
        <v>11</v>
      </c>
      <c r="H744" s="35">
        <f ca="1">LEFT(Music_Data[[#This Row],[Duration_minutes]],3)/60</f>
        <v>3.8833333333333333</v>
      </c>
      <c r="I744" s="34">
        <v>2.2499999999999999E-2</v>
      </c>
      <c r="J744" s="36" t="str">
        <f t="shared" si="11"/>
        <v>Casi nada popular</v>
      </c>
      <c r="K744" s="42">
        <v>45390</v>
      </c>
    </row>
    <row r="745" spans="1:11">
      <c r="A745" s="39">
        <v>0.86</v>
      </c>
      <c r="B745" s="37">
        <v>124</v>
      </c>
      <c r="C745" s="38">
        <v>0.73699999999999999</v>
      </c>
      <c r="D745" s="39">
        <v>0.65600000000000003</v>
      </c>
      <c r="E745" s="37">
        <v>76</v>
      </c>
      <c r="F745" s="37">
        <v>0</v>
      </c>
      <c r="G745" s="37">
        <v>8</v>
      </c>
      <c r="H745" s="40">
        <f ca="1">LEFT(Music_Data[[#This Row],[Duration_minutes]],3)/60</f>
        <v>3.2</v>
      </c>
      <c r="I745" s="39">
        <v>0.11</v>
      </c>
      <c r="J745" s="41" t="str">
        <f t="shared" si="11"/>
        <v>Casi nada popular</v>
      </c>
      <c r="K745" s="43">
        <v>42707</v>
      </c>
    </row>
    <row r="746" spans="1:11">
      <c r="A746" s="34">
        <v>0.76600000000000001</v>
      </c>
      <c r="B746" s="32">
        <v>134</v>
      </c>
      <c r="C746" s="33">
        <v>0.76200000000000001</v>
      </c>
      <c r="D746" s="34">
        <v>0.442</v>
      </c>
      <c r="E746" s="32">
        <v>76</v>
      </c>
      <c r="F746" s="32">
        <v>1</v>
      </c>
      <c r="G746" s="32">
        <v>7</v>
      </c>
      <c r="H746" s="35">
        <f ca="1">LEFT(Music_Data[[#This Row],[Duration_minutes]],3)/60</f>
        <v>4.0666666666666664</v>
      </c>
      <c r="I746" s="34">
        <v>7.7600000000000004E-3</v>
      </c>
      <c r="J746" s="36" t="str">
        <f t="shared" si="11"/>
        <v>Casi nada popular</v>
      </c>
      <c r="K746" s="42">
        <v>45375</v>
      </c>
    </row>
    <row r="747" spans="1:11">
      <c r="A747" s="39">
        <v>0.496</v>
      </c>
      <c r="B747" s="37">
        <v>139</v>
      </c>
      <c r="C747" s="38">
        <v>0.69599999999999995</v>
      </c>
      <c r="D747" s="39">
        <v>0.47599999999999998</v>
      </c>
      <c r="E747" s="37">
        <v>76</v>
      </c>
      <c r="F747" s="37">
        <v>0</v>
      </c>
      <c r="G747" s="37">
        <v>9</v>
      </c>
      <c r="H747" s="40">
        <f ca="1">LEFT(Music_Data[[#This Row],[Duration_minutes]],3)/60</f>
        <v>3.4833333333333334</v>
      </c>
      <c r="I747" s="39">
        <v>0.27300000000000002</v>
      </c>
      <c r="J747" s="41" t="str">
        <f t="shared" si="11"/>
        <v>Casi nada popular</v>
      </c>
      <c r="K747" s="43">
        <v>44554</v>
      </c>
    </row>
    <row r="748" spans="1:11">
      <c r="A748" s="34">
        <v>0.50700000000000001</v>
      </c>
      <c r="B748" s="32">
        <v>114</v>
      </c>
      <c r="C748" s="33">
        <v>0.755</v>
      </c>
      <c r="D748" s="34">
        <v>0.60599999999999998</v>
      </c>
      <c r="E748" s="32">
        <v>76</v>
      </c>
      <c r="F748" s="32">
        <v>0</v>
      </c>
      <c r="G748" s="32">
        <v>3</v>
      </c>
      <c r="H748" s="35">
        <f ca="1">LEFT(Music_Data[[#This Row],[Duration_minutes]],3)/60</f>
        <v>3.3666666666666667</v>
      </c>
      <c r="I748" s="34">
        <v>0.29299999999999998</v>
      </c>
      <c r="J748" s="36" t="str">
        <f t="shared" si="11"/>
        <v>Casi nada popular</v>
      </c>
      <c r="K748" s="42">
        <v>45536</v>
      </c>
    </row>
    <row r="749" spans="1:11">
      <c r="A749" s="39">
        <v>0.76</v>
      </c>
      <c r="B749" s="37">
        <v>130</v>
      </c>
      <c r="C749" s="38">
        <v>0.435</v>
      </c>
      <c r="D749" s="39">
        <v>0.20599999999999999</v>
      </c>
      <c r="E749" s="37">
        <v>76</v>
      </c>
      <c r="F749" s="37">
        <v>0</v>
      </c>
      <c r="G749" s="37">
        <v>8</v>
      </c>
      <c r="H749" s="40">
        <f ca="1">LEFT(Music_Data[[#This Row],[Duration_minutes]],3)/60</f>
        <v>3.5</v>
      </c>
      <c r="I749" s="39">
        <v>1.7500000000000002E-2</v>
      </c>
      <c r="J749" s="41" t="str">
        <f t="shared" si="11"/>
        <v>Casi nada popular</v>
      </c>
      <c r="K749" s="43">
        <v>44603</v>
      </c>
    </row>
    <row r="750" spans="1:11">
      <c r="A750" s="34">
        <v>0.52</v>
      </c>
      <c r="B750" s="32">
        <v>128</v>
      </c>
      <c r="C750" s="33">
        <v>0.747</v>
      </c>
      <c r="D750" s="34">
        <v>0.60099999999999998</v>
      </c>
      <c r="E750" s="32">
        <v>76</v>
      </c>
      <c r="F750" s="32">
        <v>0</v>
      </c>
      <c r="G750" s="32">
        <v>10</v>
      </c>
      <c r="H750" s="35">
        <f ca="1">LEFT(Music_Data[[#This Row],[Duration_minutes]],3)/60</f>
        <v>3.25</v>
      </c>
      <c r="I750" s="34">
        <v>9.7699999999999995E-2</v>
      </c>
      <c r="J750" s="36" t="str">
        <f t="shared" si="11"/>
        <v>Casi nada popular</v>
      </c>
      <c r="K750" s="42">
        <v>45464</v>
      </c>
    </row>
    <row r="751" spans="1:11">
      <c r="A751" s="39">
        <v>0.33800000000000002</v>
      </c>
      <c r="B751" s="37">
        <v>128</v>
      </c>
      <c r="C751" s="38">
        <v>0.40799999999999997</v>
      </c>
      <c r="D751" s="39">
        <v>0.1</v>
      </c>
      <c r="E751" s="37">
        <v>76</v>
      </c>
      <c r="F751" s="37">
        <v>1</v>
      </c>
      <c r="G751" s="37">
        <v>4</v>
      </c>
      <c r="H751" s="40">
        <f ca="1">LEFT(Music_Data[[#This Row],[Duration_minutes]],3)/60</f>
        <v>3.25</v>
      </c>
      <c r="I751" s="39">
        <v>0.52100000000000002</v>
      </c>
      <c r="J751" s="41" t="str">
        <f t="shared" si="11"/>
        <v>Casi nada popular</v>
      </c>
      <c r="K751" s="43">
        <v>45464</v>
      </c>
    </row>
    <row r="752" spans="1:11">
      <c r="A752" s="34">
        <v>0.66300000000000003</v>
      </c>
      <c r="B752" s="32">
        <v>112</v>
      </c>
      <c r="C752" s="33">
        <v>0.67200000000000004</v>
      </c>
      <c r="D752" s="34">
        <v>0.38100000000000001</v>
      </c>
      <c r="E752" s="32">
        <v>76</v>
      </c>
      <c r="F752" s="32">
        <v>1</v>
      </c>
      <c r="G752" s="32">
        <v>3</v>
      </c>
      <c r="H752" s="35">
        <f ca="1">LEFT(Music_Data[[#This Row],[Duration_minutes]],3)/60</f>
        <v>3.75</v>
      </c>
      <c r="I752" s="34">
        <v>0.112</v>
      </c>
      <c r="J752" s="36" t="str">
        <f t="shared" si="11"/>
        <v>Casi nada popular</v>
      </c>
      <c r="K752" s="42">
        <v>45561</v>
      </c>
    </row>
    <row r="753" spans="1:11">
      <c r="A753" s="39">
        <v>0.50700000000000001</v>
      </c>
      <c r="B753" s="37">
        <v>155</v>
      </c>
      <c r="C753" s="38">
        <v>0.872</v>
      </c>
      <c r="D753" s="39">
        <v>0.50600000000000001</v>
      </c>
      <c r="E753" s="37">
        <v>76</v>
      </c>
      <c r="F753" s="37">
        <v>0</v>
      </c>
      <c r="G753" s="37">
        <v>4</v>
      </c>
      <c r="H753" s="40">
        <f ca="1">LEFT(Music_Data[[#This Row],[Duration_minutes]],3)/60</f>
        <v>3.7166666666666668</v>
      </c>
      <c r="I753" s="39">
        <v>0.19500000000000001</v>
      </c>
      <c r="J753" s="41" t="str">
        <f t="shared" si="11"/>
        <v>Casi nada popular</v>
      </c>
      <c r="K753" s="43">
        <v>45555</v>
      </c>
    </row>
    <row r="754" spans="1:11">
      <c r="A754" s="34">
        <v>0.53300000000000003</v>
      </c>
      <c r="B754" s="32">
        <v>120</v>
      </c>
      <c r="C754" s="33">
        <v>0.64500000000000002</v>
      </c>
      <c r="D754" s="34">
        <v>0.34899999999999998</v>
      </c>
      <c r="E754" s="32">
        <v>76</v>
      </c>
      <c r="F754" s="32">
        <v>1</v>
      </c>
      <c r="G754" s="32">
        <v>2</v>
      </c>
      <c r="H754" s="35">
        <f ca="1">LEFT(Music_Data[[#This Row],[Duration_minutes]],3)/60</f>
        <v>2.4333333333333331</v>
      </c>
      <c r="I754" s="34">
        <v>0.64400000000000002</v>
      </c>
      <c r="J754" s="36" t="str">
        <f t="shared" si="11"/>
        <v>Casi nada popular</v>
      </c>
      <c r="K754" s="42">
        <v>45526</v>
      </c>
    </row>
    <row r="755" spans="1:11">
      <c r="A755" s="39">
        <v>0.92400000000000004</v>
      </c>
      <c r="B755" s="37">
        <v>100</v>
      </c>
      <c r="C755" s="38">
        <v>0.59799999999999998</v>
      </c>
      <c r="D755" s="39">
        <v>0.61099999999999999</v>
      </c>
      <c r="E755" s="37">
        <v>76</v>
      </c>
      <c r="F755" s="37">
        <v>0</v>
      </c>
      <c r="G755" s="37">
        <v>6</v>
      </c>
      <c r="H755" s="40">
        <f ca="1">LEFT(Music_Data[[#This Row],[Duration_minutes]],3)/60</f>
        <v>3.2666666666666666</v>
      </c>
      <c r="I755" s="39">
        <v>2.0500000000000001E-2</v>
      </c>
      <c r="J755" s="41" t="str">
        <f t="shared" si="11"/>
        <v>Casi nada popular</v>
      </c>
      <c r="K755" s="43">
        <v>45261</v>
      </c>
    </row>
    <row r="756" spans="1:11">
      <c r="A756" s="34">
        <v>0.42199999999999999</v>
      </c>
      <c r="B756" s="32">
        <v>100</v>
      </c>
      <c r="C756" s="33">
        <v>0.57299999999999995</v>
      </c>
      <c r="D756" s="34">
        <v>0.69299999999999995</v>
      </c>
      <c r="E756" s="32">
        <v>76</v>
      </c>
      <c r="F756" s="32">
        <v>0</v>
      </c>
      <c r="G756" s="32">
        <v>10</v>
      </c>
      <c r="H756" s="35">
        <f ca="1">LEFT(Music_Data[[#This Row],[Duration_minutes]],3)/60</f>
        <v>2.4833333333333334</v>
      </c>
      <c r="I756" s="34">
        <v>0.55100000000000005</v>
      </c>
      <c r="J756" s="36" t="str">
        <f t="shared" si="11"/>
        <v>Casi nada popular</v>
      </c>
      <c r="K756" s="42">
        <v>45498</v>
      </c>
    </row>
    <row r="757" spans="1:11">
      <c r="A757" s="39">
        <v>0.58899999999999997</v>
      </c>
      <c r="B757" s="37">
        <v>100</v>
      </c>
      <c r="C757" s="38">
        <v>0.45500000000000002</v>
      </c>
      <c r="D757" s="39">
        <v>0.254</v>
      </c>
      <c r="E757" s="37">
        <v>75</v>
      </c>
      <c r="F757" s="37">
        <v>1</v>
      </c>
      <c r="G757" s="37">
        <v>11</v>
      </c>
      <c r="H757" s="40">
        <f ca="1">LEFT(Music_Data[[#This Row],[Duration_minutes]],3)/60</f>
        <v>2.4833333333333334</v>
      </c>
      <c r="I757" s="39">
        <v>1.8400000000000001E-3</v>
      </c>
      <c r="J757" s="41" t="str">
        <f t="shared" si="11"/>
        <v>Casi nada popular</v>
      </c>
      <c r="K757" s="43">
        <v>45498</v>
      </c>
    </row>
    <row r="758" spans="1:11">
      <c r="A758" s="34">
        <v>0.376</v>
      </c>
      <c r="B758" s="32">
        <v>109</v>
      </c>
      <c r="C758" s="33">
        <v>0.53</v>
      </c>
      <c r="D758" s="34">
        <v>0.188</v>
      </c>
      <c r="E758" s="32">
        <v>75</v>
      </c>
      <c r="F758" s="32">
        <v>0</v>
      </c>
      <c r="G758" s="32">
        <v>9</v>
      </c>
      <c r="H758" s="35">
        <f ca="1">LEFT(Music_Data[[#This Row],[Duration_minutes]],3)/60</f>
        <v>2.5666666666666669</v>
      </c>
      <c r="I758" s="34">
        <v>3.04E-2</v>
      </c>
      <c r="J758" s="36" t="str">
        <f t="shared" si="11"/>
        <v>Casi nada popular</v>
      </c>
      <c r="K758" s="42">
        <v>45526</v>
      </c>
    </row>
    <row r="759" spans="1:11">
      <c r="A759" s="39">
        <v>0.90500000000000003</v>
      </c>
      <c r="B759" s="37">
        <v>999</v>
      </c>
      <c r="C759" s="38">
        <v>0.60199999999999998</v>
      </c>
      <c r="D759" s="39">
        <v>0.41099999999999998</v>
      </c>
      <c r="E759" s="37">
        <v>75</v>
      </c>
      <c r="F759" s="37">
        <v>1</v>
      </c>
      <c r="G759" s="37">
        <v>2</v>
      </c>
      <c r="H759" s="40">
        <f ca="1">LEFT(Music_Data[[#This Row],[Duration_minutes]],3)/60</f>
        <v>3.7</v>
      </c>
      <c r="I759" s="39">
        <v>2.02E-4</v>
      </c>
      <c r="J759" s="41" t="str">
        <f t="shared" si="11"/>
        <v>Casi nada popular</v>
      </c>
      <c r="K759" s="43">
        <v>45324</v>
      </c>
    </row>
    <row r="760" spans="1:11">
      <c r="A760" s="34">
        <v>0.80800000000000005</v>
      </c>
      <c r="B760" s="32">
        <v>999</v>
      </c>
      <c r="C760" s="33">
        <v>0.57699999999999996</v>
      </c>
      <c r="D760" s="34">
        <v>0.86899999999999999</v>
      </c>
      <c r="E760" s="32">
        <v>75</v>
      </c>
      <c r="F760" s="32">
        <v>0</v>
      </c>
      <c r="G760" s="32">
        <v>1</v>
      </c>
      <c r="H760" s="35">
        <f ca="1">LEFT(Music_Data[[#This Row],[Duration_minutes]],3)/60</f>
        <v>2.95</v>
      </c>
      <c r="I760" s="34">
        <v>3.3799999999999997E-2</v>
      </c>
      <c r="J760" s="36" t="str">
        <f t="shared" si="11"/>
        <v>Casi nada popular</v>
      </c>
      <c r="K760" s="42">
        <v>45547</v>
      </c>
    </row>
    <row r="761" spans="1:11">
      <c r="A761" s="39">
        <v>0.93200000000000005</v>
      </c>
      <c r="B761" s="37">
        <v>103</v>
      </c>
      <c r="C761" s="38">
        <v>0.56399999999999995</v>
      </c>
      <c r="D761" s="39">
        <v>0.61899999999999999</v>
      </c>
      <c r="E761" s="37">
        <v>75</v>
      </c>
      <c r="F761" s="37">
        <v>1</v>
      </c>
      <c r="G761" s="37">
        <v>11</v>
      </c>
      <c r="H761" s="40">
        <f ca="1">LEFT(Music_Data[[#This Row],[Duration_minutes]],3)/60</f>
        <v>2.8666666666666667</v>
      </c>
      <c r="I761" s="39">
        <v>1.2999999999999999E-2</v>
      </c>
      <c r="J761" s="41" t="str">
        <f t="shared" si="11"/>
        <v>Casi nada popular</v>
      </c>
      <c r="K761" s="43">
        <v>45519</v>
      </c>
    </row>
    <row r="762" spans="1:11">
      <c r="A762" s="34">
        <v>0.92700000000000005</v>
      </c>
      <c r="B762" s="32">
        <v>100</v>
      </c>
      <c r="C762" s="33">
        <v>0.33300000000000002</v>
      </c>
      <c r="D762" s="34">
        <v>0.38500000000000001</v>
      </c>
      <c r="E762" s="32">
        <v>75</v>
      </c>
      <c r="F762" s="32">
        <v>0</v>
      </c>
      <c r="G762" s="32">
        <v>9</v>
      </c>
      <c r="H762" s="35">
        <f ca="1">LEFT(Music_Data[[#This Row],[Duration_minutes]],3)/60</f>
        <v>3.5666666666666669</v>
      </c>
      <c r="I762" s="34">
        <v>2.8999999999999998E-3</v>
      </c>
      <c r="J762" s="36" t="str">
        <f t="shared" si="11"/>
        <v>Casi nada popular</v>
      </c>
      <c r="K762" s="42">
        <v>45560</v>
      </c>
    </row>
    <row r="763" spans="1:11">
      <c r="A763" s="39">
        <v>0.26200000000000001</v>
      </c>
      <c r="B763" s="37">
        <v>100</v>
      </c>
      <c r="C763" s="38">
        <v>0.48099999999999998</v>
      </c>
      <c r="D763" s="39">
        <v>0.375</v>
      </c>
      <c r="E763" s="37">
        <v>75</v>
      </c>
      <c r="F763" s="37">
        <v>1</v>
      </c>
      <c r="G763" s="37">
        <v>7</v>
      </c>
      <c r="H763" s="40">
        <f ca="1">LEFT(Music_Data[[#This Row],[Duration_minutes]],3)/60</f>
        <v>2.6</v>
      </c>
      <c r="I763" s="39">
        <v>0.73499999999999999</v>
      </c>
      <c r="J763" s="41" t="str">
        <f t="shared" si="11"/>
        <v>Casi nada popular</v>
      </c>
      <c r="K763" s="43">
        <v>45435</v>
      </c>
    </row>
    <row r="764" spans="1:11">
      <c r="A764" s="34">
        <v>0.44900000000000001</v>
      </c>
      <c r="B764" s="32">
        <v>169</v>
      </c>
      <c r="C764" s="33">
        <v>0.623</v>
      </c>
      <c r="D764" s="34">
        <v>0.57299999999999995</v>
      </c>
      <c r="E764" s="32">
        <v>75</v>
      </c>
      <c r="F764" s="32">
        <v>1</v>
      </c>
      <c r="G764" s="32">
        <v>5</v>
      </c>
      <c r="H764" s="35">
        <f ca="1">LEFT(Music_Data[[#This Row],[Duration_minutes]],3)/60</f>
        <v>2.5</v>
      </c>
      <c r="I764" s="34">
        <v>0.21199999999999999</v>
      </c>
      <c r="J764" s="36" t="str">
        <f t="shared" si="11"/>
        <v>Casi nada popular</v>
      </c>
      <c r="K764" s="42">
        <v>45540</v>
      </c>
    </row>
    <row r="765" spans="1:11">
      <c r="A765" s="39">
        <v>0.44900000000000001</v>
      </c>
      <c r="B765" s="37">
        <v>148</v>
      </c>
      <c r="C765" s="38">
        <v>0.44700000000000001</v>
      </c>
      <c r="D765" s="39">
        <v>3.5999999999999997E-2</v>
      </c>
      <c r="E765" s="37">
        <v>75</v>
      </c>
      <c r="F765" s="37">
        <v>1</v>
      </c>
      <c r="G765" s="37">
        <v>2</v>
      </c>
      <c r="H765" s="40">
        <f ca="1">LEFT(Music_Data[[#This Row],[Duration_minutes]],3)/60</f>
        <v>2.7166666666666668</v>
      </c>
      <c r="I765" s="39">
        <v>0.93400000000000005</v>
      </c>
      <c r="J765" s="41" t="str">
        <f t="shared" si="11"/>
        <v>Casi nada popular</v>
      </c>
      <c r="K765" s="43">
        <v>45526</v>
      </c>
    </row>
    <row r="766" spans="1:11">
      <c r="A766" s="34">
        <v>0.73</v>
      </c>
      <c r="B766" s="32">
        <v>960</v>
      </c>
      <c r="C766" s="33">
        <v>0.72899999999999998</v>
      </c>
      <c r="D766" s="34">
        <v>0.41</v>
      </c>
      <c r="E766" s="32">
        <v>75</v>
      </c>
      <c r="F766" s="32">
        <v>0</v>
      </c>
      <c r="G766" s="32">
        <v>11</v>
      </c>
      <c r="H766" s="35">
        <f ca="1">LEFT(Music_Data[[#This Row],[Duration_minutes]],3)/60</f>
        <v>2.7</v>
      </c>
      <c r="I766" s="34">
        <v>1.65E-3</v>
      </c>
      <c r="J766" s="36" t="str">
        <f t="shared" si="11"/>
        <v>Casi nada popular</v>
      </c>
      <c r="K766" s="42">
        <v>45212</v>
      </c>
    </row>
    <row r="767" spans="1:11">
      <c r="A767" s="39">
        <v>0.67</v>
      </c>
      <c r="B767" s="37">
        <v>960</v>
      </c>
      <c r="C767" s="38">
        <v>0.79</v>
      </c>
      <c r="D767" s="39">
        <v>0.40799999999999997</v>
      </c>
      <c r="E767" s="37">
        <v>75</v>
      </c>
      <c r="F767" s="37">
        <v>1</v>
      </c>
      <c r="G767" s="37">
        <v>1</v>
      </c>
      <c r="H767" s="40">
        <f ca="1">LEFT(Music_Data[[#This Row],[Duration_minutes]],3)/60</f>
        <v>2.7</v>
      </c>
      <c r="I767" s="39">
        <v>0.377</v>
      </c>
      <c r="J767" s="41" t="str">
        <f t="shared" si="11"/>
        <v>Casi nada popular</v>
      </c>
      <c r="K767" s="43">
        <v>45212</v>
      </c>
    </row>
    <row r="768" spans="1:11">
      <c r="A768" s="34">
        <v>0.73299999999999998</v>
      </c>
      <c r="B768" s="32">
        <v>975</v>
      </c>
      <c r="C768" s="33">
        <v>0.82499999999999996</v>
      </c>
      <c r="D768" s="34">
        <v>0.62</v>
      </c>
      <c r="E768" s="32">
        <v>75</v>
      </c>
      <c r="F768" s="32">
        <v>0</v>
      </c>
      <c r="G768" s="32">
        <v>1</v>
      </c>
      <c r="H768" s="35">
        <f ca="1">LEFT(Music_Data[[#This Row],[Duration_minutes]],3)/60</f>
        <v>4</v>
      </c>
      <c r="I768" s="34">
        <v>0.34899999999999998</v>
      </c>
      <c r="J768" s="36" t="str">
        <f t="shared" si="11"/>
        <v>Casi nada popular</v>
      </c>
      <c r="K768" s="42">
        <v>45204</v>
      </c>
    </row>
    <row r="769" spans="1:11">
      <c r="A769" s="39">
        <v>0.66500000000000004</v>
      </c>
      <c r="B769" s="37">
        <v>919</v>
      </c>
      <c r="C769" s="38">
        <v>0.58299999999999996</v>
      </c>
      <c r="D769" s="39">
        <v>0.46300000000000002</v>
      </c>
      <c r="E769" s="37">
        <v>75</v>
      </c>
      <c r="F769" s="37">
        <v>1</v>
      </c>
      <c r="G769" s="37">
        <v>1</v>
      </c>
      <c r="H769" s="40">
        <f ca="1">LEFT(Music_Data[[#This Row],[Duration_minutes]],3)/60</f>
        <v>4.9666666666666668</v>
      </c>
      <c r="I769" s="39">
        <v>0.314</v>
      </c>
      <c r="J769" s="41" t="str">
        <f t="shared" si="11"/>
        <v>Casi nada popular</v>
      </c>
      <c r="K769" s="43">
        <v>45604</v>
      </c>
    </row>
    <row r="770" spans="1:11">
      <c r="A770" s="34">
        <v>0.34599999999999997</v>
      </c>
      <c r="B770" s="32">
        <v>919</v>
      </c>
      <c r="C770" s="33">
        <v>0.96299999999999997</v>
      </c>
      <c r="D770" s="34">
        <v>0.56200000000000006</v>
      </c>
      <c r="E770" s="32">
        <v>75</v>
      </c>
      <c r="F770" s="32">
        <v>0</v>
      </c>
      <c r="G770" s="32">
        <v>5</v>
      </c>
      <c r="H770" s="35">
        <f ca="1">LEFT(Music_Data[[#This Row],[Duration_minutes]],3)/60</f>
        <v>4.9666666666666668</v>
      </c>
      <c r="I770" s="34">
        <v>3.5499999999999997E-2</v>
      </c>
      <c r="J770" s="36" t="str">
        <f t="shared" si="11"/>
        <v>Casi nada popular</v>
      </c>
      <c r="K770" s="42">
        <v>45604</v>
      </c>
    </row>
    <row r="771" spans="1:11">
      <c r="A771" s="39">
        <v>0.874</v>
      </c>
      <c r="B771" s="37">
        <v>820</v>
      </c>
      <c r="C771" s="38">
        <v>0.77400000000000002</v>
      </c>
      <c r="D771" s="39">
        <v>0.92700000000000005</v>
      </c>
      <c r="E771" s="37">
        <v>75</v>
      </c>
      <c r="F771" s="37">
        <v>0</v>
      </c>
      <c r="G771" s="37">
        <v>5</v>
      </c>
      <c r="H771" s="40">
        <f ca="1">LEFT(Music_Data[[#This Row],[Duration_minutes]],3)/60</f>
        <v>3.75</v>
      </c>
      <c r="I771" s="39">
        <v>0.14199999999999999</v>
      </c>
      <c r="J771" s="41" t="str">
        <f t="shared" si="11"/>
        <v>Casi nada popular</v>
      </c>
      <c r="K771" s="43">
        <v>45527</v>
      </c>
    </row>
    <row r="772" spans="1:11">
      <c r="A772" s="34">
        <v>0.59399999999999997</v>
      </c>
      <c r="B772" s="32">
        <v>100</v>
      </c>
      <c r="C772" s="33">
        <v>0.69399999999999995</v>
      </c>
      <c r="D772" s="34">
        <v>0.67200000000000004</v>
      </c>
      <c r="E772" s="32">
        <v>75</v>
      </c>
      <c r="F772" s="32">
        <v>0</v>
      </c>
      <c r="G772" s="32">
        <v>8</v>
      </c>
      <c r="H772" s="35">
        <f ca="1">LEFT(Music_Data[[#This Row],[Duration_minutes]],3)/60</f>
        <v>2.2333333333333334</v>
      </c>
      <c r="I772" s="34">
        <v>0.39600000000000002</v>
      </c>
      <c r="J772" s="36" t="str">
        <f t="shared" ref="J772:J835" si="12">IF(E772&gt;=94,"Muy Popular",IF(E772&gt;=86,"Popular",IF(E772&gt;=78,"No muy popular","Casi nada popular")))</f>
        <v>Casi nada popular</v>
      </c>
      <c r="K772" s="42">
        <v>45513</v>
      </c>
    </row>
    <row r="773" spans="1:11">
      <c r="A773" s="39">
        <v>0.74</v>
      </c>
      <c r="B773" s="37">
        <v>169</v>
      </c>
      <c r="C773" s="38">
        <v>0.748</v>
      </c>
      <c r="D773" s="39">
        <v>0.61799999999999999</v>
      </c>
      <c r="E773" s="37">
        <v>75</v>
      </c>
      <c r="F773" s="37">
        <v>0</v>
      </c>
      <c r="G773" s="37">
        <v>7</v>
      </c>
      <c r="H773" s="40">
        <f ca="1">LEFT(Music_Data[[#This Row],[Duration_minutes]],3)/60</f>
        <v>2.8666666666666667</v>
      </c>
      <c r="I773" s="39">
        <v>2.92E-2</v>
      </c>
      <c r="J773" s="41" t="str">
        <f t="shared" si="12"/>
        <v>Casi nada popular</v>
      </c>
      <c r="K773" s="43">
        <v>45148</v>
      </c>
    </row>
    <row r="774" spans="1:11">
      <c r="A774" s="34">
        <v>0.85599999999999998</v>
      </c>
      <c r="B774" s="32">
        <v>115</v>
      </c>
      <c r="C774" s="33">
        <v>0.69099999999999995</v>
      </c>
      <c r="D774" s="34">
        <v>0.71299999999999997</v>
      </c>
      <c r="E774" s="32">
        <v>75</v>
      </c>
      <c r="F774" s="32">
        <v>0</v>
      </c>
      <c r="G774" s="32">
        <v>6</v>
      </c>
      <c r="H774" s="35">
        <f ca="1">LEFT(Music_Data[[#This Row],[Duration_minutes]],3)/60</f>
        <v>3.9</v>
      </c>
      <c r="I774" s="34">
        <v>0.2</v>
      </c>
      <c r="J774" s="36" t="str">
        <f t="shared" si="12"/>
        <v>Casi nada popular</v>
      </c>
      <c r="K774" s="42">
        <v>45503</v>
      </c>
    </row>
    <row r="775" spans="1:11">
      <c r="A775" s="39">
        <v>0.35199999999999998</v>
      </c>
      <c r="B775" s="37">
        <v>101</v>
      </c>
      <c r="C775" s="38">
        <v>0.45</v>
      </c>
      <c r="D775" s="39">
        <v>0.40799999999999997</v>
      </c>
      <c r="E775" s="37">
        <v>75</v>
      </c>
      <c r="F775" s="37">
        <v>0</v>
      </c>
      <c r="G775" s="37">
        <v>1</v>
      </c>
      <c r="H775" s="40">
        <f ca="1">LEFT(Music_Data[[#This Row],[Duration_minutes]],3)/60</f>
        <v>4.0999999999999996</v>
      </c>
      <c r="I775" s="39">
        <v>0.64900000000000002</v>
      </c>
      <c r="J775" s="41" t="str">
        <f t="shared" si="12"/>
        <v>Casi nada popular</v>
      </c>
      <c r="K775" s="43">
        <v>45596</v>
      </c>
    </row>
    <row r="776" spans="1:11">
      <c r="A776" s="34">
        <v>0.49299999999999999</v>
      </c>
      <c r="B776" s="32">
        <v>833</v>
      </c>
      <c r="C776" s="33">
        <v>0.34699999999999998</v>
      </c>
      <c r="D776" s="34">
        <v>0.308</v>
      </c>
      <c r="E776" s="32">
        <v>75</v>
      </c>
      <c r="F776" s="32">
        <v>0</v>
      </c>
      <c r="G776" s="32">
        <v>8</v>
      </c>
      <c r="H776" s="35">
        <f ca="1">LEFT(Music_Data[[#This Row],[Duration_minutes]],3)/60</f>
        <v>3.15</v>
      </c>
      <c r="I776" s="34">
        <v>0.45500000000000002</v>
      </c>
      <c r="J776" s="36" t="str">
        <f t="shared" si="12"/>
        <v>Casi nada popular</v>
      </c>
      <c r="K776" s="42">
        <v>44680</v>
      </c>
    </row>
    <row r="777" spans="1:11">
      <c r="A777" s="39">
        <v>0.5</v>
      </c>
      <c r="B777" s="37">
        <v>985</v>
      </c>
      <c r="C777" s="38">
        <v>0.60199999999999998</v>
      </c>
      <c r="D777" s="39">
        <v>0.39500000000000002</v>
      </c>
      <c r="E777" s="37">
        <v>75</v>
      </c>
      <c r="F777" s="37">
        <v>1</v>
      </c>
      <c r="G777" s="37">
        <v>8</v>
      </c>
      <c r="H777" s="40">
        <f ca="1">LEFT(Music_Data[[#This Row],[Duration_minutes]],3)/60</f>
        <v>3.25</v>
      </c>
      <c r="I777" s="39">
        <v>0.47699999999999998</v>
      </c>
      <c r="J777" s="41" t="str">
        <f t="shared" si="12"/>
        <v>Casi nada popular</v>
      </c>
      <c r="K777" s="43">
        <v>45568</v>
      </c>
    </row>
    <row r="778" spans="1:11">
      <c r="A778" s="34">
        <v>0.58799999999999997</v>
      </c>
      <c r="B778" s="32">
        <v>176</v>
      </c>
      <c r="C778" s="33">
        <v>0.68600000000000005</v>
      </c>
      <c r="D778" s="34">
        <v>0.61699999999999999</v>
      </c>
      <c r="E778" s="32">
        <v>75</v>
      </c>
      <c r="F778" s="32">
        <v>0</v>
      </c>
      <c r="G778" s="32">
        <v>7</v>
      </c>
      <c r="H778" s="35">
        <f ca="1">LEFT(Music_Data[[#This Row],[Duration_minutes]],3)/60</f>
        <v>4.0333333333333332</v>
      </c>
      <c r="I778" s="34">
        <v>0.17799999999999999</v>
      </c>
      <c r="J778" s="36" t="str">
        <f t="shared" si="12"/>
        <v>Casi nada popular</v>
      </c>
      <c r="K778" s="42">
        <v>43644</v>
      </c>
    </row>
    <row r="779" spans="1:11">
      <c r="A779" s="39">
        <v>0.5</v>
      </c>
      <c r="B779" s="37">
        <v>175</v>
      </c>
      <c r="C779" s="38">
        <v>0.85599999999999998</v>
      </c>
      <c r="D779" s="39">
        <v>0.88600000000000001</v>
      </c>
      <c r="E779" s="37">
        <v>75</v>
      </c>
      <c r="F779" s="37">
        <v>1</v>
      </c>
      <c r="G779" s="37">
        <v>11</v>
      </c>
      <c r="H779" s="40">
        <f ca="1">LEFT(Music_Data[[#This Row],[Duration_minutes]],3)/60</f>
        <v>3.45</v>
      </c>
      <c r="I779" s="39">
        <v>0.48699999999999999</v>
      </c>
      <c r="J779" s="41" t="str">
        <f t="shared" si="12"/>
        <v>Casi nada popular</v>
      </c>
      <c r="K779" s="43">
        <v>42307</v>
      </c>
    </row>
    <row r="780" spans="1:11">
      <c r="A780" s="34">
        <v>0.39400000000000002</v>
      </c>
      <c r="B780" s="32">
        <v>919</v>
      </c>
      <c r="C780" s="33">
        <v>0.76400000000000001</v>
      </c>
      <c r="D780" s="34">
        <v>0.46500000000000002</v>
      </c>
      <c r="E780" s="32">
        <v>75</v>
      </c>
      <c r="F780" s="32">
        <v>1</v>
      </c>
      <c r="G780" s="32">
        <v>8</v>
      </c>
      <c r="H780" s="35">
        <f ca="1">LEFT(Music_Data[[#This Row],[Duration_minutes]],3)/60</f>
        <v>3.2833333333333332</v>
      </c>
      <c r="I780" s="34">
        <v>0.23100000000000001</v>
      </c>
      <c r="J780" s="36" t="str">
        <f t="shared" si="12"/>
        <v>Casi nada popular</v>
      </c>
      <c r="K780" s="42">
        <v>45008</v>
      </c>
    </row>
    <row r="781" spans="1:11">
      <c r="A781" s="39">
        <v>0.59299999999999997</v>
      </c>
      <c r="B781" s="37">
        <v>105</v>
      </c>
      <c r="C781" s="38">
        <v>0.79</v>
      </c>
      <c r="D781" s="39">
        <v>0.72</v>
      </c>
      <c r="E781" s="37">
        <v>75</v>
      </c>
      <c r="F781" s="37">
        <v>0</v>
      </c>
      <c r="G781" s="37">
        <v>1</v>
      </c>
      <c r="H781" s="40">
        <f ca="1">LEFT(Music_Data[[#This Row],[Duration_minutes]],3)/60</f>
        <v>3.0333333333333332</v>
      </c>
      <c r="I781" s="39">
        <v>9.8299999999999998E-2</v>
      </c>
      <c r="J781" s="41" t="str">
        <f t="shared" si="12"/>
        <v>Casi nada popular</v>
      </c>
      <c r="K781" s="43">
        <v>45611</v>
      </c>
    </row>
    <row r="782" spans="1:11">
      <c r="A782" s="34">
        <v>0.76600000000000001</v>
      </c>
      <c r="B782" s="32">
        <v>199</v>
      </c>
      <c r="C782" s="33">
        <v>0.73499999999999999</v>
      </c>
      <c r="D782" s="34">
        <v>0.6</v>
      </c>
      <c r="E782" s="32">
        <v>75</v>
      </c>
      <c r="F782" s="32">
        <v>1</v>
      </c>
      <c r="G782" s="32">
        <v>1</v>
      </c>
      <c r="H782" s="35">
        <f ca="1">LEFT(Music_Data[[#This Row],[Duration_minutes]],3)/60</f>
        <v>2.3666666666666667</v>
      </c>
      <c r="I782" s="34">
        <v>2.5000000000000001E-2</v>
      </c>
      <c r="J782" s="36" t="str">
        <f t="shared" si="12"/>
        <v>Casi nada popular</v>
      </c>
      <c r="K782" s="42">
        <v>45510</v>
      </c>
    </row>
    <row r="783" spans="1:11">
      <c r="A783" s="39">
        <v>0.51</v>
      </c>
      <c r="B783" s="37">
        <v>920</v>
      </c>
      <c r="C783" s="38">
        <v>0.82899999999999996</v>
      </c>
      <c r="D783" s="39">
        <v>0.45</v>
      </c>
      <c r="E783" s="37">
        <v>75</v>
      </c>
      <c r="F783" s="37">
        <v>0</v>
      </c>
      <c r="G783" s="37">
        <v>5</v>
      </c>
      <c r="H783" s="40">
        <f ca="1">LEFT(Music_Data[[#This Row],[Duration_minutes]],3)/60</f>
        <v>2.9666666666666668</v>
      </c>
      <c r="I783" s="39">
        <v>8.2100000000000003E-3</v>
      </c>
      <c r="J783" s="41" t="str">
        <f t="shared" si="12"/>
        <v>Casi nada popular</v>
      </c>
      <c r="K783" s="43">
        <v>44687</v>
      </c>
    </row>
    <row r="784" spans="1:11">
      <c r="A784" s="34">
        <v>0.74099999999999999</v>
      </c>
      <c r="B784" s="32">
        <v>139</v>
      </c>
      <c r="C784" s="33">
        <v>0.72</v>
      </c>
      <c r="D784" s="34">
        <v>0.35699999999999998</v>
      </c>
      <c r="E784" s="32">
        <v>75</v>
      </c>
      <c r="F784" s="32">
        <v>0</v>
      </c>
      <c r="G784" s="32">
        <v>10</v>
      </c>
      <c r="H784" s="35">
        <f ca="1">LEFT(Music_Data[[#This Row],[Duration_minutes]],3)/60</f>
        <v>2.6666666666666665</v>
      </c>
      <c r="I784" s="34">
        <v>0.10100000000000001</v>
      </c>
      <c r="J784" s="36" t="str">
        <f t="shared" si="12"/>
        <v>Casi nada popular</v>
      </c>
      <c r="K784" s="42">
        <v>45527</v>
      </c>
    </row>
    <row r="785" spans="1:11">
      <c r="A785" s="39">
        <v>0.73799999999999999</v>
      </c>
      <c r="B785" s="37">
        <v>100</v>
      </c>
      <c r="C785" s="38">
        <v>0.59299999999999997</v>
      </c>
      <c r="D785" s="39">
        <v>0.59099999999999997</v>
      </c>
      <c r="E785" s="37">
        <v>75</v>
      </c>
      <c r="F785" s="37">
        <v>0</v>
      </c>
      <c r="G785" s="37">
        <v>11</v>
      </c>
      <c r="H785" s="40">
        <f ca="1">LEFT(Music_Data[[#This Row],[Duration_minutes]],3)/60</f>
        <v>2.2666666666666666</v>
      </c>
      <c r="I785" s="39">
        <v>0.26900000000000002</v>
      </c>
      <c r="J785" s="41" t="str">
        <f t="shared" si="12"/>
        <v>Casi nada popular</v>
      </c>
      <c r="K785" s="43">
        <v>45485</v>
      </c>
    </row>
    <row r="786" spans="1:11">
      <c r="A786" s="34">
        <v>0.81</v>
      </c>
      <c r="B786" s="32">
        <v>839</v>
      </c>
      <c r="C786" s="33">
        <v>0.61299999999999999</v>
      </c>
      <c r="D786" s="34">
        <v>0.68600000000000005</v>
      </c>
      <c r="E786" s="32">
        <v>75</v>
      </c>
      <c r="F786" s="32">
        <v>1</v>
      </c>
      <c r="G786" s="32">
        <v>1</v>
      </c>
      <c r="H786" s="35">
        <f ca="1">LEFT(Music_Data[[#This Row],[Duration_minutes]],3)/60</f>
        <v>2.6666666666666665</v>
      </c>
      <c r="I786" s="34">
        <v>0.83199999999999996</v>
      </c>
      <c r="J786" s="36" t="str">
        <f t="shared" si="12"/>
        <v>Casi nada popular</v>
      </c>
      <c r="K786" s="42">
        <v>44169</v>
      </c>
    </row>
    <row r="787" spans="1:11">
      <c r="A787" s="39">
        <v>0.96699999999999997</v>
      </c>
      <c r="B787" s="37">
        <v>949</v>
      </c>
      <c r="C787" s="38">
        <v>0.628</v>
      </c>
      <c r="D787" s="39">
        <v>0.39900000000000002</v>
      </c>
      <c r="E787" s="37">
        <v>75</v>
      </c>
      <c r="F787" s="37">
        <v>1</v>
      </c>
      <c r="G787" s="37">
        <v>1</v>
      </c>
      <c r="H787" s="40">
        <f ca="1">LEFT(Music_Data[[#This Row],[Duration_minutes]],3)/60</f>
        <v>3.2833333333333332</v>
      </c>
      <c r="I787" s="39">
        <v>3.9800000000000002E-2</v>
      </c>
      <c r="J787" s="41" t="str">
        <f t="shared" si="12"/>
        <v>Casi nada popular</v>
      </c>
      <c r="K787" s="43">
        <v>45114</v>
      </c>
    </row>
    <row r="788" spans="1:11">
      <c r="A788" s="34">
        <v>0.89700000000000002</v>
      </c>
      <c r="B788" s="32">
        <v>799</v>
      </c>
      <c r="C788" s="33">
        <v>0.68600000000000005</v>
      </c>
      <c r="D788" s="34">
        <v>0.35499999999999998</v>
      </c>
      <c r="E788" s="32">
        <v>75</v>
      </c>
      <c r="F788" s="32">
        <v>0</v>
      </c>
      <c r="G788" s="32">
        <v>11</v>
      </c>
      <c r="H788" s="35">
        <f ca="1">LEFT(Music_Data[[#This Row],[Duration_minutes]],3)/60</f>
        <v>4.3</v>
      </c>
      <c r="I788" s="34">
        <v>1.03E-2</v>
      </c>
      <c r="J788" s="36" t="str">
        <f t="shared" si="12"/>
        <v>Casi nada popular</v>
      </c>
      <c r="K788" s="42">
        <v>44687</v>
      </c>
    </row>
    <row r="789" spans="1:11">
      <c r="A789" s="39">
        <v>0.79300000000000004</v>
      </c>
      <c r="B789" s="37">
        <v>128</v>
      </c>
      <c r="C789" s="38">
        <v>0.69599999999999995</v>
      </c>
      <c r="D789" s="39">
        <v>0.69799999999999995</v>
      </c>
      <c r="E789" s="37">
        <v>75</v>
      </c>
      <c r="F789" s="37">
        <v>1</v>
      </c>
      <c r="G789" s="37">
        <v>8</v>
      </c>
      <c r="H789" s="40">
        <f ca="1">LEFT(Music_Data[[#This Row],[Duration_minutes]],3)/60</f>
        <v>3.3</v>
      </c>
      <c r="I789" s="39">
        <v>6.83E-2</v>
      </c>
      <c r="J789" s="41" t="str">
        <f t="shared" si="12"/>
        <v>Casi nada popular</v>
      </c>
      <c r="K789" s="43">
        <v>44748</v>
      </c>
    </row>
    <row r="790" spans="1:11">
      <c r="A790" s="34">
        <v>0.83599999999999997</v>
      </c>
      <c r="B790" s="32">
        <v>111</v>
      </c>
      <c r="C790" s="33">
        <v>0.54300000000000004</v>
      </c>
      <c r="D790" s="34">
        <v>0.56000000000000005</v>
      </c>
      <c r="E790" s="32">
        <v>75</v>
      </c>
      <c r="F790" s="32">
        <v>0</v>
      </c>
      <c r="G790" s="32">
        <v>4</v>
      </c>
      <c r="H790" s="35">
        <f ca="1">LEFT(Music_Data[[#This Row],[Duration_minutes]],3)/60</f>
        <v>2.85</v>
      </c>
      <c r="I790" s="34">
        <v>6.4700000000000001E-4</v>
      </c>
      <c r="J790" s="36" t="str">
        <f t="shared" si="12"/>
        <v>Casi nada popular</v>
      </c>
      <c r="K790" s="42">
        <v>45582</v>
      </c>
    </row>
    <row r="791" spans="1:11">
      <c r="A791" s="39">
        <v>0.91600000000000004</v>
      </c>
      <c r="B791" s="37">
        <v>795</v>
      </c>
      <c r="C791" s="38">
        <v>0.57999999999999996</v>
      </c>
      <c r="D791" s="39">
        <v>0.68300000000000005</v>
      </c>
      <c r="E791" s="37">
        <v>75</v>
      </c>
      <c r="F791" s="37">
        <v>0</v>
      </c>
      <c r="G791" s="37">
        <v>3</v>
      </c>
      <c r="H791" s="40">
        <f ca="1">LEFT(Music_Data[[#This Row],[Duration_minutes]],3)/60</f>
        <v>3.95</v>
      </c>
      <c r="I791" s="39">
        <v>2.9700000000000001E-4</v>
      </c>
      <c r="J791" s="41" t="str">
        <f t="shared" si="12"/>
        <v>Casi nada popular</v>
      </c>
      <c r="K791" s="43">
        <v>45561</v>
      </c>
    </row>
    <row r="792" spans="1:11">
      <c r="A792" s="34">
        <v>0.83499999999999996</v>
      </c>
      <c r="B792" s="32">
        <v>982</v>
      </c>
      <c r="C792" s="33">
        <v>0.57199999999999995</v>
      </c>
      <c r="D792" s="34">
        <v>0.79500000000000004</v>
      </c>
      <c r="E792" s="32">
        <v>75</v>
      </c>
      <c r="F792" s="32">
        <v>1</v>
      </c>
      <c r="G792" s="32">
        <v>0</v>
      </c>
      <c r="H792" s="35">
        <f ca="1">LEFT(Music_Data[[#This Row],[Duration_minutes]],3)/60</f>
        <v>3.0666666666666669</v>
      </c>
      <c r="I792" s="34">
        <v>0.17100000000000001</v>
      </c>
      <c r="J792" s="36" t="str">
        <f t="shared" si="12"/>
        <v>Casi nada popular</v>
      </c>
      <c r="K792" s="42">
        <v>44827</v>
      </c>
    </row>
    <row r="793" spans="1:11">
      <c r="A793" s="39">
        <v>0.44900000000000001</v>
      </c>
      <c r="B793" s="37">
        <v>980</v>
      </c>
      <c r="C793" s="38">
        <v>0.623</v>
      </c>
      <c r="D793" s="39">
        <v>0.57299999999999995</v>
      </c>
      <c r="E793" s="37">
        <v>75</v>
      </c>
      <c r="F793" s="37">
        <v>1</v>
      </c>
      <c r="G793" s="37">
        <v>5</v>
      </c>
      <c r="H793" s="40">
        <f ca="1">LEFT(Music_Data[[#This Row],[Duration_minutes]],3)/60</f>
        <v>3.55</v>
      </c>
      <c r="I793" s="39">
        <v>0.21199999999999999</v>
      </c>
      <c r="J793" s="41" t="str">
        <f t="shared" si="12"/>
        <v>Casi nada popular</v>
      </c>
      <c r="K793" s="43">
        <v>44687</v>
      </c>
    </row>
    <row r="794" spans="1:11">
      <c r="A794" s="34">
        <v>0.5</v>
      </c>
      <c r="B794" s="32">
        <v>106</v>
      </c>
      <c r="C794" s="33">
        <v>0.871</v>
      </c>
      <c r="D794" s="34">
        <v>0.76</v>
      </c>
      <c r="E794" s="32">
        <v>75</v>
      </c>
      <c r="F794" s="32">
        <v>0</v>
      </c>
      <c r="G794" s="32">
        <v>11</v>
      </c>
      <c r="H794" s="35">
        <f ca="1">LEFT(Music_Data[[#This Row],[Duration_minutes]],3)/60</f>
        <v>4.05</v>
      </c>
      <c r="I794" s="34">
        <v>0.32</v>
      </c>
      <c r="J794" s="36" t="str">
        <f t="shared" si="12"/>
        <v>Casi nada popular</v>
      </c>
      <c r="K794" s="42">
        <v>44687</v>
      </c>
    </row>
    <row r="795" spans="1:11">
      <c r="A795" s="39">
        <v>0.59499999999999997</v>
      </c>
      <c r="B795" s="37">
        <v>999</v>
      </c>
      <c r="C795" s="38">
        <v>0.77700000000000002</v>
      </c>
      <c r="D795" s="39">
        <v>0.54600000000000004</v>
      </c>
      <c r="E795" s="37">
        <v>75</v>
      </c>
      <c r="F795" s="37">
        <v>1</v>
      </c>
      <c r="G795" s="37">
        <v>2</v>
      </c>
      <c r="H795" s="40">
        <f ca="1">LEFT(Music_Data[[#This Row],[Duration_minutes]],3)/60</f>
        <v>4.083333333333333</v>
      </c>
      <c r="I795" s="39">
        <v>0.59</v>
      </c>
      <c r="J795" s="41" t="str">
        <f t="shared" si="12"/>
        <v>Casi nada popular</v>
      </c>
      <c r="K795" s="43">
        <v>44687</v>
      </c>
    </row>
    <row r="796" spans="1:11">
      <c r="A796" s="34">
        <v>0.498</v>
      </c>
      <c r="B796" s="32">
        <v>100</v>
      </c>
      <c r="C796" s="33">
        <v>0.876</v>
      </c>
      <c r="D796" s="34">
        <v>0.42799999999999999</v>
      </c>
      <c r="E796" s="32">
        <v>75</v>
      </c>
      <c r="F796" s="32">
        <v>1</v>
      </c>
      <c r="G796" s="32">
        <v>10</v>
      </c>
      <c r="H796" s="35">
        <f ca="1">LEFT(Music_Data[[#This Row],[Duration_minutes]],3)/60</f>
        <v>2.75</v>
      </c>
      <c r="I796" s="34">
        <v>7.0599999999999996E-2</v>
      </c>
      <c r="J796" s="36" t="str">
        <f t="shared" si="12"/>
        <v>Casi nada popular</v>
      </c>
      <c r="K796" s="42">
        <v>45561</v>
      </c>
    </row>
    <row r="797" spans="1:11">
      <c r="A797" s="39">
        <v>0.72399999999999998</v>
      </c>
      <c r="B797" s="37">
        <v>119</v>
      </c>
      <c r="C797" s="38">
        <v>0.56899999999999995</v>
      </c>
      <c r="D797" s="39">
        <v>0.56200000000000006</v>
      </c>
      <c r="E797" s="37">
        <v>75</v>
      </c>
      <c r="F797" s="37">
        <v>0</v>
      </c>
      <c r="G797" s="37">
        <v>6</v>
      </c>
      <c r="H797" s="40">
        <f ca="1">LEFT(Music_Data[[#This Row],[Duration_minutes]],3)/60</f>
        <v>2.9666666666666668</v>
      </c>
      <c r="I797" s="39">
        <v>0.22800000000000001</v>
      </c>
      <c r="J797" s="41" t="str">
        <f t="shared" si="12"/>
        <v>Casi nada popular</v>
      </c>
      <c r="K797" s="43">
        <v>45583</v>
      </c>
    </row>
    <row r="798" spans="1:11">
      <c r="A798" s="34">
        <v>0.34599999999999997</v>
      </c>
      <c r="B798" s="32">
        <v>100</v>
      </c>
      <c r="C798" s="33">
        <v>0.96299999999999997</v>
      </c>
      <c r="D798" s="34">
        <v>0.56200000000000006</v>
      </c>
      <c r="E798" s="32">
        <v>75</v>
      </c>
      <c r="F798" s="32">
        <v>0</v>
      </c>
      <c r="G798" s="32">
        <v>5</v>
      </c>
      <c r="H798" s="35">
        <f ca="1">LEFT(Music_Data[[#This Row],[Duration_minutes]],3)/60</f>
        <v>3.25</v>
      </c>
      <c r="I798" s="34">
        <v>3.5499999999999997E-2</v>
      </c>
      <c r="J798" s="36" t="str">
        <f t="shared" si="12"/>
        <v>Casi nada popular</v>
      </c>
      <c r="K798" s="42">
        <v>45261</v>
      </c>
    </row>
    <row r="799" spans="1:11">
      <c r="A799" s="39">
        <v>0.874</v>
      </c>
      <c r="B799" s="37">
        <v>100</v>
      </c>
      <c r="C799" s="38">
        <v>0.77400000000000002</v>
      </c>
      <c r="D799" s="39">
        <v>0.92700000000000005</v>
      </c>
      <c r="E799" s="37">
        <v>75</v>
      </c>
      <c r="F799" s="37">
        <v>0</v>
      </c>
      <c r="G799" s="37">
        <v>5</v>
      </c>
      <c r="H799" s="40">
        <f ca="1">LEFT(Music_Data[[#This Row],[Duration_minutes]],3)/60</f>
        <v>3.25</v>
      </c>
      <c r="I799" s="39">
        <v>0.14199999999999999</v>
      </c>
      <c r="J799" s="41" t="str">
        <f t="shared" si="12"/>
        <v>Casi nada popular</v>
      </c>
      <c r="K799" s="43">
        <v>45261</v>
      </c>
    </row>
    <row r="800" spans="1:11">
      <c r="A800" s="34">
        <v>0.65600000000000003</v>
      </c>
      <c r="B800" s="32">
        <v>194</v>
      </c>
      <c r="C800" s="33">
        <v>0.63800000000000001</v>
      </c>
      <c r="D800" s="34">
        <v>0.22500000000000001</v>
      </c>
      <c r="E800" s="32">
        <v>75</v>
      </c>
      <c r="F800" s="32">
        <v>1</v>
      </c>
      <c r="G800" s="32">
        <v>5</v>
      </c>
      <c r="H800" s="35">
        <f ca="1">LEFT(Music_Data[[#This Row],[Duration_minutes]],3)/60</f>
        <v>2.1666666666666665</v>
      </c>
      <c r="I800" s="34">
        <v>0.188</v>
      </c>
      <c r="J800" s="36" t="str">
        <f t="shared" si="12"/>
        <v>Casi nada popular</v>
      </c>
      <c r="K800" s="42">
        <v>45581</v>
      </c>
    </row>
    <row r="801" spans="1:11">
      <c r="A801" s="39">
        <v>0.82499999999999996</v>
      </c>
      <c r="B801" s="37">
        <v>999</v>
      </c>
      <c r="C801" s="38">
        <v>0.56000000000000005</v>
      </c>
      <c r="D801" s="39">
        <v>0.26800000000000002</v>
      </c>
      <c r="E801" s="37">
        <v>75</v>
      </c>
      <c r="F801" s="37">
        <v>1</v>
      </c>
      <c r="G801" s="37">
        <v>11</v>
      </c>
      <c r="H801" s="40">
        <f ca="1">LEFT(Music_Data[[#This Row],[Duration_minutes]],3)/60</f>
        <v>3.2166666666666668</v>
      </c>
      <c r="I801" s="39">
        <v>0.32300000000000001</v>
      </c>
      <c r="J801" s="41" t="str">
        <f t="shared" si="12"/>
        <v>Casi nada popular</v>
      </c>
      <c r="K801" s="43">
        <v>45386</v>
      </c>
    </row>
    <row r="802" spans="1:11">
      <c r="A802" s="34">
        <v>0.79200000000000004</v>
      </c>
      <c r="B802" s="32">
        <v>184</v>
      </c>
      <c r="C802" s="33">
        <v>0.627</v>
      </c>
      <c r="D802" s="34">
        <v>0.41499999999999998</v>
      </c>
      <c r="E802" s="32">
        <v>75</v>
      </c>
      <c r="F802" s="32">
        <v>1</v>
      </c>
      <c r="G802" s="32">
        <v>2</v>
      </c>
      <c r="H802" s="35">
        <f ca="1">LEFT(Music_Data[[#This Row],[Duration_minutes]],3)/60</f>
        <v>2.5499999999999998</v>
      </c>
      <c r="I802" s="34">
        <v>0.13</v>
      </c>
      <c r="J802" s="36" t="str">
        <f t="shared" si="12"/>
        <v>Casi nada popular</v>
      </c>
      <c r="K802" s="42">
        <v>45575</v>
      </c>
    </row>
    <row r="803" spans="1:11">
      <c r="A803" s="39">
        <v>0.54</v>
      </c>
      <c r="B803" s="37">
        <v>169</v>
      </c>
      <c r="C803" s="38">
        <v>0.75900000000000001</v>
      </c>
      <c r="D803" s="39">
        <v>0.75</v>
      </c>
      <c r="E803" s="37">
        <v>75</v>
      </c>
      <c r="F803" s="37">
        <v>0</v>
      </c>
      <c r="G803" s="37">
        <v>9</v>
      </c>
      <c r="H803" s="40">
        <f ca="1">LEFT(Music_Data[[#This Row],[Duration_minutes]],3)/60</f>
        <v>3.9</v>
      </c>
      <c r="I803" s="39">
        <v>3.6999999999999998E-2</v>
      </c>
      <c r="J803" s="41" t="str">
        <f t="shared" si="12"/>
        <v>Casi nada popular</v>
      </c>
      <c r="K803" s="43">
        <v>45002</v>
      </c>
    </row>
    <row r="804" spans="1:11">
      <c r="A804" s="34">
        <v>0.59299999999999997</v>
      </c>
      <c r="B804" s="32">
        <v>110</v>
      </c>
      <c r="C804" s="33">
        <v>0.79</v>
      </c>
      <c r="D804" s="34">
        <v>0.72</v>
      </c>
      <c r="E804" s="32">
        <v>75</v>
      </c>
      <c r="F804" s="32">
        <v>0</v>
      </c>
      <c r="G804" s="32">
        <v>1</v>
      </c>
      <c r="H804" s="35">
        <f ca="1">LEFT(Music_Data[[#This Row],[Duration_minutes]],3)/60</f>
        <v>5.35</v>
      </c>
      <c r="I804" s="34">
        <v>9.8299999999999998E-2</v>
      </c>
      <c r="J804" s="36" t="str">
        <f t="shared" si="12"/>
        <v>Casi nada popular</v>
      </c>
      <c r="K804" s="42">
        <v>44287</v>
      </c>
    </row>
    <row r="805" spans="1:11">
      <c r="A805" s="39">
        <v>0.76600000000000001</v>
      </c>
      <c r="B805" s="37">
        <v>919</v>
      </c>
      <c r="C805" s="38">
        <v>0.73499999999999999</v>
      </c>
      <c r="D805" s="39">
        <v>0.6</v>
      </c>
      <c r="E805" s="37">
        <v>75</v>
      </c>
      <c r="F805" s="37">
        <v>1</v>
      </c>
      <c r="G805" s="37">
        <v>1</v>
      </c>
      <c r="H805" s="40">
        <f ca="1">LEFT(Music_Data[[#This Row],[Duration_minutes]],3)/60</f>
        <v>3.3666666666666667</v>
      </c>
      <c r="I805" s="39">
        <v>2.5000000000000001E-2</v>
      </c>
      <c r="J805" s="41" t="str">
        <f t="shared" si="12"/>
        <v>Casi nada popular</v>
      </c>
      <c r="K805" s="43">
        <v>44652</v>
      </c>
    </row>
    <row r="806" spans="1:11">
      <c r="A806" s="34">
        <v>0.83499999999999996</v>
      </c>
      <c r="B806" s="32">
        <v>919</v>
      </c>
      <c r="C806" s="33">
        <v>0.57199999999999995</v>
      </c>
      <c r="D806" s="34">
        <v>0.79500000000000004</v>
      </c>
      <c r="E806" s="32">
        <v>75</v>
      </c>
      <c r="F806" s="32">
        <v>1</v>
      </c>
      <c r="G806" s="32">
        <v>0</v>
      </c>
      <c r="H806" s="35">
        <f ca="1">LEFT(Music_Data[[#This Row],[Duration_minutes]],3)/60</f>
        <v>3.3666666666666667</v>
      </c>
      <c r="I806" s="34">
        <v>0.17100000000000001</v>
      </c>
      <c r="J806" s="36" t="str">
        <f t="shared" si="12"/>
        <v>Casi nada popular</v>
      </c>
      <c r="K806" s="42">
        <v>44652</v>
      </c>
    </row>
    <row r="807" spans="1:11">
      <c r="A807" s="39">
        <v>0.872</v>
      </c>
      <c r="B807" s="37">
        <v>155</v>
      </c>
      <c r="C807" s="38">
        <v>0.56000000000000005</v>
      </c>
      <c r="D807" s="39">
        <v>0.68200000000000005</v>
      </c>
      <c r="E807" s="37">
        <v>75</v>
      </c>
      <c r="F807" s="37">
        <v>1</v>
      </c>
      <c r="G807" s="37">
        <v>3</v>
      </c>
      <c r="H807" s="40">
        <f ca="1">LEFT(Music_Data[[#This Row],[Duration_minutes]],3)/60</f>
        <v>3.4333333333333331</v>
      </c>
      <c r="I807" s="39">
        <v>2.3900000000000001E-2</v>
      </c>
      <c r="J807" s="41" t="str">
        <f t="shared" si="12"/>
        <v>Casi nada popular</v>
      </c>
      <c r="K807" s="43">
        <v>45611</v>
      </c>
    </row>
    <row r="808" spans="1:11">
      <c r="A808" s="34">
        <v>0.751</v>
      </c>
      <c r="B808" s="32">
        <v>919</v>
      </c>
      <c r="C808" s="33">
        <v>0.70599999999999996</v>
      </c>
      <c r="D808" s="34">
        <v>0.19500000000000001</v>
      </c>
      <c r="E808" s="32">
        <v>75</v>
      </c>
      <c r="F808" s="32">
        <v>1</v>
      </c>
      <c r="G808" s="32">
        <v>9</v>
      </c>
      <c r="H808" s="35">
        <f ca="1">LEFT(Music_Data[[#This Row],[Duration_minutes]],3)/60</f>
        <v>2.5166666666666666</v>
      </c>
      <c r="I808" s="34">
        <v>0.17299999999999999</v>
      </c>
      <c r="J808" s="36" t="str">
        <f t="shared" si="12"/>
        <v>Casi nada popular</v>
      </c>
      <c r="K808" s="42">
        <v>37803</v>
      </c>
    </row>
    <row r="809" spans="1:11">
      <c r="A809" s="39">
        <v>0.70199999999999996</v>
      </c>
      <c r="B809" s="37">
        <v>139</v>
      </c>
      <c r="C809" s="38">
        <v>0.68600000000000005</v>
      </c>
      <c r="D809" s="39">
        <v>0.28999999999999998</v>
      </c>
      <c r="E809" s="37">
        <v>75</v>
      </c>
      <c r="F809" s="37">
        <v>0</v>
      </c>
      <c r="G809" s="37">
        <v>7</v>
      </c>
      <c r="H809" s="40">
        <f ca="1">LEFT(Music_Data[[#This Row],[Duration_minutes]],3)/60</f>
        <v>4.45</v>
      </c>
      <c r="I809" s="39">
        <v>6.3699999999999998E-3</v>
      </c>
      <c r="J809" s="41" t="str">
        <f t="shared" si="12"/>
        <v>Casi nada popular</v>
      </c>
      <c r="K809" s="43">
        <v>45212</v>
      </c>
    </row>
    <row r="810" spans="1:11">
      <c r="A810" s="34">
        <v>0.86099999999999999</v>
      </c>
      <c r="B810" s="32">
        <v>124</v>
      </c>
      <c r="C810" s="33">
        <v>0.70399999999999996</v>
      </c>
      <c r="D810" s="34">
        <v>0.63600000000000001</v>
      </c>
      <c r="E810" s="32">
        <v>75</v>
      </c>
      <c r="F810" s="32">
        <v>0</v>
      </c>
      <c r="G810" s="32">
        <v>2</v>
      </c>
      <c r="H810" s="35">
        <f ca="1">LEFT(Music_Data[[#This Row],[Duration_minutes]],3)/60</f>
        <v>2.8</v>
      </c>
      <c r="I810" s="34">
        <v>0.58699999999999997</v>
      </c>
      <c r="J810" s="36" t="str">
        <f t="shared" si="12"/>
        <v>Casi nada popular</v>
      </c>
      <c r="K810" s="42">
        <v>45541</v>
      </c>
    </row>
    <row r="811" spans="1:11">
      <c r="A811" s="39">
        <v>0.65500000000000003</v>
      </c>
      <c r="B811" s="37">
        <v>128</v>
      </c>
      <c r="C811" s="38">
        <v>0.57199999999999995</v>
      </c>
      <c r="D811" s="39">
        <v>0.39200000000000002</v>
      </c>
      <c r="E811" s="37">
        <v>75</v>
      </c>
      <c r="F811" s="37">
        <v>0</v>
      </c>
      <c r="G811" s="37">
        <v>7</v>
      </c>
      <c r="H811" s="40">
        <f ca="1">LEFT(Music_Data[[#This Row],[Duration_minutes]],3)/60</f>
        <v>2.6166666666666667</v>
      </c>
      <c r="I811" s="39">
        <v>5.79E-3</v>
      </c>
      <c r="J811" s="41" t="str">
        <f t="shared" si="12"/>
        <v>Casi nada popular</v>
      </c>
      <c r="K811" s="43">
        <v>45577</v>
      </c>
    </row>
    <row r="812" spans="1:11">
      <c r="A812" s="34">
        <v>0.7</v>
      </c>
      <c r="B812" s="32">
        <v>117</v>
      </c>
      <c r="C812" s="33">
        <v>0.85</v>
      </c>
      <c r="D812" s="34">
        <v>0.72399999999999998</v>
      </c>
      <c r="E812" s="32">
        <v>75</v>
      </c>
      <c r="F812" s="32">
        <v>1</v>
      </c>
      <c r="G812" s="32">
        <v>7</v>
      </c>
      <c r="H812" s="35">
        <f ca="1">LEFT(Music_Data[[#This Row],[Duration_minutes]],3)/60</f>
        <v>4.6333333333333337</v>
      </c>
      <c r="I812" s="34">
        <v>6.0699999999999997E-2</v>
      </c>
      <c r="J812" s="36" t="str">
        <f t="shared" si="12"/>
        <v>Casi nada popular</v>
      </c>
      <c r="K812" s="42">
        <v>45407</v>
      </c>
    </row>
    <row r="813" spans="1:11">
      <c r="A813" s="39">
        <v>0.80700000000000005</v>
      </c>
      <c r="B813" s="37">
        <v>151</v>
      </c>
      <c r="C813" s="38">
        <v>0.622</v>
      </c>
      <c r="D813" s="39">
        <v>0.89200000000000002</v>
      </c>
      <c r="E813" s="37">
        <v>75</v>
      </c>
      <c r="F813" s="37">
        <v>0</v>
      </c>
      <c r="G813" s="37">
        <v>5</v>
      </c>
      <c r="H813" s="40">
        <f ca="1">LEFT(Music_Data[[#This Row],[Duration_minutes]],3)/60</f>
        <v>3.2666666666666666</v>
      </c>
      <c r="I813" s="39">
        <v>0.10299999999999999</v>
      </c>
      <c r="J813" s="41" t="str">
        <f t="shared" si="12"/>
        <v>Casi nada popular</v>
      </c>
      <c r="K813" s="43">
        <v>44687</v>
      </c>
    </row>
    <row r="814" spans="1:11">
      <c r="A814" s="34">
        <v>0.64800000000000002</v>
      </c>
      <c r="B814" s="32">
        <v>114</v>
      </c>
      <c r="C814" s="33">
        <v>0.86899999999999999</v>
      </c>
      <c r="D814" s="34">
        <v>0.9</v>
      </c>
      <c r="E814" s="32">
        <v>75</v>
      </c>
      <c r="F814" s="32">
        <v>0</v>
      </c>
      <c r="G814" s="32">
        <v>11</v>
      </c>
      <c r="H814" s="35">
        <f ca="1">LEFT(Music_Data[[#This Row],[Duration_minutes]],3)/60</f>
        <v>3.95</v>
      </c>
      <c r="I814" s="34">
        <v>0.121</v>
      </c>
      <c r="J814" s="36" t="str">
        <f t="shared" si="12"/>
        <v>Casi nada popular</v>
      </c>
      <c r="K814" s="42">
        <v>44687</v>
      </c>
    </row>
    <row r="815" spans="1:11">
      <c r="A815" s="39">
        <v>0.94099999999999995</v>
      </c>
      <c r="B815" s="37">
        <v>939</v>
      </c>
      <c r="C815" s="38">
        <v>0.502</v>
      </c>
      <c r="D815" s="39">
        <v>0.124</v>
      </c>
      <c r="E815" s="37">
        <v>75</v>
      </c>
      <c r="F815" s="37">
        <v>1</v>
      </c>
      <c r="G815" s="37">
        <v>7</v>
      </c>
      <c r="H815" s="40">
        <f ca="1">LEFT(Music_Data[[#This Row],[Duration_minutes]],3)/60</f>
        <v>3.2166666666666668</v>
      </c>
      <c r="I815" s="39">
        <v>3.4600000000000001E-4</v>
      </c>
      <c r="J815" s="41" t="str">
        <f t="shared" si="12"/>
        <v>Casi nada popular</v>
      </c>
      <c r="K815" s="43">
        <v>43489</v>
      </c>
    </row>
    <row r="816" spans="1:11">
      <c r="A816" s="34">
        <v>0.90500000000000003</v>
      </c>
      <c r="B816" s="32">
        <v>920</v>
      </c>
      <c r="C816" s="33">
        <v>0.60199999999999998</v>
      </c>
      <c r="D816" s="34">
        <v>0.41099999999999998</v>
      </c>
      <c r="E816" s="32">
        <v>75</v>
      </c>
      <c r="F816" s="32">
        <v>1</v>
      </c>
      <c r="G816" s="32">
        <v>2</v>
      </c>
      <c r="H816" s="35">
        <f ca="1">LEFT(Music_Data[[#This Row],[Duration_minutes]],3)/60</f>
        <v>2.65</v>
      </c>
      <c r="I816" s="34">
        <v>2.02E-4</v>
      </c>
      <c r="J816" s="36" t="str">
        <f t="shared" si="12"/>
        <v>Casi nada popular</v>
      </c>
      <c r="K816" s="42">
        <v>44609</v>
      </c>
    </row>
    <row r="817" spans="1:11">
      <c r="A817" s="39">
        <v>0.83599999999999997</v>
      </c>
      <c r="B817" s="37">
        <v>101</v>
      </c>
      <c r="C817" s="38">
        <v>0.54300000000000004</v>
      </c>
      <c r="D817" s="39">
        <v>0.56000000000000005</v>
      </c>
      <c r="E817" s="37">
        <v>75</v>
      </c>
      <c r="F817" s="37">
        <v>0</v>
      </c>
      <c r="G817" s="37">
        <v>4</v>
      </c>
      <c r="H817" s="40">
        <f ca="1">LEFT(Music_Data[[#This Row],[Duration_minutes]],3)/60</f>
        <v>2.8333333333333335</v>
      </c>
      <c r="I817" s="39">
        <v>6.4700000000000001E-4</v>
      </c>
      <c r="J817" s="41" t="str">
        <f t="shared" si="12"/>
        <v>Casi nada popular</v>
      </c>
      <c r="K817" s="43">
        <v>45603</v>
      </c>
    </row>
    <row r="818" spans="1:11">
      <c r="A818" s="34">
        <v>0.91600000000000004</v>
      </c>
      <c r="B818" s="32">
        <v>130</v>
      </c>
      <c r="C818" s="33">
        <v>0.57999999999999996</v>
      </c>
      <c r="D818" s="34">
        <v>0.68300000000000005</v>
      </c>
      <c r="E818" s="32">
        <v>75</v>
      </c>
      <c r="F818" s="32">
        <v>0</v>
      </c>
      <c r="G818" s="32">
        <v>3</v>
      </c>
      <c r="H818" s="35">
        <f ca="1">LEFT(Music_Data[[#This Row],[Duration_minutes]],3)/60</f>
        <v>4.7833333333333332</v>
      </c>
      <c r="I818" s="34">
        <v>2.9700000000000001E-4</v>
      </c>
      <c r="J818" s="36" t="str">
        <f t="shared" si="12"/>
        <v>Casi nada popular</v>
      </c>
      <c r="K818" s="42">
        <v>44371</v>
      </c>
    </row>
    <row r="819" spans="1:11">
      <c r="A819" s="39">
        <v>0.93899999999999995</v>
      </c>
      <c r="B819" s="37">
        <v>100</v>
      </c>
      <c r="C819" s="38">
        <v>0.49399999999999999</v>
      </c>
      <c r="D819" s="39">
        <v>0.89300000000000002</v>
      </c>
      <c r="E819" s="37">
        <v>75</v>
      </c>
      <c r="F819" s="37">
        <v>1</v>
      </c>
      <c r="G819" s="37">
        <v>1</v>
      </c>
      <c r="H819" s="40">
        <f ca="1">LEFT(Music_Data[[#This Row],[Duration_minutes]],3)/60</f>
        <v>3.0666666666666669</v>
      </c>
      <c r="I819" s="39">
        <v>6.6600000000000001E-3</v>
      </c>
      <c r="J819" s="41" t="str">
        <f t="shared" si="12"/>
        <v>Casi nada popular</v>
      </c>
      <c r="K819" s="43">
        <v>45513</v>
      </c>
    </row>
    <row r="820" spans="1:11">
      <c r="A820" s="34">
        <v>0.78100000000000003</v>
      </c>
      <c r="B820" s="32">
        <v>999</v>
      </c>
      <c r="C820" s="33">
        <v>0.65500000000000003</v>
      </c>
      <c r="D820" s="34">
        <v>0.58399999999999996</v>
      </c>
      <c r="E820" s="32">
        <v>75</v>
      </c>
      <c r="F820" s="32">
        <v>1</v>
      </c>
      <c r="G820" s="32">
        <v>11</v>
      </c>
      <c r="H820" s="35">
        <f ca="1">LEFT(Music_Data[[#This Row],[Duration_minutes]],3)/60</f>
        <v>2.0666666666666669</v>
      </c>
      <c r="I820" s="34">
        <v>1.0300000000000001E-3</v>
      </c>
      <c r="J820" s="36" t="str">
        <f t="shared" si="12"/>
        <v>Casi nada popular</v>
      </c>
      <c r="K820" s="42">
        <v>45513</v>
      </c>
    </row>
    <row r="821" spans="1:11">
      <c r="A821" s="39">
        <v>0.93200000000000005</v>
      </c>
      <c r="B821" s="37">
        <v>124</v>
      </c>
      <c r="C821" s="38">
        <v>0.54500000000000004</v>
      </c>
      <c r="D821" s="39">
        <v>0.46400000000000002</v>
      </c>
      <c r="E821" s="37">
        <v>75</v>
      </c>
      <c r="F821" s="37">
        <v>0</v>
      </c>
      <c r="G821" s="37">
        <v>7</v>
      </c>
      <c r="H821" s="40">
        <f ca="1">LEFT(Music_Data[[#This Row],[Duration_minutes]],3)/60</f>
        <v>3.0666666666666669</v>
      </c>
      <c r="I821" s="39">
        <v>6.6500000000000001E-4</v>
      </c>
      <c r="J821" s="41" t="str">
        <f t="shared" si="12"/>
        <v>Casi nada popular</v>
      </c>
      <c r="K821" s="43">
        <v>44901</v>
      </c>
    </row>
    <row r="822" spans="1:11">
      <c r="A822" s="34">
        <v>0.96099999999999997</v>
      </c>
      <c r="B822" s="32">
        <v>104</v>
      </c>
      <c r="C822" s="33">
        <v>0.621</v>
      </c>
      <c r="D822" s="34">
        <v>0.44900000000000001</v>
      </c>
      <c r="E822" s="32">
        <v>75</v>
      </c>
      <c r="F822" s="32">
        <v>0</v>
      </c>
      <c r="G822" s="32">
        <v>11</v>
      </c>
      <c r="H822" s="35">
        <f ca="1">LEFT(Music_Data[[#This Row],[Duration_minutes]],3)/60</f>
        <v>2.7</v>
      </c>
      <c r="I822" s="34">
        <v>5.2300000000000003E-3</v>
      </c>
      <c r="J822" s="36" t="str">
        <f t="shared" si="12"/>
        <v>Casi nada popular</v>
      </c>
      <c r="K822" s="42">
        <v>45596</v>
      </c>
    </row>
    <row r="823" spans="1:11">
      <c r="A823" s="39">
        <v>0.96499999999999997</v>
      </c>
      <c r="B823" s="37">
        <v>129</v>
      </c>
      <c r="C823" s="38">
        <v>0.40300000000000002</v>
      </c>
      <c r="D823" s="39">
        <v>0.43099999999999999</v>
      </c>
      <c r="E823" s="37">
        <v>75</v>
      </c>
      <c r="F823" s="37">
        <v>1</v>
      </c>
      <c r="G823" s="37">
        <v>6</v>
      </c>
      <c r="H823" s="40">
        <f ca="1">LEFT(Music_Data[[#This Row],[Duration_minutes]],3)/60</f>
        <v>3.2333333333333334</v>
      </c>
      <c r="I823" s="39">
        <v>3.8099999999999998E-5</v>
      </c>
      <c r="J823" s="41" t="str">
        <f t="shared" si="12"/>
        <v>Casi nada popular</v>
      </c>
      <c r="K823" s="43">
        <v>45156</v>
      </c>
    </row>
    <row r="824" spans="1:11">
      <c r="A824" s="34">
        <v>0.214</v>
      </c>
      <c r="B824" s="32">
        <v>122</v>
      </c>
      <c r="C824" s="33">
        <v>0.33200000000000002</v>
      </c>
      <c r="D824" s="34">
        <v>0.11</v>
      </c>
      <c r="E824" s="32">
        <v>75</v>
      </c>
      <c r="F824" s="32">
        <v>1</v>
      </c>
      <c r="G824" s="32">
        <v>4</v>
      </c>
      <c r="H824" s="35">
        <f ca="1">LEFT(Music_Data[[#This Row],[Duration_minutes]],3)/60</f>
        <v>2.8833333333333333</v>
      </c>
      <c r="I824" s="34">
        <v>0.84499999999999997</v>
      </c>
      <c r="J824" s="36" t="str">
        <f t="shared" si="12"/>
        <v>Casi nada popular</v>
      </c>
      <c r="K824" s="42">
        <v>44687</v>
      </c>
    </row>
    <row r="825" spans="1:11">
      <c r="A825" s="39">
        <v>0.58799999999999997</v>
      </c>
      <c r="B825" s="37">
        <v>179</v>
      </c>
      <c r="C825" s="38">
        <v>0.68600000000000005</v>
      </c>
      <c r="D825" s="39">
        <v>0.61699999999999999</v>
      </c>
      <c r="E825" s="37">
        <v>75</v>
      </c>
      <c r="F825" s="37">
        <v>0</v>
      </c>
      <c r="G825" s="37">
        <v>7</v>
      </c>
      <c r="H825" s="40">
        <f ca="1">LEFT(Music_Data[[#This Row],[Duration_minutes]],3)/60</f>
        <v>3.4333333333333331</v>
      </c>
      <c r="I825" s="39">
        <v>0.17799999999999999</v>
      </c>
      <c r="J825" s="41" t="str">
        <f t="shared" si="12"/>
        <v>Casi nada popular</v>
      </c>
      <c r="K825" s="43">
        <v>44351</v>
      </c>
    </row>
    <row r="826" spans="1:11">
      <c r="A826" s="34">
        <v>0.82499999999999996</v>
      </c>
      <c r="B826" s="32">
        <v>109</v>
      </c>
      <c r="C826" s="33">
        <v>0.56000000000000005</v>
      </c>
      <c r="D826" s="34">
        <v>0.26800000000000002</v>
      </c>
      <c r="E826" s="32">
        <v>75</v>
      </c>
      <c r="F826" s="32">
        <v>1</v>
      </c>
      <c r="G826" s="32">
        <v>11</v>
      </c>
      <c r="H826" s="35">
        <f ca="1">LEFT(Music_Data[[#This Row],[Duration_minutes]],3)/60</f>
        <v>3.4166666666666665</v>
      </c>
      <c r="I826" s="34">
        <v>0.32300000000000001</v>
      </c>
      <c r="J826" s="36" t="str">
        <f t="shared" si="12"/>
        <v>Casi nada popular</v>
      </c>
      <c r="K826" s="42">
        <v>44162</v>
      </c>
    </row>
    <row r="827" spans="1:11">
      <c r="A827" s="39">
        <v>0.47899999999999998</v>
      </c>
      <c r="B827" s="37">
        <v>108</v>
      </c>
      <c r="C827" s="38">
        <v>0.67500000000000004</v>
      </c>
      <c r="D827" s="39">
        <v>0.45400000000000001</v>
      </c>
      <c r="E827" s="37">
        <v>75</v>
      </c>
      <c r="F827" s="37">
        <v>0</v>
      </c>
      <c r="G827" s="37">
        <v>0</v>
      </c>
      <c r="H827" s="40">
        <f ca="1">LEFT(Music_Data[[#This Row],[Duration_minutes]],3)/60</f>
        <v>4.0666666666666664</v>
      </c>
      <c r="I827" s="39">
        <v>0.63300000000000001</v>
      </c>
      <c r="J827" s="41" t="str">
        <f t="shared" si="12"/>
        <v>Casi nada popular</v>
      </c>
      <c r="K827" s="43">
        <v>44687</v>
      </c>
    </row>
    <row r="828" spans="1:11">
      <c r="A828" s="34">
        <v>0.65600000000000003</v>
      </c>
      <c r="B828" s="32">
        <v>117</v>
      </c>
      <c r="C828" s="33">
        <v>0.63800000000000001</v>
      </c>
      <c r="D828" s="34">
        <v>0.22500000000000001</v>
      </c>
      <c r="E828" s="32">
        <v>75</v>
      </c>
      <c r="F828" s="32">
        <v>1</v>
      </c>
      <c r="G828" s="32">
        <v>5</v>
      </c>
      <c r="H828" s="35">
        <f ca="1">LEFT(Music_Data[[#This Row],[Duration_minutes]],3)/60</f>
        <v>3.3</v>
      </c>
      <c r="I828" s="34">
        <v>0.188</v>
      </c>
      <c r="J828" s="36" t="str">
        <f t="shared" si="12"/>
        <v>Casi nada popular</v>
      </c>
      <c r="K828" s="42">
        <v>45589</v>
      </c>
    </row>
    <row r="829" spans="1:11">
      <c r="A829" s="39">
        <v>0.30599999999999999</v>
      </c>
      <c r="B829" s="37">
        <v>136</v>
      </c>
      <c r="C829" s="38">
        <v>0.65</v>
      </c>
      <c r="D829" s="39">
        <v>0.60499999999999998</v>
      </c>
      <c r="E829" s="37">
        <v>75</v>
      </c>
      <c r="F829" s="37">
        <v>1</v>
      </c>
      <c r="G829" s="37">
        <v>9</v>
      </c>
      <c r="H829" s="40">
        <f ca="1">LEFT(Music_Data[[#This Row],[Duration_minutes]],3)/60</f>
        <v>2.6166666666666667</v>
      </c>
      <c r="I829" s="39">
        <v>0.56999999999999995</v>
      </c>
      <c r="J829" s="41" t="str">
        <f t="shared" si="12"/>
        <v>Casi nada popular</v>
      </c>
      <c r="K829" s="43">
        <v>45596</v>
      </c>
    </row>
    <row r="830" spans="1:11">
      <c r="A830" s="34">
        <v>0.83399999999999996</v>
      </c>
      <c r="B830" s="32">
        <v>831</v>
      </c>
      <c r="C830" s="33">
        <v>0.249</v>
      </c>
      <c r="D830" s="34">
        <v>0.33700000000000002</v>
      </c>
      <c r="E830" s="32">
        <v>75</v>
      </c>
      <c r="F830" s="32">
        <v>1</v>
      </c>
      <c r="G830" s="32">
        <v>0</v>
      </c>
      <c r="H830" s="35">
        <f ca="1">LEFT(Music_Data[[#This Row],[Duration_minutes]],3)/60</f>
        <v>3.2333333333333334</v>
      </c>
      <c r="I830" s="34">
        <v>7.4200000000000002E-2</v>
      </c>
      <c r="J830" s="36" t="str">
        <f t="shared" si="12"/>
        <v>Casi nada popular</v>
      </c>
      <c r="K830" s="42">
        <v>45033</v>
      </c>
    </row>
    <row r="831" spans="1:11">
      <c r="A831" s="39">
        <v>0.89600000000000002</v>
      </c>
      <c r="B831" s="37">
        <v>173</v>
      </c>
      <c r="C831" s="38">
        <v>0.67</v>
      </c>
      <c r="D831" s="39">
        <v>0.40300000000000002</v>
      </c>
      <c r="E831" s="37">
        <v>75</v>
      </c>
      <c r="F831" s="37">
        <v>1</v>
      </c>
      <c r="G831" s="37">
        <v>1</v>
      </c>
      <c r="H831" s="40">
        <f ca="1">LEFT(Music_Data[[#This Row],[Duration_minutes]],3)/60</f>
        <v>4.583333333333333</v>
      </c>
      <c r="I831" s="39">
        <v>3.4200000000000001E-2</v>
      </c>
      <c r="J831" s="41" t="str">
        <f t="shared" si="12"/>
        <v>Casi nada popular</v>
      </c>
      <c r="K831" s="43">
        <v>45378</v>
      </c>
    </row>
    <row r="832" spans="1:11">
      <c r="A832" s="34">
        <v>0.876</v>
      </c>
      <c r="B832" s="32">
        <v>926</v>
      </c>
      <c r="C832" s="33">
        <v>0.67100000000000004</v>
      </c>
      <c r="D832" s="34">
        <v>0.96399999999999997</v>
      </c>
      <c r="E832" s="32">
        <v>75</v>
      </c>
      <c r="F832" s="32">
        <v>0</v>
      </c>
      <c r="G832" s="32">
        <v>7</v>
      </c>
      <c r="H832" s="35">
        <f ca="1">LEFT(Music_Data[[#This Row],[Duration_minutes]],3)/60</f>
        <v>3.7</v>
      </c>
      <c r="I832" s="34">
        <v>0.12</v>
      </c>
      <c r="J832" s="36" t="str">
        <f t="shared" si="12"/>
        <v>Casi nada popular</v>
      </c>
      <c r="K832" s="42">
        <v>43644</v>
      </c>
    </row>
    <row r="833" spans="1:11">
      <c r="A833" s="39">
        <v>0.72199999999999998</v>
      </c>
      <c r="B833" s="37">
        <v>793</v>
      </c>
      <c r="C833" s="38">
        <v>0.58699999999999997</v>
      </c>
      <c r="D833" s="39">
        <v>0.46600000000000003</v>
      </c>
      <c r="E833" s="37">
        <v>75</v>
      </c>
      <c r="F833" s="37">
        <v>0</v>
      </c>
      <c r="G833" s="37">
        <v>2</v>
      </c>
      <c r="H833" s="40">
        <f ca="1">LEFT(Music_Data[[#This Row],[Duration_minutes]],3)/60</f>
        <v>4.6166666666666663</v>
      </c>
      <c r="I833" s="39">
        <v>7.54E-4</v>
      </c>
      <c r="J833" s="41" t="str">
        <f t="shared" si="12"/>
        <v>Casi nada popular</v>
      </c>
      <c r="K833" s="43">
        <v>43644</v>
      </c>
    </row>
    <row r="834" spans="1:11">
      <c r="A834" s="34">
        <v>0.64800000000000002</v>
      </c>
      <c r="B834" s="32">
        <v>125</v>
      </c>
      <c r="C834" s="33">
        <v>0.64400000000000002</v>
      </c>
      <c r="D834" s="34">
        <v>0.44</v>
      </c>
      <c r="E834" s="32">
        <v>75</v>
      </c>
      <c r="F834" s="32">
        <v>1</v>
      </c>
      <c r="G834" s="32">
        <v>1</v>
      </c>
      <c r="H834" s="35">
        <f ca="1">LEFT(Music_Data[[#This Row],[Duration_minutes]],3)/60</f>
        <v>5.1166666666666663</v>
      </c>
      <c r="I834" s="34">
        <v>0.27600000000000002</v>
      </c>
      <c r="J834" s="36" t="str">
        <f t="shared" si="12"/>
        <v>Casi nada popular</v>
      </c>
      <c r="K834" s="42">
        <v>45603</v>
      </c>
    </row>
    <row r="835" spans="1:11">
      <c r="A835" s="39">
        <v>0.57299999999999995</v>
      </c>
      <c r="B835" s="37">
        <v>180</v>
      </c>
      <c r="C835" s="38">
        <v>0.73099999999999998</v>
      </c>
      <c r="D835" s="39">
        <v>0.14499999999999999</v>
      </c>
      <c r="E835" s="37">
        <v>75</v>
      </c>
      <c r="F835" s="37">
        <v>0</v>
      </c>
      <c r="G835" s="37">
        <v>4</v>
      </c>
      <c r="H835" s="40">
        <f ca="1">LEFT(Music_Data[[#This Row],[Duration_minutes]],3)/60</f>
        <v>3.2833333333333332</v>
      </c>
      <c r="I835" s="39">
        <v>0.40100000000000002</v>
      </c>
      <c r="J835" s="41" t="str">
        <f t="shared" si="12"/>
        <v>Casi nada popular</v>
      </c>
      <c r="K835" s="43">
        <v>45267</v>
      </c>
    </row>
    <row r="836" spans="1:11">
      <c r="A836" s="34">
        <v>0.79100000000000004</v>
      </c>
      <c r="B836" s="32">
        <v>174</v>
      </c>
      <c r="C836" s="33">
        <v>0.63900000000000001</v>
      </c>
      <c r="D836" s="34">
        <v>0.93300000000000005</v>
      </c>
      <c r="E836" s="32">
        <v>75</v>
      </c>
      <c r="F836" s="32">
        <v>0</v>
      </c>
      <c r="G836" s="32">
        <v>10</v>
      </c>
      <c r="H836" s="35">
        <f ca="1">LEFT(Music_Data[[#This Row],[Duration_minutes]],3)/60</f>
        <v>4.0999999999999996</v>
      </c>
      <c r="I836" s="34">
        <v>2.75E-2</v>
      </c>
      <c r="J836" s="36" t="str">
        <f t="shared" ref="J836:J899" si="13">IF(E836&gt;=94,"Muy Popular",IF(E836&gt;=86,"Popular",IF(E836&gt;=78,"No muy popular","Casi nada popular")))</f>
        <v>Casi nada popular</v>
      </c>
      <c r="K836" s="42">
        <v>43980</v>
      </c>
    </row>
    <row r="837" spans="1:11">
      <c r="A837" s="39">
        <v>0.67500000000000004</v>
      </c>
      <c r="B837" s="37">
        <v>175</v>
      </c>
      <c r="C837" s="38">
        <v>0.627</v>
      </c>
      <c r="D837" s="39">
        <v>0.96099999999999997</v>
      </c>
      <c r="E837" s="37">
        <v>75</v>
      </c>
      <c r="F837" s="37">
        <v>0</v>
      </c>
      <c r="G837" s="37">
        <v>5</v>
      </c>
      <c r="H837" s="40">
        <f ca="1">LEFT(Music_Data[[#This Row],[Duration_minutes]],3)/60</f>
        <v>3.8333333333333335</v>
      </c>
      <c r="I837" s="39">
        <v>0.125</v>
      </c>
      <c r="J837" s="41" t="str">
        <f t="shared" si="13"/>
        <v>Casi nada popular</v>
      </c>
      <c r="K837" s="43">
        <v>44411</v>
      </c>
    </row>
    <row r="838" spans="1:11">
      <c r="A838" s="34">
        <v>0.88</v>
      </c>
      <c r="B838" s="32">
        <v>143</v>
      </c>
      <c r="C838" s="33">
        <v>0.72</v>
      </c>
      <c r="D838" s="34">
        <v>0.46300000000000002</v>
      </c>
      <c r="E838" s="32">
        <v>75</v>
      </c>
      <c r="F838" s="32">
        <v>1</v>
      </c>
      <c r="G838" s="32">
        <v>9</v>
      </c>
      <c r="H838" s="35">
        <f ca="1">LEFT(Music_Data[[#This Row],[Duration_minutes]],3)/60</f>
        <v>3.85</v>
      </c>
      <c r="I838" s="34">
        <v>5.62E-2</v>
      </c>
      <c r="J838" s="36" t="str">
        <f t="shared" si="13"/>
        <v>Casi nada popular</v>
      </c>
      <c r="K838" s="42">
        <v>45064</v>
      </c>
    </row>
    <row r="839" spans="1:11">
      <c r="A839" s="39">
        <v>0.61699999999999999</v>
      </c>
      <c r="B839" s="37">
        <v>129</v>
      </c>
      <c r="C839" s="38">
        <v>0.70299999999999996</v>
      </c>
      <c r="D839" s="39">
        <v>0.48599999999999999</v>
      </c>
      <c r="E839" s="37">
        <v>75</v>
      </c>
      <c r="F839" s="37">
        <v>1</v>
      </c>
      <c r="G839" s="37">
        <v>5</v>
      </c>
      <c r="H839" s="40">
        <f ca="1">LEFT(Music_Data[[#This Row],[Duration_minutes]],3)/60</f>
        <v>2.8333333333333335</v>
      </c>
      <c r="I839" s="39">
        <v>0.215</v>
      </c>
      <c r="J839" s="41" t="str">
        <f t="shared" si="13"/>
        <v>Casi nada popular</v>
      </c>
      <c r="K839" s="43">
        <v>43890</v>
      </c>
    </row>
    <row r="840" spans="1:11">
      <c r="A840" s="34">
        <v>0.47599999999999998</v>
      </c>
      <c r="B840" s="32">
        <v>103</v>
      </c>
      <c r="C840" s="33">
        <v>0.79300000000000004</v>
      </c>
      <c r="D840" s="34">
        <v>0.57799999999999996</v>
      </c>
      <c r="E840" s="32">
        <v>75</v>
      </c>
      <c r="F840" s="32">
        <v>0</v>
      </c>
      <c r="G840" s="32">
        <v>5</v>
      </c>
      <c r="H840" s="35">
        <f ca="1">LEFT(Music_Data[[#This Row],[Duration_minutes]],3)/60</f>
        <v>5.65</v>
      </c>
      <c r="I840" s="34">
        <v>0.13200000000000001</v>
      </c>
      <c r="J840" s="36" t="str">
        <f t="shared" si="13"/>
        <v>Casi nada popular</v>
      </c>
      <c r="K840" s="42">
        <v>44687</v>
      </c>
    </row>
    <row r="841" spans="1:11">
      <c r="A841" s="39">
        <v>0.32700000000000001</v>
      </c>
      <c r="B841" s="37">
        <v>103</v>
      </c>
      <c r="C841" s="38">
        <v>0.70699999999999996</v>
      </c>
      <c r="D841" s="39">
        <v>0.18099999999999999</v>
      </c>
      <c r="E841" s="37">
        <v>75</v>
      </c>
      <c r="F841" s="37">
        <v>0</v>
      </c>
      <c r="G841" s="37">
        <v>0</v>
      </c>
      <c r="H841" s="40">
        <f ca="1">LEFT(Music_Data[[#This Row],[Duration_minutes]],3)/60</f>
        <v>5.65</v>
      </c>
      <c r="I841" s="39">
        <v>0.185</v>
      </c>
      <c r="J841" s="41" t="str">
        <f t="shared" si="13"/>
        <v>Casi nada popular</v>
      </c>
      <c r="K841" s="43">
        <v>44687</v>
      </c>
    </row>
    <row r="842" spans="1:11">
      <c r="A842" s="34">
        <v>0.72899999999999998</v>
      </c>
      <c r="B842" s="32">
        <v>838</v>
      </c>
      <c r="C842" s="33">
        <v>0.629</v>
      </c>
      <c r="D842" s="34">
        <v>0.42699999999999999</v>
      </c>
      <c r="E842" s="32">
        <v>75</v>
      </c>
      <c r="F842" s="32">
        <v>0</v>
      </c>
      <c r="G842" s="32">
        <v>7</v>
      </c>
      <c r="H842" s="35">
        <f ca="1">LEFT(Music_Data[[#This Row],[Duration_minutes]],3)/60</f>
        <v>3.8666666666666667</v>
      </c>
      <c r="I842" s="34">
        <v>0.43099999999999999</v>
      </c>
      <c r="J842" s="36" t="str">
        <f t="shared" si="13"/>
        <v>Casi nada popular</v>
      </c>
      <c r="K842" s="42">
        <v>43890</v>
      </c>
    </row>
    <row r="843" spans="1:11">
      <c r="A843" s="39">
        <v>0.58599999999999997</v>
      </c>
      <c r="B843" s="37">
        <v>819</v>
      </c>
      <c r="C843" s="38">
        <v>0.89100000000000001</v>
      </c>
      <c r="D843" s="39">
        <v>0.95399999999999996</v>
      </c>
      <c r="E843" s="37">
        <v>75</v>
      </c>
      <c r="F843" s="37">
        <v>1</v>
      </c>
      <c r="G843" s="37">
        <v>11</v>
      </c>
      <c r="H843" s="40">
        <f ca="1">LEFT(Music_Data[[#This Row],[Duration_minutes]],3)/60</f>
        <v>3.3833333333333333</v>
      </c>
      <c r="I843" s="39">
        <v>8.3299999999999999E-2</v>
      </c>
      <c r="J843" s="41" t="str">
        <f t="shared" si="13"/>
        <v>Casi nada popular</v>
      </c>
      <c r="K843" s="43">
        <v>44162</v>
      </c>
    </row>
    <row r="844" spans="1:11">
      <c r="A844" s="34">
        <v>0.27700000000000002</v>
      </c>
      <c r="B844" s="32">
        <v>105</v>
      </c>
      <c r="C844" s="33">
        <v>0.32900000000000001</v>
      </c>
      <c r="D844" s="34">
        <v>0.121</v>
      </c>
      <c r="E844" s="32">
        <v>75</v>
      </c>
      <c r="F844" s="32">
        <v>0</v>
      </c>
      <c r="G844" s="32">
        <v>10</v>
      </c>
      <c r="H844" s="35">
        <f ca="1">LEFT(Music_Data[[#This Row],[Duration_minutes]],3)/60</f>
        <v>2.75</v>
      </c>
      <c r="I844" s="34">
        <v>0.97099999999999997</v>
      </c>
      <c r="J844" s="36" t="str">
        <f t="shared" si="13"/>
        <v>Casi nada popular</v>
      </c>
      <c r="K844" s="42">
        <v>45596</v>
      </c>
    </row>
    <row r="845" spans="1:11">
      <c r="A845" s="39">
        <v>0.28899999999999998</v>
      </c>
      <c r="B845" s="37">
        <v>879</v>
      </c>
      <c r="C845" s="38">
        <v>0.53100000000000003</v>
      </c>
      <c r="D845" s="39">
        <v>0.12</v>
      </c>
      <c r="E845" s="37">
        <v>75</v>
      </c>
      <c r="F845" s="37">
        <v>1</v>
      </c>
      <c r="G845" s="37">
        <v>2</v>
      </c>
      <c r="H845" s="40">
        <f ca="1">LEFT(Music_Data[[#This Row],[Duration_minutes]],3)/60</f>
        <v>3.2166666666666668</v>
      </c>
      <c r="I845" s="39">
        <v>0.33900000000000002</v>
      </c>
      <c r="J845" s="41" t="str">
        <f t="shared" si="13"/>
        <v>Casi nada popular</v>
      </c>
      <c r="K845" s="43">
        <v>44232</v>
      </c>
    </row>
    <row r="846" spans="1:11">
      <c r="A846" s="34">
        <v>0.36699999999999999</v>
      </c>
      <c r="B846" s="32">
        <v>105</v>
      </c>
      <c r="C846" s="33">
        <v>0.39500000000000002</v>
      </c>
      <c r="D846" s="34">
        <v>0.42599999999999999</v>
      </c>
      <c r="E846" s="32">
        <v>75</v>
      </c>
      <c r="F846" s="32">
        <v>1</v>
      </c>
      <c r="G846" s="32">
        <v>3</v>
      </c>
      <c r="H846" s="35">
        <f ca="1">LEFT(Music_Data[[#This Row],[Duration_minutes]],3)/60</f>
        <v>3.05</v>
      </c>
      <c r="I846" s="34">
        <v>0.81499999999999995</v>
      </c>
      <c r="J846" s="36" t="str">
        <f t="shared" si="13"/>
        <v>Casi nada popular</v>
      </c>
      <c r="K846" s="42">
        <v>44756</v>
      </c>
    </row>
    <row r="847" spans="1:11">
      <c r="A847" s="39">
        <v>0.159</v>
      </c>
      <c r="B847" s="37">
        <v>970</v>
      </c>
      <c r="C847" s="38">
        <v>0.40300000000000002</v>
      </c>
      <c r="D847" s="39">
        <v>3.8100000000000002E-2</v>
      </c>
      <c r="E847" s="37">
        <v>75</v>
      </c>
      <c r="F847" s="37">
        <v>0</v>
      </c>
      <c r="G847" s="37">
        <v>1</v>
      </c>
      <c r="H847" s="40">
        <f ca="1">LEFT(Music_Data[[#This Row],[Duration_minutes]],3)/60</f>
        <v>2.5</v>
      </c>
      <c r="I847" s="39">
        <v>0.96099999999999997</v>
      </c>
      <c r="J847" s="41" t="str">
        <f t="shared" si="13"/>
        <v>Casi nada popular</v>
      </c>
      <c r="K847" s="43">
        <v>45120</v>
      </c>
    </row>
    <row r="848" spans="1:11">
      <c r="A848" s="34">
        <v>0.81399999999999995</v>
      </c>
      <c r="B848" s="32">
        <v>920</v>
      </c>
      <c r="C848" s="33">
        <v>0.625</v>
      </c>
      <c r="D848" s="34">
        <v>0.53500000000000003</v>
      </c>
      <c r="E848" s="32">
        <v>75</v>
      </c>
      <c r="F848" s="32">
        <v>1</v>
      </c>
      <c r="G848" s="32">
        <v>0</v>
      </c>
      <c r="H848" s="35">
        <f ca="1">LEFT(Music_Data[[#This Row],[Duration_minutes]],3)/60</f>
        <v>2.9166666666666665</v>
      </c>
      <c r="I848" s="34">
        <v>1.72E-2</v>
      </c>
      <c r="J848" s="36" t="str">
        <f t="shared" si="13"/>
        <v>Casi nada popular</v>
      </c>
      <c r="K848" s="42">
        <v>43890</v>
      </c>
    </row>
    <row r="849" spans="1:11">
      <c r="A849" s="39">
        <v>0.88</v>
      </c>
      <c r="B849" s="37">
        <v>196</v>
      </c>
      <c r="C849" s="38">
        <v>0.49</v>
      </c>
      <c r="D849" s="39">
        <v>0.39200000000000002</v>
      </c>
      <c r="E849" s="37">
        <v>75</v>
      </c>
      <c r="F849" s="37">
        <v>1</v>
      </c>
      <c r="G849" s="37">
        <v>2</v>
      </c>
      <c r="H849" s="40">
        <f ca="1">LEFT(Music_Data[[#This Row],[Duration_minutes]],3)/60</f>
        <v>3.3</v>
      </c>
      <c r="I849" s="39">
        <v>1.5399999999999999E-3</v>
      </c>
      <c r="J849" s="41" t="str">
        <f t="shared" si="13"/>
        <v>Casi nada popular</v>
      </c>
      <c r="K849" s="43">
        <v>44687</v>
      </c>
    </row>
    <row r="850" spans="1:11">
      <c r="A850" s="34">
        <v>0.78</v>
      </c>
      <c r="B850" s="32">
        <v>946</v>
      </c>
      <c r="C850" s="33">
        <v>0.46100000000000002</v>
      </c>
      <c r="D850" s="34">
        <v>0.44800000000000001</v>
      </c>
      <c r="E850" s="32">
        <v>75</v>
      </c>
      <c r="F850" s="32">
        <v>0</v>
      </c>
      <c r="G850" s="32">
        <v>11</v>
      </c>
      <c r="H850" s="35">
        <f ca="1">LEFT(Music_Data[[#This Row],[Duration_minutes]],3)/60</f>
        <v>3.6</v>
      </c>
      <c r="I850" s="34">
        <v>0.128</v>
      </c>
      <c r="J850" s="36" t="str">
        <f t="shared" si="13"/>
        <v>Casi nada popular</v>
      </c>
      <c r="K850" s="42">
        <v>45212</v>
      </c>
    </row>
    <row r="851" spans="1:11">
      <c r="A851" s="39">
        <v>0.627</v>
      </c>
      <c r="B851" s="37">
        <v>123</v>
      </c>
      <c r="C851" s="38">
        <v>0.74199999999999999</v>
      </c>
      <c r="D851" s="39">
        <v>0.35599999999999998</v>
      </c>
      <c r="E851" s="37">
        <v>75</v>
      </c>
      <c r="F851" s="37">
        <v>0</v>
      </c>
      <c r="G851" s="37">
        <v>4</v>
      </c>
      <c r="H851" s="40">
        <f ca="1">LEFT(Music_Data[[#This Row],[Duration_minutes]],3)/60</f>
        <v>3.2166666666666668</v>
      </c>
      <c r="I851" s="39">
        <v>0.26200000000000001</v>
      </c>
      <c r="J851" s="41" t="str">
        <f t="shared" si="13"/>
        <v>Casi nada popular</v>
      </c>
      <c r="K851" s="43">
        <v>45589</v>
      </c>
    </row>
    <row r="852" spans="1:11">
      <c r="A852" s="34">
        <v>0.51200000000000001</v>
      </c>
      <c r="B852" s="32">
        <v>140</v>
      </c>
      <c r="C852" s="33">
        <v>0.84799999999999998</v>
      </c>
      <c r="D852" s="34">
        <v>0.88100000000000001</v>
      </c>
      <c r="E852" s="32">
        <v>75</v>
      </c>
      <c r="F852" s="32">
        <v>1</v>
      </c>
      <c r="G852" s="32">
        <v>7</v>
      </c>
      <c r="H852" s="35">
        <f ca="1">LEFT(Music_Data[[#This Row],[Duration_minutes]],3)/60</f>
        <v>3.4666666666666668</v>
      </c>
      <c r="I852" s="34">
        <v>0.28399999999999997</v>
      </c>
      <c r="J852" s="36" t="str">
        <f t="shared" si="13"/>
        <v>Casi nada popular</v>
      </c>
      <c r="K852" s="42">
        <v>45002</v>
      </c>
    </row>
    <row r="853" spans="1:11">
      <c r="A853" s="39">
        <v>0.35599999999999998</v>
      </c>
      <c r="B853" s="37">
        <v>999</v>
      </c>
      <c r="C853" s="38">
        <v>0.70799999999999996</v>
      </c>
      <c r="D853" s="39">
        <v>0.56899999999999995</v>
      </c>
      <c r="E853" s="37">
        <v>75</v>
      </c>
      <c r="F853" s="37">
        <v>1</v>
      </c>
      <c r="G853" s="37">
        <v>1</v>
      </c>
      <c r="H853" s="40">
        <f ca="1">LEFT(Music_Data[[#This Row],[Duration_minutes]],3)/60</f>
        <v>3.8333333333333335</v>
      </c>
      <c r="I853" s="39">
        <v>0.437</v>
      </c>
      <c r="J853" s="41" t="str">
        <f t="shared" si="13"/>
        <v>Casi nada popular</v>
      </c>
      <c r="K853" s="43">
        <v>45450</v>
      </c>
    </row>
    <row r="854" spans="1:11">
      <c r="A854" s="34">
        <v>0.57699999999999996</v>
      </c>
      <c r="B854" s="32">
        <v>800</v>
      </c>
      <c r="C854" s="33">
        <v>0.79500000000000004</v>
      </c>
      <c r="D854" s="34">
        <v>0.20599999999999999</v>
      </c>
      <c r="E854" s="32">
        <v>75</v>
      </c>
      <c r="F854" s="32">
        <v>0</v>
      </c>
      <c r="G854" s="32">
        <v>1</v>
      </c>
      <c r="H854" s="35">
        <f ca="1">LEFT(Music_Data[[#This Row],[Duration_minutes]],3)/60</f>
        <v>2.95</v>
      </c>
      <c r="I854" s="34">
        <v>2.63E-3</v>
      </c>
      <c r="J854" s="36" t="str">
        <f t="shared" si="13"/>
        <v>Casi nada popular</v>
      </c>
      <c r="K854" s="42">
        <v>35065</v>
      </c>
    </row>
    <row r="855" spans="1:11">
      <c r="A855" s="39">
        <v>0.52300000000000002</v>
      </c>
      <c r="B855" s="37">
        <v>156</v>
      </c>
      <c r="C855" s="38">
        <v>0.45200000000000001</v>
      </c>
      <c r="D855" s="39">
        <v>0.36299999999999999</v>
      </c>
      <c r="E855" s="37">
        <v>75</v>
      </c>
      <c r="F855" s="37">
        <v>1</v>
      </c>
      <c r="G855" s="37">
        <v>5</v>
      </c>
      <c r="H855" s="40">
        <f ca="1">LEFT(Music_Data[[#This Row],[Duration_minutes]],3)/60</f>
        <v>2.7666666666666666</v>
      </c>
      <c r="I855" s="39">
        <v>0.56299999999999994</v>
      </c>
      <c r="J855" s="41" t="str">
        <f t="shared" si="13"/>
        <v>Casi nada popular</v>
      </c>
      <c r="K855" s="43">
        <v>45589</v>
      </c>
    </row>
    <row r="856" spans="1:11">
      <c r="A856" s="34">
        <v>0.59299999999999997</v>
      </c>
      <c r="B856" s="32">
        <v>153</v>
      </c>
      <c r="C856" s="33">
        <v>0.79</v>
      </c>
      <c r="D856" s="34">
        <v>0.72</v>
      </c>
      <c r="E856" s="32">
        <v>75</v>
      </c>
      <c r="F856" s="32">
        <v>0</v>
      </c>
      <c r="G856" s="32">
        <v>1</v>
      </c>
      <c r="H856" s="35">
        <f ca="1">LEFT(Music_Data[[#This Row],[Duration_minutes]],3)/60</f>
        <v>4.55</v>
      </c>
      <c r="I856" s="34">
        <v>9.8299999999999998E-2</v>
      </c>
      <c r="J856" s="36" t="str">
        <f t="shared" si="13"/>
        <v>Casi nada popular</v>
      </c>
      <c r="K856" s="42">
        <v>44385</v>
      </c>
    </row>
    <row r="857" spans="1:11">
      <c r="A857" s="39">
        <v>0.39400000000000002</v>
      </c>
      <c r="B857" s="37">
        <v>127</v>
      </c>
      <c r="C857" s="38">
        <v>0.69299999999999995</v>
      </c>
      <c r="D857" s="39">
        <v>0.72099999999999997</v>
      </c>
      <c r="E857" s="37">
        <v>74</v>
      </c>
      <c r="F857" s="37">
        <v>1</v>
      </c>
      <c r="G857" s="37">
        <v>0</v>
      </c>
      <c r="H857" s="40">
        <f ca="1">LEFT(Music_Data[[#This Row],[Duration_minutes]],3)/60</f>
        <v>3.8</v>
      </c>
      <c r="I857" s="39">
        <v>7.8200000000000006E-2</v>
      </c>
      <c r="J857" s="41" t="str">
        <f t="shared" si="13"/>
        <v>Casi nada popular</v>
      </c>
      <c r="K857" s="43">
        <v>44652</v>
      </c>
    </row>
    <row r="858" spans="1:11">
      <c r="A858" s="34">
        <v>0.69099999999999995</v>
      </c>
      <c r="B858" s="32">
        <v>920</v>
      </c>
      <c r="C858" s="33">
        <v>0.54800000000000004</v>
      </c>
      <c r="D858" s="34">
        <v>0.66700000000000004</v>
      </c>
      <c r="E858" s="32">
        <v>74</v>
      </c>
      <c r="F858" s="32">
        <v>0</v>
      </c>
      <c r="G858" s="32">
        <v>4</v>
      </c>
      <c r="H858" s="35">
        <f ca="1">LEFT(Music_Data[[#This Row],[Duration_minutes]],3)/60</f>
        <v>2.1666666666666665</v>
      </c>
      <c r="I858" s="34">
        <v>1.4999999999999999E-2</v>
      </c>
      <c r="J858" s="36" t="str">
        <f t="shared" si="13"/>
        <v>Casi nada popular</v>
      </c>
      <c r="K858" s="42">
        <v>44162</v>
      </c>
    </row>
    <row r="859" spans="1:11">
      <c r="A859" s="39">
        <v>0.48199999999999998</v>
      </c>
      <c r="B859" s="37">
        <v>961</v>
      </c>
      <c r="C859" s="38">
        <v>0.52900000000000003</v>
      </c>
      <c r="D859" s="39">
        <v>0.49199999999999999</v>
      </c>
      <c r="E859" s="37">
        <v>74</v>
      </c>
      <c r="F859" s="37">
        <v>0</v>
      </c>
      <c r="G859" s="37">
        <v>4</v>
      </c>
      <c r="H859" s="40">
        <f ca="1">LEFT(Music_Data[[#This Row],[Duration_minutes]],3)/60</f>
        <v>4.916666666666667</v>
      </c>
      <c r="I859" s="39">
        <v>0.7</v>
      </c>
      <c r="J859" s="41" t="str">
        <f t="shared" si="13"/>
        <v>Casi nada popular</v>
      </c>
      <c r="K859" s="43">
        <v>43890</v>
      </c>
    </row>
    <row r="860" spans="1:11">
      <c r="A860" s="34">
        <v>0.318</v>
      </c>
      <c r="B860" s="32">
        <v>176</v>
      </c>
      <c r="C860" s="33">
        <v>0.57499999999999996</v>
      </c>
      <c r="D860" s="34">
        <v>0.38500000000000001</v>
      </c>
      <c r="E860" s="32">
        <v>74</v>
      </c>
      <c r="F860" s="32">
        <v>1</v>
      </c>
      <c r="G860" s="32">
        <v>0</v>
      </c>
      <c r="H860" s="35">
        <f ca="1">LEFT(Music_Data[[#This Row],[Duration_minutes]],3)/60</f>
        <v>4.166666666666667</v>
      </c>
      <c r="I860" s="34">
        <v>0.68300000000000005</v>
      </c>
      <c r="J860" s="36" t="str">
        <f t="shared" si="13"/>
        <v>Casi nada popular</v>
      </c>
      <c r="K860" s="42">
        <v>43616</v>
      </c>
    </row>
    <row r="861" spans="1:11">
      <c r="A861" s="39">
        <v>0.57799999999999996</v>
      </c>
      <c r="B861" s="37">
        <v>900</v>
      </c>
      <c r="C861" s="38">
        <v>0.91600000000000004</v>
      </c>
      <c r="D861" s="39">
        <v>0.192</v>
      </c>
      <c r="E861" s="37">
        <v>74</v>
      </c>
      <c r="F861" s="37">
        <v>1</v>
      </c>
      <c r="G861" s="37">
        <v>11</v>
      </c>
      <c r="H861" s="40">
        <f ca="1">LEFT(Music_Data[[#This Row],[Duration_minutes]],3)/60</f>
        <v>3.6333333333333333</v>
      </c>
      <c r="I861" s="39">
        <v>3.49E-3</v>
      </c>
      <c r="J861" s="41" t="str">
        <f t="shared" si="13"/>
        <v>Casi nada popular</v>
      </c>
      <c r="K861" s="43">
        <v>45610</v>
      </c>
    </row>
    <row r="862" spans="1:11">
      <c r="A862" s="34">
        <v>0.52700000000000002</v>
      </c>
      <c r="B862" s="32">
        <v>173</v>
      </c>
      <c r="C862" s="33">
        <v>0.82399999999999995</v>
      </c>
      <c r="D862" s="34">
        <v>0.21199999999999999</v>
      </c>
      <c r="E862" s="32">
        <v>74</v>
      </c>
      <c r="F862" s="32">
        <v>1</v>
      </c>
      <c r="G862" s="32">
        <v>8</v>
      </c>
      <c r="H862" s="35">
        <f ca="1">LEFT(Music_Data[[#This Row],[Duration_minutes]],3)/60</f>
        <v>3.7666666666666666</v>
      </c>
      <c r="I862" s="34">
        <v>0.14899999999999999</v>
      </c>
      <c r="J862" s="36" t="str">
        <f t="shared" si="13"/>
        <v>Casi nada popular</v>
      </c>
      <c r="K862" s="42">
        <v>41894</v>
      </c>
    </row>
    <row r="863" spans="1:11">
      <c r="A863" s="39">
        <v>0.496</v>
      </c>
      <c r="B863" s="37">
        <v>171</v>
      </c>
      <c r="C863" s="38">
        <v>0.88900000000000001</v>
      </c>
      <c r="D863" s="39">
        <v>0.54400000000000004</v>
      </c>
      <c r="E863" s="37">
        <v>74</v>
      </c>
      <c r="F863" s="37">
        <v>0</v>
      </c>
      <c r="G863" s="37">
        <v>4</v>
      </c>
      <c r="H863" s="40">
        <f ca="1">LEFT(Music_Data[[#This Row],[Duration_minutes]],3)/60</f>
        <v>2.95</v>
      </c>
      <c r="I863" s="39">
        <v>0.25900000000000001</v>
      </c>
      <c r="J863" s="41" t="str">
        <f t="shared" si="13"/>
        <v>Casi nada popular</v>
      </c>
      <c r="K863" s="43">
        <v>45596</v>
      </c>
    </row>
    <row r="864" spans="1:11">
      <c r="A864" s="34">
        <v>0.71799999999999997</v>
      </c>
      <c r="B864" s="32">
        <v>130</v>
      </c>
      <c r="C864" s="33">
        <v>0.84799999999999998</v>
      </c>
      <c r="D864" s="34">
        <v>0.56399999999999995</v>
      </c>
      <c r="E864" s="32">
        <v>74</v>
      </c>
      <c r="F864" s="32">
        <v>0</v>
      </c>
      <c r="G864" s="32">
        <v>9</v>
      </c>
      <c r="H864" s="35">
        <f ca="1">LEFT(Music_Data[[#This Row],[Duration_minutes]],3)/60</f>
        <v>4</v>
      </c>
      <c r="I864" s="34">
        <v>0.183</v>
      </c>
      <c r="J864" s="36" t="str">
        <f t="shared" si="13"/>
        <v>Casi nada popular</v>
      </c>
      <c r="K864" s="42">
        <v>42538</v>
      </c>
    </row>
    <row r="865" spans="1:11">
      <c r="A865" s="39">
        <v>0.58499999999999996</v>
      </c>
      <c r="B865" s="37">
        <v>939</v>
      </c>
      <c r="C865" s="38">
        <v>0.77500000000000002</v>
      </c>
      <c r="D865" s="39">
        <v>0.51800000000000002</v>
      </c>
      <c r="E865" s="37">
        <v>74</v>
      </c>
      <c r="F865" s="37">
        <v>0</v>
      </c>
      <c r="G865" s="37">
        <v>10</v>
      </c>
      <c r="H865" s="40">
        <f ca="1">LEFT(Music_Data[[#This Row],[Duration_minutes]],3)/60</f>
        <v>5.5333333333333332</v>
      </c>
      <c r="I865" s="39">
        <v>4.2200000000000001E-2</v>
      </c>
      <c r="J865" s="41" t="str">
        <f t="shared" si="13"/>
        <v>Casi nada popular</v>
      </c>
      <c r="K865" s="43">
        <v>43679</v>
      </c>
    </row>
    <row r="866" spans="1:11">
      <c r="A866" s="34">
        <v>0.90100000000000002</v>
      </c>
      <c r="B866" s="32">
        <v>104</v>
      </c>
      <c r="C866" s="33">
        <v>0.621</v>
      </c>
      <c r="D866" s="34">
        <v>0.74399999999999999</v>
      </c>
      <c r="E866" s="32">
        <v>74</v>
      </c>
      <c r="F866" s="32">
        <v>1</v>
      </c>
      <c r="G866" s="32">
        <v>2</v>
      </c>
      <c r="H866" s="35">
        <f ca="1">LEFT(Music_Data[[#This Row],[Duration_minutes]],3)/60</f>
        <v>3.1666666666666665</v>
      </c>
      <c r="I866" s="34">
        <v>0.17</v>
      </c>
      <c r="J866" s="36" t="str">
        <f t="shared" si="13"/>
        <v>Casi nada popular</v>
      </c>
      <c r="K866" s="42">
        <v>45526</v>
      </c>
    </row>
    <row r="867" spans="1:11">
      <c r="A867" s="39">
        <v>0.50900000000000001</v>
      </c>
      <c r="B867" s="37">
        <v>104</v>
      </c>
      <c r="C867" s="38">
        <v>0.89800000000000002</v>
      </c>
      <c r="D867" s="39">
        <v>0.72699999999999998</v>
      </c>
      <c r="E867" s="37">
        <v>74</v>
      </c>
      <c r="F867" s="37">
        <v>1</v>
      </c>
      <c r="G867" s="37">
        <v>5</v>
      </c>
      <c r="H867" s="40">
        <f ca="1">LEFT(Music_Data[[#This Row],[Duration_minutes]],3)/60</f>
        <v>3.1666666666666665</v>
      </c>
      <c r="I867" s="39">
        <v>0.39100000000000001</v>
      </c>
      <c r="J867" s="41" t="str">
        <f t="shared" si="13"/>
        <v>Casi nada popular</v>
      </c>
      <c r="K867" s="43">
        <v>45526</v>
      </c>
    </row>
    <row r="868" spans="1:11">
      <c r="A868" s="34">
        <v>0.69299999999999995</v>
      </c>
      <c r="B868" s="32">
        <v>959</v>
      </c>
      <c r="C868" s="33">
        <v>0.66200000000000003</v>
      </c>
      <c r="D868" s="34">
        <v>0.65500000000000003</v>
      </c>
      <c r="E868" s="32">
        <v>74</v>
      </c>
      <c r="F868" s="32">
        <v>1</v>
      </c>
      <c r="G868" s="32">
        <v>3</v>
      </c>
      <c r="H868" s="35">
        <f ca="1">LEFT(Music_Data[[#This Row],[Duration_minutes]],3)/60</f>
        <v>4.1333333333333337</v>
      </c>
      <c r="I868" s="34">
        <v>0.13400000000000001</v>
      </c>
      <c r="J868" s="36" t="str">
        <f t="shared" si="13"/>
        <v>Casi nada popular</v>
      </c>
      <c r="K868" s="42">
        <v>45610</v>
      </c>
    </row>
    <row r="869" spans="1:11">
      <c r="A869" s="39">
        <v>0.43</v>
      </c>
      <c r="B869" s="37">
        <v>162</v>
      </c>
      <c r="C869" s="38">
        <v>0.71599999999999997</v>
      </c>
      <c r="D869" s="39">
        <v>0.47199999999999998</v>
      </c>
      <c r="E869" s="37">
        <v>74</v>
      </c>
      <c r="F869" s="37">
        <v>0</v>
      </c>
      <c r="G869" s="37">
        <v>9</v>
      </c>
      <c r="H869" s="40">
        <f ca="1">LEFT(Music_Data[[#This Row],[Duration_minutes]],3)/60</f>
        <v>3.4333333333333331</v>
      </c>
      <c r="I869" s="39">
        <v>0.48199999999999998</v>
      </c>
      <c r="J869" s="41" t="str">
        <f t="shared" si="13"/>
        <v>Casi nada popular</v>
      </c>
      <c r="K869" s="43">
        <v>45247</v>
      </c>
    </row>
    <row r="870" spans="1:11">
      <c r="A870" s="34">
        <v>0.53800000000000003</v>
      </c>
      <c r="B870" s="32">
        <v>950</v>
      </c>
      <c r="C870" s="33">
        <v>0.81</v>
      </c>
      <c r="D870" s="34">
        <v>0.83199999999999996</v>
      </c>
      <c r="E870" s="32">
        <v>74</v>
      </c>
      <c r="F870" s="32">
        <v>0</v>
      </c>
      <c r="G870" s="32">
        <v>0</v>
      </c>
      <c r="H870" s="35">
        <f ca="1">LEFT(Music_Data[[#This Row],[Duration_minutes]],3)/60</f>
        <v>4.083333333333333</v>
      </c>
      <c r="I870" s="34">
        <v>0.53</v>
      </c>
      <c r="J870" s="36" t="str">
        <f t="shared" si="13"/>
        <v>Casi nada popular</v>
      </c>
      <c r="K870" s="42">
        <v>44707</v>
      </c>
    </row>
    <row r="871" spans="1:11">
      <c r="A871" s="39">
        <v>0.71199999999999997</v>
      </c>
      <c r="B871" s="37">
        <v>169</v>
      </c>
      <c r="C871" s="38">
        <v>0.57299999999999995</v>
      </c>
      <c r="D871" s="39">
        <v>0.34599999999999997</v>
      </c>
      <c r="E871" s="37">
        <v>74</v>
      </c>
      <c r="F871" s="37">
        <v>1</v>
      </c>
      <c r="G871" s="37">
        <v>0</v>
      </c>
      <c r="H871" s="40">
        <f ca="1">LEFT(Music_Data[[#This Row],[Duration_minutes]],3)/60</f>
        <v>3.6166666666666667</v>
      </c>
      <c r="I871" s="39">
        <v>5.7200000000000001E-2</v>
      </c>
      <c r="J871" s="41" t="str">
        <f t="shared" si="13"/>
        <v>Casi nada popular</v>
      </c>
      <c r="K871" s="43">
        <v>44162</v>
      </c>
    </row>
    <row r="872" spans="1:11">
      <c r="A872" s="34">
        <v>0.69699999999999995</v>
      </c>
      <c r="B872" s="32">
        <v>782</v>
      </c>
      <c r="C872" s="33">
        <v>0.61299999999999999</v>
      </c>
      <c r="D872" s="34">
        <v>0.47599999999999998</v>
      </c>
      <c r="E872" s="32">
        <v>74</v>
      </c>
      <c r="F872" s="32">
        <v>1</v>
      </c>
      <c r="G872" s="32">
        <v>2</v>
      </c>
      <c r="H872" s="35">
        <f ca="1">LEFT(Music_Data[[#This Row],[Duration_minutes]],3)/60</f>
        <v>3.8333333333333335</v>
      </c>
      <c r="I872" s="34">
        <v>1.9400000000000001E-2</v>
      </c>
      <c r="J872" s="36" t="str">
        <f t="shared" si="13"/>
        <v>Casi nada popular</v>
      </c>
      <c r="K872" s="42">
        <v>44687</v>
      </c>
    </row>
    <row r="873" spans="1:11">
      <c r="A873" s="39">
        <v>0.63400000000000001</v>
      </c>
      <c r="B873" s="37">
        <v>115</v>
      </c>
      <c r="C873" s="38">
        <v>0.70399999999999996</v>
      </c>
      <c r="D873" s="39">
        <v>0.41099999999999998</v>
      </c>
      <c r="E873" s="37">
        <v>74</v>
      </c>
      <c r="F873" s="37">
        <v>0</v>
      </c>
      <c r="G873" s="37">
        <v>11</v>
      </c>
      <c r="H873" s="40">
        <f ca="1">LEFT(Music_Data[[#This Row],[Duration_minutes]],3)/60</f>
        <v>2.3166666666666669</v>
      </c>
      <c r="I873" s="39">
        <v>0.39300000000000002</v>
      </c>
      <c r="J873" s="41" t="str">
        <f t="shared" si="13"/>
        <v>Casi nada popular</v>
      </c>
      <c r="K873" s="43">
        <v>44687</v>
      </c>
    </row>
    <row r="874" spans="1:11">
      <c r="A874" s="34">
        <v>0.86099999999999999</v>
      </c>
      <c r="B874" s="32">
        <v>989</v>
      </c>
      <c r="C874" s="33">
        <v>0.73</v>
      </c>
      <c r="D874" s="34">
        <v>0.70399999999999996</v>
      </c>
      <c r="E874" s="32">
        <v>74</v>
      </c>
      <c r="F874" s="32">
        <v>1</v>
      </c>
      <c r="G874" s="32">
        <v>1</v>
      </c>
      <c r="H874" s="35">
        <f ca="1">LEFT(Music_Data[[#This Row],[Duration_minutes]],3)/60</f>
        <v>5.083333333333333</v>
      </c>
      <c r="I874" s="34">
        <v>0.39</v>
      </c>
      <c r="J874" s="36" t="str">
        <f t="shared" si="13"/>
        <v>Casi nada popular</v>
      </c>
      <c r="K874" s="42">
        <v>43619</v>
      </c>
    </row>
    <row r="875" spans="1:11">
      <c r="A875" s="39">
        <v>0.98899999999999999</v>
      </c>
      <c r="B875" s="37">
        <v>102</v>
      </c>
      <c r="C875" s="38">
        <v>0.621</v>
      </c>
      <c r="D875" s="39">
        <v>3.4799999999999998E-2</v>
      </c>
      <c r="E875" s="37">
        <v>74</v>
      </c>
      <c r="F875" s="37">
        <v>0</v>
      </c>
      <c r="G875" s="37">
        <v>10</v>
      </c>
      <c r="H875" s="40">
        <f ca="1">LEFT(Music_Data[[#This Row],[Duration_minutes]],3)/60</f>
        <v>3.3166666666666669</v>
      </c>
      <c r="I875" s="39">
        <v>1.4999999999999999E-2</v>
      </c>
      <c r="J875" s="41" t="str">
        <f t="shared" si="13"/>
        <v>Casi nada popular</v>
      </c>
      <c r="K875" s="43">
        <v>45135</v>
      </c>
    </row>
    <row r="876" spans="1:11">
      <c r="A876" s="34">
        <v>0.80500000000000005</v>
      </c>
      <c r="B876" s="32">
        <v>189</v>
      </c>
      <c r="C876" s="33">
        <v>0.50600000000000001</v>
      </c>
      <c r="D876" s="34">
        <v>0.38300000000000001</v>
      </c>
      <c r="E876" s="32">
        <v>74</v>
      </c>
      <c r="F876" s="32">
        <v>1</v>
      </c>
      <c r="G876" s="32">
        <v>1</v>
      </c>
      <c r="H876" s="35">
        <f ca="1">LEFT(Music_Data[[#This Row],[Duration_minutes]],3)/60</f>
        <v>4.3666666666666663</v>
      </c>
      <c r="I876" s="34">
        <v>7.11E-3</v>
      </c>
      <c r="J876" s="36" t="str">
        <f t="shared" si="13"/>
        <v>Casi nada popular</v>
      </c>
      <c r="K876" s="42">
        <v>44511</v>
      </c>
    </row>
    <row r="877" spans="1:11">
      <c r="A877" s="39">
        <v>0.78100000000000003</v>
      </c>
      <c r="B877" s="37">
        <v>111</v>
      </c>
      <c r="C877" s="38">
        <v>0.80500000000000005</v>
      </c>
      <c r="D877" s="39">
        <v>0.81799999999999995</v>
      </c>
      <c r="E877" s="37">
        <v>74</v>
      </c>
      <c r="F877" s="37">
        <v>0</v>
      </c>
      <c r="G877" s="37">
        <v>1</v>
      </c>
      <c r="H877" s="40">
        <f ca="1">LEFT(Music_Data[[#This Row],[Duration_minutes]],3)/60</f>
        <v>3.5</v>
      </c>
      <c r="I877" s="39">
        <v>2E-3</v>
      </c>
      <c r="J877" s="41" t="str">
        <f t="shared" si="13"/>
        <v>Casi nada popular</v>
      </c>
      <c r="K877" s="43">
        <v>44673</v>
      </c>
    </row>
    <row r="878" spans="1:11">
      <c r="A878" s="34">
        <v>0.84799999999999998</v>
      </c>
      <c r="B878" s="32">
        <v>811</v>
      </c>
      <c r="C878" s="33">
        <v>0.72099999999999997</v>
      </c>
      <c r="D878" s="34">
        <v>0.77400000000000002</v>
      </c>
      <c r="E878" s="32">
        <v>74</v>
      </c>
      <c r="F878" s="32">
        <v>1</v>
      </c>
      <c r="G878" s="32">
        <v>9</v>
      </c>
      <c r="H878" s="35">
        <f ca="1">LEFT(Music_Data[[#This Row],[Duration_minutes]],3)/60</f>
        <v>3.6</v>
      </c>
      <c r="I878" s="34">
        <v>0.26</v>
      </c>
      <c r="J878" s="36" t="str">
        <f t="shared" si="13"/>
        <v>Casi nada popular</v>
      </c>
      <c r="K878" s="42">
        <v>36161</v>
      </c>
    </row>
    <row r="879" spans="1:11">
      <c r="A879" s="39">
        <v>0.74199999999999999</v>
      </c>
      <c r="B879" s="37">
        <v>128</v>
      </c>
      <c r="C879" s="38">
        <v>0.77300000000000002</v>
      </c>
      <c r="D879" s="39">
        <v>0.57099999999999995</v>
      </c>
      <c r="E879" s="37">
        <v>74</v>
      </c>
      <c r="F879" s="37">
        <v>0</v>
      </c>
      <c r="G879" s="37">
        <v>5</v>
      </c>
      <c r="H879" s="40">
        <f ca="1">LEFT(Music_Data[[#This Row],[Duration_minutes]],3)/60</f>
        <v>2.5833333333333335</v>
      </c>
      <c r="I879" s="39">
        <v>2.06E-2</v>
      </c>
      <c r="J879" s="41" t="str">
        <f t="shared" si="13"/>
        <v>Casi nada popular</v>
      </c>
      <c r="K879" s="43">
        <v>45416</v>
      </c>
    </row>
    <row r="880" spans="1:11">
      <c r="A880" s="34">
        <v>0.52700000000000002</v>
      </c>
      <c r="B880" s="32">
        <v>167</v>
      </c>
      <c r="C880" s="33">
        <v>0.82399999999999995</v>
      </c>
      <c r="D880" s="34">
        <v>0.21199999999999999</v>
      </c>
      <c r="E880" s="32">
        <v>74</v>
      </c>
      <c r="F880" s="32">
        <v>1</v>
      </c>
      <c r="G880" s="32">
        <v>8</v>
      </c>
      <c r="H880" s="35">
        <f ca="1">LEFT(Music_Data[[#This Row],[Duration_minutes]],3)/60</f>
        <v>3.5166666666666666</v>
      </c>
      <c r="I880" s="34">
        <v>0.14899999999999999</v>
      </c>
      <c r="J880" s="36" t="str">
        <f t="shared" si="13"/>
        <v>Casi nada popular</v>
      </c>
      <c r="K880" s="42">
        <v>45166</v>
      </c>
    </row>
    <row r="881" spans="1:11">
      <c r="A881" s="39">
        <v>0.65500000000000003</v>
      </c>
      <c r="B881" s="37">
        <v>940</v>
      </c>
      <c r="C881" s="38">
        <v>0.47499999999999998</v>
      </c>
      <c r="D881" s="39">
        <v>0.245</v>
      </c>
      <c r="E881" s="37">
        <v>74</v>
      </c>
      <c r="F881" s="37">
        <v>0</v>
      </c>
      <c r="G881" s="37">
        <v>11</v>
      </c>
      <c r="H881" s="40">
        <f ca="1">LEFT(Music_Data[[#This Row],[Duration_minutes]],3)/60</f>
        <v>3.3166666666666669</v>
      </c>
      <c r="I881" s="39">
        <v>3.0599999999999999E-2</v>
      </c>
      <c r="J881" s="41" t="str">
        <f t="shared" si="13"/>
        <v>Casi nada popular</v>
      </c>
      <c r="K881" s="43">
        <v>43706</v>
      </c>
    </row>
    <row r="882" spans="1:11">
      <c r="A882" s="34">
        <v>0.505</v>
      </c>
      <c r="B882" s="32">
        <v>130</v>
      </c>
      <c r="C882" s="33">
        <v>0.53500000000000003</v>
      </c>
      <c r="D882" s="34">
        <v>0.495</v>
      </c>
      <c r="E882" s="32">
        <v>74</v>
      </c>
      <c r="F882" s="32">
        <v>0</v>
      </c>
      <c r="G882" s="32">
        <v>2</v>
      </c>
      <c r="H882" s="35">
        <f ca="1">LEFT(Music_Data[[#This Row],[Duration_minutes]],3)/60</f>
        <v>2.6166666666666667</v>
      </c>
      <c r="I882" s="34">
        <v>3.9300000000000002E-2</v>
      </c>
      <c r="J882" s="36" t="str">
        <f t="shared" si="13"/>
        <v>Casi nada popular</v>
      </c>
      <c r="K882" s="42">
        <v>44770</v>
      </c>
    </row>
    <row r="883" spans="1:11">
      <c r="A883" s="39">
        <v>0.63</v>
      </c>
      <c r="B883" s="37">
        <v>123</v>
      </c>
      <c r="C883" s="38">
        <v>0.874</v>
      </c>
      <c r="D883" s="39">
        <v>0.71699999999999997</v>
      </c>
      <c r="E883" s="37">
        <v>74</v>
      </c>
      <c r="F883" s="37">
        <v>1</v>
      </c>
      <c r="G883" s="37">
        <v>1</v>
      </c>
      <c r="H883" s="40">
        <f ca="1">LEFT(Music_Data[[#This Row],[Duration_minutes]],3)/60</f>
        <v>3</v>
      </c>
      <c r="I883" s="39">
        <v>5.7799999999999997E-2</v>
      </c>
      <c r="J883" s="41" t="str">
        <f t="shared" si="13"/>
        <v>Casi nada popular</v>
      </c>
      <c r="K883" s="43">
        <v>44453</v>
      </c>
    </row>
    <row r="884" spans="1:11">
      <c r="A884" s="34">
        <v>0.78600000000000003</v>
      </c>
      <c r="B884" s="32">
        <v>142</v>
      </c>
      <c r="C884" s="33">
        <v>0.76300000000000001</v>
      </c>
      <c r="D884" s="34">
        <v>0.504</v>
      </c>
      <c r="E884" s="32">
        <v>74</v>
      </c>
      <c r="F884" s="32">
        <v>0</v>
      </c>
      <c r="G884" s="32">
        <v>10</v>
      </c>
      <c r="H884" s="35">
        <f ca="1">LEFT(Music_Data[[#This Row],[Duration_minutes]],3)/60</f>
        <v>3.8333333333333335</v>
      </c>
      <c r="I884" s="34">
        <v>1.46E-2</v>
      </c>
      <c r="J884" s="36" t="str">
        <f t="shared" si="13"/>
        <v>Casi nada popular</v>
      </c>
      <c r="K884" s="42">
        <v>44687</v>
      </c>
    </row>
    <row r="885" spans="1:11">
      <c r="A885" s="39">
        <v>0.84299999999999997</v>
      </c>
      <c r="B885" s="37">
        <v>179</v>
      </c>
      <c r="C885" s="38">
        <v>0.52900000000000003</v>
      </c>
      <c r="D885" s="39">
        <v>0.188</v>
      </c>
      <c r="E885" s="37">
        <v>74</v>
      </c>
      <c r="F885" s="37">
        <v>0</v>
      </c>
      <c r="G885" s="37">
        <v>6</v>
      </c>
      <c r="H885" s="40">
        <f ca="1">LEFT(Music_Data[[#This Row],[Duration_minutes]],3)/60</f>
        <v>2.7166666666666668</v>
      </c>
      <c r="I885" s="39">
        <v>6.2799999999999995E-2</v>
      </c>
      <c r="J885" s="41" t="str">
        <f t="shared" si="13"/>
        <v>Casi nada popular</v>
      </c>
      <c r="K885" s="43">
        <v>43890</v>
      </c>
    </row>
    <row r="886" spans="1:11">
      <c r="A886" s="34">
        <v>0.69099999999999995</v>
      </c>
      <c r="B886" s="32">
        <v>119</v>
      </c>
      <c r="C886" s="33">
        <v>0.82299999999999995</v>
      </c>
      <c r="D886" s="34">
        <v>0.70699999999999996</v>
      </c>
      <c r="E886" s="32">
        <v>74</v>
      </c>
      <c r="F886" s="32">
        <v>0</v>
      </c>
      <c r="G886" s="32">
        <v>9</v>
      </c>
      <c r="H886" s="35">
        <f ca="1">LEFT(Music_Data[[#This Row],[Duration_minutes]],3)/60</f>
        <v>3.4666666666666668</v>
      </c>
      <c r="I886" s="34">
        <v>7.7399999999999997E-2</v>
      </c>
      <c r="J886" s="36" t="str">
        <f t="shared" si="13"/>
        <v>Casi nada popular</v>
      </c>
      <c r="K886" s="42">
        <v>45212</v>
      </c>
    </row>
    <row r="887" spans="1:11">
      <c r="A887" s="39">
        <v>0.78600000000000003</v>
      </c>
      <c r="B887" s="37">
        <v>939</v>
      </c>
      <c r="C887" s="38">
        <v>0.69499999999999995</v>
      </c>
      <c r="D887" s="39">
        <v>0.46500000000000002</v>
      </c>
      <c r="E887" s="37">
        <v>74</v>
      </c>
      <c r="F887" s="37">
        <v>1</v>
      </c>
      <c r="G887" s="37">
        <v>9</v>
      </c>
      <c r="H887" s="40">
        <f ca="1">LEFT(Music_Data[[#This Row],[Duration_minutes]],3)/60</f>
        <v>3.2666666666666666</v>
      </c>
      <c r="I887" s="39">
        <v>6.6799999999999998E-2</v>
      </c>
      <c r="J887" s="41" t="str">
        <f t="shared" si="13"/>
        <v>Casi nada popular</v>
      </c>
      <c r="K887" s="43">
        <v>43890</v>
      </c>
    </row>
    <row r="888" spans="1:11">
      <c r="A888" s="34">
        <v>0.61599999999999999</v>
      </c>
      <c r="B888" s="32">
        <v>969</v>
      </c>
      <c r="C888" s="33">
        <v>0.79700000000000004</v>
      </c>
      <c r="D888" s="34">
        <v>0.45100000000000001</v>
      </c>
      <c r="E888" s="32">
        <v>74</v>
      </c>
      <c r="F888" s="32">
        <v>0</v>
      </c>
      <c r="G888" s="32">
        <v>1</v>
      </c>
      <c r="H888" s="35">
        <f ca="1">LEFT(Music_Data[[#This Row],[Duration_minutes]],3)/60</f>
        <v>3.3833333333333333</v>
      </c>
      <c r="I888" s="34">
        <v>0.76200000000000001</v>
      </c>
      <c r="J888" s="36" t="str">
        <f t="shared" si="13"/>
        <v>Casi nada popular</v>
      </c>
      <c r="K888" s="42">
        <v>43756</v>
      </c>
    </row>
    <row r="889" spans="1:11">
      <c r="A889" s="39">
        <v>0.63900000000000001</v>
      </c>
      <c r="B889" s="37">
        <v>181</v>
      </c>
      <c r="C889" s="38">
        <v>0.77200000000000002</v>
      </c>
      <c r="D889" s="39">
        <v>0.26100000000000001</v>
      </c>
      <c r="E889" s="37">
        <v>74</v>
      </c>
      <c r="F889" s="37">
        <v>1</v>
      </c>
      <c r="G889" s="37">
        <v>1</v>
      </c>
      <c r="H889" s="40">
        <f ca="1">LEFT(Music_Data[[#This Row],[Duration_minutes]],3)/60</f>
        <v>4.1500000000000004</v>
      </c>
      <c r="I889" s="39">
        <v>0.15</v>
      </c>
      <c r="J889" s="41" t="str">
        <f t="shared" si="13"/>
        <v>Casi nada popular</v>
      </c>
      <c r="K889" s="43">
        <v>44601</v>
      </c>
    </row>
    <row r="890" spans="1:11">
      <c r="A890" s="34">
        <v>0.65300000000000002</v>
      </c>
      <c r="B890" s="32">
        <v>165</v>
      </c>
      <c r="C890" s="33">
        <v>0.54700000000000004</v>
      </c>
      <c r="D890" s="34">
        <v>0.16300000000000001</v>
      </c>
      <c r="E890" s="32">
        <v>74</v>
      </c>
      <c r="F890" s="32">
        <v>1</v>
      </c>
      <c r="G890" s="32">
        <v>5</v>
      </c>
      <c r="H890" s="35">
        <f ca="1">LEFT(Music_Data[[#This Row],[Duration_minutes]],3)/60</f>
        <v>3.75</v>
      </c>
      <c r="I890" s="34">
        <v>0.45600000000000002</v>
      </c>
      <c r="J890" s="36" t="str">
        <f t="shared" si="13"/>
        <v>Casi nada popular</v>
      </c>
      <c r="K890" s="42">
        <v>43658</v>
      </c>
    </row>
    <row r="891" spans="1:11">
      <c r="A891" s="39">
        <v>0.68300000000000005</v>
      </c>
      <c r="B891" s="37">
        <v>888</v>
      </c>
      <c r="C891" s="38">
        <v>0.51500000000000001</v>
      </c>
      <c r="D891" s="39">
        <v>0.57199999999999995</v>
      </c>
      <c r="E891" s="37">
        <v>74</v>
      </c>
      <c r="F891" s="37">
        <v>1</v>
      </c>
      <c r="G891" s="37">
        <v>5</v>
      </c>
      <c r="H891" s="40">
        <f ca="1">LEFT(Music_Data[[#This Row],[Duration_minutes]],3)/60</f>
        <v>3.4833333333333334</v>
      </c>
      <c r="I891" s="39">
        <v>7.4899999999999994E-2</v>
      </c>
      <c r="J891" s="41" t="str">
        <f t="shared" si="13"/>
        <v>Casi nada popular</v>
      </c>
      <c r="K891" s="43">
        <v>44281</v>
      </c>
    </row>
    <row r="892" spans="1:11">
      <c r="A892" s="34">
        <v>0.44400000000000001</v>
      </c>
      <c r="B892" s="32">
        <v>168</v>
      </c>
      <c r="C892" s="33">
        <v>0.70299999999999996</v>
      </c>
      <c r="D892" s="34">
        <v>0.71199999999999997</v>
      </c>
      <c r="E892" s="32">
        <v>74</v>
      </c>
      <c r="F892" s="32">
        <v>1</v>
      </c>
      <c r="G892" s="32">
        <v>11</v>
      </c>
      <c r="H892" s="35">
        <f ca="1">LEFT(Music_Data[[#This Row],[Duration_minutes]],3)/60</f>
        <v>3.8666666666666667</v>
      </c>
      <c r="I892" s="34">
        <v>0.55900000000000005</v>
      </c>
      <c r="J892" s="36" t="str">
        <f t="shared" si="13"/>
        <v>Casi nada popular</v>
      </c>
      <c r="K892" s="42">
        <v>44175</v>
      </c>
    </row>
    <row r="893" spans="1:11">
      <c r="A893" s="39">
        <v>0.71899999999999997</v>
      </c>
      <c r="B893" s="37">
        <v>139</v>
      </c>
      <c r="C893" s="38">
        <v>0.55800000000000005</v>
      </c>
      <c r="D893" s="39">
        <v>0.371</v>
      </c>
      <c r="E893" s="37">
        <v>74</v>
      </c>
      <c r="F893" s="37">
        <v>1</v>
      </c>
      <c r="G893" s="37">
        <v>2</v>
      </c>
      <c r="H893" s="40">
        <f ca="1">LEFT(Music_Data[[#This Row],[Duration_minutes]],3)/60</f>
        <v>3.75</v>
      </c>
      <c r="I893" s="39">
        <v>3.6700000000000003E-2</v>
      </c>
      <c r="J893" s="41" t="str">
        <f t="shared" si="13"/>
        <v>Casi nada popular</v>
      </c>
      <c r="K893" s="43">
        <v>43845</v>
      </c>
    </row>
    <row r="894" spans="1:11">
      <c r="A894" s="34">
        <v>0.495</v>
      </c>
      <c r="B894" s="32">
        <v>929</v>
      </c>
      <c r="C894" s="33">
        <v>0.86399999999999999</v>
      </c>
      <c r="D894" s="34">
        <v>0.72</v>
      </c>
      <c r="E894" s="32">
        <v>74</v>
      </c>
      <c r="F894" s="32">
        <v>1</v>
      </c>
      <c r="G894" s="32">
        <v>0</v>
      </c>
      <c r="H894" s="35">
        <f ca="1">LEFT(Music_Data[[#This Row],[Duration_minutes]],3)/60</f>
        <v>2.4500000000000002</v>
      </c>
      <c r="I894" s="34">
        <v>0.59099999999999997</v>
      </c>
      <c r="J894" s="36" t="str">
        <f t="shared" si="13"/>
        <v>Casi nada popular</v>
      </c>
      <c r="K894" s="42">
        <v>44722</v>
      </c>
    </row>
    <row r="895" spans="1:11">
      <c r="A895" s="39">
        <v>0.70599999999999996</v>
      </c>
      <c r="B895" s="37">
        <v>179</v>
      </c>
      <c r="C895" s="38">
        <v>0.48199999999999998</v>
      </c>
      <c r="D895" s="39">
        <v>0.14399999999999999</v>
      </c>
      <c r="E895" s="37">
        <v>74</v>
      </c>
      <c r="F895" s="37">
        <v>1</v>
      </c>
      <c r="G895" s="37">
        <v>9</v>
      </c>
      <c r="H895" s="40">
        <f ca="1">LEFT(Music_Data[[#This Row],[Duration_minutes]],3)/60</f>
        <v>3.4666666666666668</v>
      </c>
      <c r="I895" s="39">
        <v>0.13500000000000001</v>
      </c>
      <c r="J895" s="41" t="str">
        <f t="shared" si="13"/>
        <v>Casi nada popular</v>
      </c>
      <c r="K895" s="43">
        <v>44540</v>
      </c>
    </row>
    <row r="896" spans="1:11">
      <c r="A896" s="34">
        <v>0.495</v>
      </c>
      <c r="B896" s="32">
        <v>920</v>
      </c>
      <c r="C896" s="33">
        <v>0.69399999999999995</v>
      </c>
      <c r="D896" s="34">
        <v>0.79900000000000004</v>
      </c>
      <c r="E896" s="32">
        <v>74</v>
      </c>
      <c r="F896" s="32">
        <v>1</v>
      </c>
      <c r="G896" s="32">
        <v>9</v>
      </c>
      <c r="H896" s="35">
        <f ca="1">LEFT(Music_Data[[#This Row],[Duration_minutes]],3)/60</f>
        <v>3.5333333333333332</v>
      </c>
      <c r="I896" s="34">
        <v>1.37E-2</v>
      </c>
      <c r="J896" s="36" t="str">
        <f t="shared" si="13"/>
        <v>Casi nada popular</v>
      </c>
      <c r="K896" s="42">
        <v>43749</v>
      </c>
    </row>
    <row r="897" spans="1:11">
      <c r="A897" s="39">
        <v>0.58599999999999997</v>
      </c>
      <c r="B897" s="37">
        <v>980</v>
      </c>
      <c r="C897" s="38">
        <v>0.55300000000000005</v>
      </c>
      <c r="D897" s="39">
        <v>0.443</v>
      </c>
      <c r="E897" s="37">
        <v>74</v>
      </c>
      <c r="F897" s="37">
        <v>1</v>
      </c>
      <c r="G897" s="37">
        <v>11</v>
      </c>
      <c r="H897" s="40">
        <f ca="1">LEFT(Music_Data[[#This Row],[Duration_minutes]],3)/60</f>
        <v>3.4833333333333334</v>
      </c>
      <c r="I897" s="39">
        <v>0.69699999999999995</v>
      </c>
      <c r="J897" s="41" t="str">
        <f t="shared" si="13"/>
        <v>Casi nada popular</v>
      </c>
      <c r="K897" s="43">
        <v>44447</v>
      </c>
    </row>
    <row r="898" spans="1:11">
      <c r="A898" s="34">
        <v>0.90300000000000002</v>
      </c>
      <c r="B898" s="32">
        <v>174</v>
      </c>
      <c r="C898" s="33">
        <v>0.52</v>
      </c>
      <c r="D898" s="34">
        <v>0.65200000000000002</v>
      </c>
      <c r="E898" s="32">
        <v>74</v>
      </c>
      <c r="F898" s="32">
        <v>1</v>
      </c>
      <c r="G898" s="32">
        <v>2</v>
      </c>
      <c r="H898" s="35">
        <f ca="1">LEFT(Music_Data[[#This Row],[Duration_minutes]],3)/60</f>
        <v>2.8666666666666667</v>
      </c>
      <c r="I898" s="34">
        <v>5.1700000000000001E-3</v>
      </c>
      <c r="J898" s="36" t="str">
        <f t="shared" si="13"/>
        <v>Casi nada popular</v>
      </c>
      <c r="K898" s="42">
        <v>44672</v>
      </c>
    </row>
    <row r="899" spans="1:11">
      <c r="A899" s="39">
        <v>0.69699999999999995</v>
      </c>
      <c r="B899" s="37">
        <v>169</v>
      </c>
      <c r="C899" s="38">
        <v>0.61299999999999999</v>
      </c>
      <c r="D899" s="39">
        <v>0.47599999999999998</v>
      </c>
      <c r="E899" s="37">
        <v>74</v>
      </c>
      <c r="F899" s="37">
        <v>1</v>
      </c>
      <c r="G899" s="37">
        <v>2</v>
      </c>
      <c r="H899" s="40">
        <f ca="1">LEFT(Music_Data[[#This Row],[Duration_minutes]],3)/60</f>
        <v>3.45</v>
      </c>
      <c r="I899" s="39">
        <v>1.9400000000000001E-2</v>
      </c>
      <c r="J899" s="41" t="str">
        <f t="shared" si="13"/>
        <v>Casi nada popular</v>
      </c>
      <c r="K899" s="43">
        <v>44474</v>
      </c>
    </row>
    <row r="900" spans="1:11">
      <c r="A900" s="34">
        <v>0.84299999999999997</v>
      </c>
      <c r="B900" s="32">
        <v>106</v>
      </c>
      <c r="C900" s="33">
        <v>0.52900000000000003</v>
      </c>
      <c r="D900" s="34">
        <v>0.188</v>
      </c>
      <c r="E900" s="32">
        <v>74</v>
      </c>
      <c r="F900" s="32">
        <v>0</v>
      </c>
      <c r="G900" s="32">
        <v>6</v>
      </c>
      <c r="H900" s="35">
        <f ca="1">LEFT(Music_Data[[#This Row],[Duration_minutes]],3)/60</f>
        <v>5.8666666666666663</v>
      </c>
      <c r="I900" s="34">
        <v>6.2799999999999995E-2</v>
      </c>
      <c r="J900" s="36" t="str">
        <f t="shared" ref="J900:J963" si="14">IF(E900&gt;=94,"Muy Popular",IF(E900&gt;=86,"Popular",IF(E900&gt;=78,"No muy popular","Casi nada popular")))</f>
        <v>Casi nada popular</v>
      </c>
      <c r="K900" s="42">
        <v>43392</v>
      </c>
    </row>
    <row r="901" spans="1:11">
      <c r="A901" s="39">
        <v>0.83199999999999996</v>
      </c>
      <c r="B901" s="37">
        <v>161</v>
      </c>
      <c r="C901" s="38">
        <v>0.79400000000000004</v>
      </c>
      <c r="D901" s="39">
        <v>0.871</v>
      </c>
      <c r="E901" s="37">
        <v>74</v>
      </c>
      <c r="F901" s="37">
        <v>0</v>
      </c>
      <c r="G901" s="37">
        <v>1</v>
      </c>
      <c r="H901" s="40">
        <f ca="1">LEFT(Music_Data[[#This Row],[Duration_minutes]],3)/60</f>
        <v>2.8</v>
      </c>
      <c r="I901" s="39">
        <v>0.23699999999999999</v>
      </c>
      <c r="J901" s="41" t="str">
        <f t="shared" si="14"/>
        <v>Casi nada popular</v>
      </c>
      <c r="K901" s="43">
        <v>43236</v>
      </c>
    </row>
    <row r="902" spans="1:11">
      <c r="A902" s="34">
        <v>0.95399999999999996</v>
      </c>
      <c r="B902" s="32">
        <v>123</v>
      </c>
      <c r="C902" s="33">
        <v>0.627</v>
      </c>
      <c r="D902" s="34">
        <v>0.312</v>
      </c>
      <c r="E902" s="32">
        <v>74</v>
      </c>
      <c r="F902" s="32">
        <v>1</v>
      </c>
      <c r="G902" s="32">
        <v>2</v>
      </c>
      <c r="H902" s="35">
        <f ca="1">LEFT(Music_Data[[#This Row],[Duration_minutes]],3)/60</f>
        <v>4.25</v>
      </c>
      <c r="I902" s="34">
        <v>1.5E-3</v>
      </c>
      <c r="J902" s="36" t="str">
        <f t="shared" si="14"/>
        <v>Casi nada popular</v>
      </c>
      <c r="K902" s="42">
        <v>44895</v>
      </c>
    </row>
    <row r="903" spans="1:11">
      <c r="A903" s="39">
        <v>0.85299999999999998</v>
      </c>
      <c r="B903" s="37">
        <v>970</v>
      </c>
      <c r="C903" s="38">
        <v>0.73099999999999998</v>
      </c>
      <c r="D903" s="39">
        <v>0.60499999999999998</v>
      </c>
      <c r="E903" s="37">
        <v>74</v>
      </c>
      <c r="F903" s="37">
        <v>0</v>
      </c>
      <c r="G903" s="37">
        <v>10</v>
      </c>
      <c r="H903" s="40">
        <f ca="1">LEFT(Music_Data[[#This Row],[Duration_minutes]],3)/60</f>
        <v>2.8666666666666667</v>
      </c>
      <c r="I903" s="39">
        <v>3.5200000000000002E-2</v>
      </c>
      <c r="J903" s="41" t="str">
        <f t="shared" si="14"/>
        <v>Casi nada popular</v>
      </c>
      <c r="K903" s="43">
        <v>43890</v>
      </c>
    </row>
    <row r="904" spans="1:11">
      <c r="A904" s="34">
        <v>0.84199999999999997</v>
      </c>
      <c r="B904" s="32">
        <v>140</v>
      </c>
      <c r="C904" s="33">
        <v>0.625</v>
      </c>
      <c r="D904" s="34">
        <v>0.26</v>
      </c>
      <c r="E904" s="32">
        <v>74</v>
      </c>
      <c r="F904" s="32">
        <v>1</v>
      </c>
      <c r="G904" s="32">
        <v>5</v>
      </c>
      <c r="H904" s="35">
        <f ca="1">LEFT(Music_Data[[#This Row],[Duration_minutes]],3)/60</f>
        <v>4.95</v>
      </c>
      <c r="I904" s="34">
        <v>0.26400000000000001</v>
      </c>
      <c r="J904" s="36" t="str">
        <f t="shared" si="14"/>
        <v>Casi nada popular</v>
      </c>
      <c r="K904" s="42">
        <v>43042</v>
      </c>
    </row>
    <row r="905" spans="1:11">
      <c r="A905" s="39">
        <v>0.84199999999999997</v>
      </c>
      <c r="B905" s="37">
        <v>939</v>
      </c>
      <c r="C905" s="38">
        <v>0.70599999999999996</v>
      </c>
      <c r="D905" s="39">
        <v>0.86099999999999999</v>
      </c>
      <c r="E905" s="37">
        <v>74</v>
      </c>
      <c r="F905" s="37">
        <v>1</v>
      </c>
      <c r="G905" s="37">
        <v>7</v>
      </c>
      <c r="H905" s="40">
        <f ca="1">LEFT(Music_Data[[#This Row],[Duration_minutes]],3)/60</f>
        <v>3.7666666666666666</v>
      </c>
      <c r="I905" s="39">
        <v>7.7299999999999995E-5</v>
      </c>
      <c r="J905" s="41" t="str">
        <f t="shared" si="14"/>
        <v>Casi nada popular</v>
      </c>
      <c r="K905" s="43">
        <v>44602</v>
      </c>
    </row>
    <row r="906" spans="1:11">
      <c r="A906" s="34">
        <v>0.92800000000000005</v>
      </c>
      <c r="B906" s="32">
        <v>929</v>
      </c>
      <c r="C906" s="33">
        <v>0.61399999999999999</v>
      </c>
      <c r="D906" s="34">
        <v>0.879</v>
      </c>
      <c r="E906" s="32">
        <v>74</v>
      </c>
      <c r="F906" s="32">
        <v>0</v>
      </c>
      <c r="G906" s="32">
        <v>8</v>
      </c>
      <c r="H906" s="35">
        <f ca="1">LEFT(Music_Data[[#This Row],[Duration_minutes]],3)/60</f>
        <v>4.583333333333333</v>
      </c>
      <c r="I906" s="34">
        <v>4.0800000000000003E-2</v>
      </c>
      <c r="J906" s="36" t="str">
        <f t="shared" si="14"/>
        <v>Casi nada popular</v>
      </c>
      <c r="K906" s="42">
        <v>45023</v>
      </c>
    </row>
    <row r="907" spans="1:11">
      <c r="A907" s="39">
        <v>0.74099999999999999</v>
      </c>
      <c r="B907" s="37">
        <v>990</v>
      </c>
      <c r="C907" s="38">
        <v>0.95599999999999996</v>
      </c>
      <c r="D907" s="39">
        <v>0.91100000000000003</v>
      </c>
      <c r="E907" s="37">
        <v>74</v>
      </c>
      <c r="F907" s="37">
        <v>0</v>
      </c>
      <c r="G907" s="37">
        <v>11</v>
      </c>
      <c r="H907" s="40">
        <f ca="1">LEFT(Music_Data[[#This Row],[Duration_minutes]],3)/60</f>
        <v>3.2333333333333334</v>
      </c>
      <c r="I907" s="39">
        <v>0.20399999999999999</v>
      </c>
      <c r="J907" s="41" t="str">
        <f t="shared" si="14"/>
        <v>Casi nada popular</v>
      </c>
      <c r="K907" s="43">
        <v>45015</v>
      </c>
    </row>
    <row r="908" spans="1:11">
      <c r="A908" s="34">
        <v>0.67500000000000004</v>
      </c>
      <c r="B908" s="32">
        <v>113</v>
      </c>
      <c r="C908" s="33">
        <v>0.68400000000000005</v>
      </c>
      <c r="D908" s="34">
        <v>0.92400000000000004</v>
      </c>
      <c r="E908" s="32">
        <v>74</v>
      </c>
      <c r="F908" s="32">
        <v>1</v>
      </c>
      <c r="G908" s="32">
        <v>11</v>
      </c>
      <c r="H908" s="35">
        <f ca="1">LEFT(Music_Data[[#This Row],[Duration_minutes]],3)/60</f>
        <v>2.8166666666666669</v>
      </c>
      <c r="I908" s="34">
        <v>0.16300000000000001</v>
      </c>
      <c r="J908" s="36" t="str">
        <f t="shared" si="14"/>
        <v>Casi nada popular</v>
      </c>
      <c r="K908" s="42">
        <v>45015</v>
      </c>
    </row>
    <row r="909" spans="1:11">
      <c r="A909" s="39">
        <v>0.879</v>
      </c>
      <c r="B909" s="37">
        <v>959</v>
      </c>
      <c r="C909" s="38">
        <v>0.81200000000000006</v>
      </c>
      <c r="D909" s="39">
        <v>0.96199999999999997</v>
      </c>
      <c r="E909" s="37">
        <v>74</v>
      </c>
      <c r="F909" s="37">
        <v>0</v>
      </c>
      <c r="G909" s="37">
        <v>1</v>
      </c>
      <c r="H909" s="40">
        <f ca="1">LEFT(Music_Data[[#This Row],[Duration_minutes]],3)/60</f>
        <v>4.45</v>
      </c>
      <c r="I909" s="39">
        <v>1.7000000000000001E-2</v>
      </c>
      <c r="J909" s="41" t="str">
        <f t="shared" si="14"/>
        <v>Casi nada popular</v>
      </c>
      <c r="K909" s="43">
        <v>43552</v>
      </c>
    </row>
    <row r="910" spans="1:11">
      <c r="A910" s="34">
        <v>0.71099999999999997</v>
      </c>
      <c r="B910" s="32">
        <v>175</v>
      </c>
      <c r="C910" s="33">
        <v>0.97499999999999998</v>
      </c>
      <c r="D910" s="34">
        <v>0.81499999999999995</v>
      </c>
      <c r="E910" s="32">
        <v>74</v>
      </c>
      <c r="F910" s="32">
        <v>1</v>
      </c>
      <c r="G910" s="32">
        <v>8</v>
      </c>
      <c r="H910" s="35">
        <f ca="1">LEFT(Music_Data[[#This Row],[Duration_minutes]],3)/60</f>
        <v>4.05</v>
      </c>
      <c r="I910" s="34">
        <v>0.16800000000000001</v>
      </c>
      <c r="J910" s="36" t="str">
        <f t="shared" si="14"/>
        <v>Casi nada popular</v>
      </c>
      <c r="K910" s="42">
        <v>41546</v>
      </c>
    </row>
    <row r="911" spans="1:11">
      <c r="A911" s="39">
        <v>0.77200000000000002</v>
      </c>
      <c r="B911" s="37">
        <v>878</v>
      </c>
      <c r="C911" s="38">
        <v>0.76600000000000001</v>
      </c>
      <c r="D911" s="39">
        <v>0.91900000000000004</v>
      </c>
      <c r="E911" s="37">
        <v>74</v>
      </c>
      <c r="F911" s="37">
        <v>1</v>
      </c>
      <c r="G911" s="37">
        <v>0</v>
      </c>
      <c r="H911" s="40">
        <f ca="1">LEFT(Music_Data[[#This Row],[Duration_minutes]],3)/60</f>
        <v>4.166666666666667</v>
      </c>
      <c r="I911" s="39">
        <v>0.40300000000000002</v>
      </c>
      <c r="J911" s="41" t="str">
        <f t="shared" si="14"/>
        <v>Casi nada popular</v>
      </c>
      <c r="K911" s="43">
        <v>43245</v>
      </c>
    </row>
    <row r="912" spans="1:11">
      <c r="A912" s="34">
        <v>0.53500000000000003</v>
      </c>
      <c r="B912" s="32">
        <v>169</v>
      </c>
      <c r="C912" s="33">
        <v>0.70699999999999996</v>
      </c>
      <c r="D912" s="34">
        <v>0.64100000000000001</v>
      </c>
      <c r="E912" s="32">
        <v>74</v>
      </c>
      <c r="F912" s="32">
        <v>0</v>
      </c>
      <c r="G912" s="32">
        <v>10</v>
      </c>
      <c r="H912" s="35">
        <f ca="1">LEFT(Music_Data[[#This Row],[Duration_minutes]],3)/60</f>
        <v>3.8166666666666669</v>
      </c>
      <c r="I912" s="34">
        <v>0.113</v>
      </c>
      <c r="J912" s="36" t="str">
        <f t="shared" si="14"/>
        <v>Casi nada popular</v>
      </c>
      <c r="K912" s="42">
        <v>43742</v>
      </c>
    </row>
    <row r="913" spans="1:11">
      <c r="A913" s="39">
        <v>0.86499999999999999</v>
      </c>
      <c r="B913" s="37">
        <v>949</v>
      </c>
      <c r="C913" s="38">
        <v>0.57999999999999996</v>
      </c>
      <c r="D913" s="39">
        <v>0.58699999999999997</v>
      </c>
      <c r="E913" s="37">
        <v>74</v>
      </c>
      <c r="F913" s="37">
        <v>0</v>
      </c>
      <c r="G913" s="37">
        <v>4</v>
      </c>
      <c r="H913" s="40">
        <f ca="1">LEFT(Music_Data[[#This Row],[Duration_minutes]],3)/60</f>
        <v>3.9166666666666665</v>
      </c>
      <c r="I913" s="39">
        <v>0.105</v>
      </c>
      <c r="J913" s="41" t="str">
        <f t="shared" si="14"/>
        <v>Casi nada popular</v>
      </c>
      <c r="K913" s="43">
        <v>44399</v>
      </c>
    </row>
    <row r="914" spans="1:11">
      <c r="A914" s="34">
        <v>0.74199999999999999</v>
      </c>
      <c r="B914" s="32">
        <v>960</v>
      </c>
      <c r="C914" s="33">
        <v>0.26800000000000002</v>
      </c>
      <c r="D914" s="34">
        <v>0.41599999999999998</v>
      </c>
      <c r="E914" s="32">
        <v>74</v>
      </c>
      <c r="F914" s="32">
        <v>1</v>
      </c>
      <c r="G914" s="32">
        <v>5</v>
      </c>
      <c r="H914" s="35">
        <f ca="1">LEFT(Music_Data[[#This Row],[Duration_minutes]],3)/60</f>
        <v>3.5</v>
      </c>
      <c r="I914" s="34">
        <v>5.1799999999999999E-2</v>
      </c>
      <c r="J914" s="36" t="str">
        <f t="shared" si="14"/>
        <v>Casi nada popular</v>
      </c>
      <c r="K914" s="42">
        <v>45400</v>
      </c>
    </row>
    <row r="915" spans="1:11">
      <c r="A915" s="39">
        <v>0.79600000000000004</v>
      </c>
      <c r="B915" s="37">
        <v>168</v>
      </c>
      <c r="C915" s="38">
        <v>0.28899999999999998</v>
      </c>
      <c r="D915" s="39">
        <v>0.33</v>
      </c>
      <c r="E915" s="37">
        <v>74</v>
      </c>
      <c r="F915" s="37">
        <v>1</v>
      </c>
      <c r="G915" s="37">
        <v>0</v>
      </c>
      <c r="H915" s="40">
        <f ca="1">LEFT(Music_Data[[#This Row],[Duration_minutes]],3)/60</f>
        <v>3.8333333333333335</v>
      </c>
      <c r="I915" s="39">
        <v>8.3700000000000007E-3</v>
      </c>
      <c r="J915" s="41" t="str">
        <f t="shared" si="14"/>
        <v>Casi nada popular</v>
      </c>
      <c r="K915" s="43">
        <v>44078</v>
      </c>
    </row>
    <row r="916" spans="1:11">
      <c r="A916" s="34">
        <v>0.91100000000000003</v>
      </c>
      <c r="B916" s="32">
        <v>107</v>
      </c>
      <c r="C916" s="33">
        <v>0.61499999999999999</v>
      </c>
      <c r="D916" s="34">
        <v>0.68500000000000005</v>
      </c>
      <c r="E916" s="32">
        <v>74</v>
      </c>
      <c r="F916" s="32">
        <v>0</v>
      </c>
      <c r="G916" s="32">
        <v>1</v>
      </c>
      <c r="H916" s="35">
        <f ca="1">LEFT(Music_Data[[#This Row],[Duration_minutes]],3)/60</f>
        <v>3.65</v>
      </c>
      <c r="I916" s="34">
        <v>6.8599999999999994E-2</v>
      </c>
      <c r="J916" s="36" t="str">
        <f t="shared" si="14"/>
        <v>Casi nada popular</v>
      </c>
      <c r="K916" s="42">
        <v>44602</v>
      </c>
    </row>
    <row r="917" spans="1:11">
      <c r="A917" s="39">
        <v>0.90100000000000002</v>
      </c>
      <c r="B917" s="37">
        <v>979</v>
      </c>
      <c r="C917" s="38">
        <v>0.621</v>
      </c>
      <c r="D917" s="39">
        <v>0.74399999999999999</v>
      </c>
      <c r="E917" s="37">
        <v>74</v>
      </c>
      <c r="F917" s="37">
        <v>1</v>
      </c>
      <c r="G917" s="37">
        <v>2</v>
      </c>
      <c r="H917" s="40">
        <f ca="1">LEFT(Music_Data[[#This Row],[Duration_minutes]],3)/60</f>
        <v>2.6833333333333331</v>
      </c>
      <c r="I917" s="39">
        <v>0.17</v>
      </c>
      <c r="J917" s="41" t="str">
        <f t="shared" si="14"/>
        <v>Casi nada popular</v>
      </c>
      <c r="K917" s="43">
        <v>43552</v>
      </c>
    </row>
    <row r="918" spans="1:11">
      <c r="A918" s="34">
        <v>0.58799999999999997</v>
      </c>
      <c r="B918" s="32">
        <v>919</v>
      </c>
      <c r="C918" s="33">
        <v>0.42399999999999999</v>
      </c>
      <c r="D918" s="34">
        <v>0.193</v>
      </c>
      <c r="E918" s="32">
        <v>74</v>
      </c>
      <c r="F918" s="32">
        <v>1</v>
      </c>
      <c r="G918" s="32">
        <v>9</v>
      </c>
      <c r="H918" s="35">
        <f ca="1">LEFT(Music_Data[[#This Row],[Duration_minutes]],3)/60</f>
        <v>3.35</v>
      </c>
      <c r="I918" s="34">
        <v>5.5300000000000002E-2</v>
      </c>
      <c r="J918" s="36" t="str">
        <f t="shared" si="14"/>
        <v>Casi nada popular</v>
      </c>
      <c r="K918" s="42">
        <v>43692</v>
      </c>
    </row>
    <row r="919" spans="1:11">
      <c r="A919" s="39">
        <v>0.93899999999999995</v>
      </c>
      <c r="B919" s="37">
        <v>165</v>
      </c>
      <c r="C919" s="38">
        <v>0.64400000000000002</v>
      </c>
      <c r="D919" s="39">
        <v>0.86099999999999999</v>
      </c>
      <c r="E919" s="37">
        <v>74</v>
      </c>
      <c r="F919" s="37">
        <v>0</v>
      </c>
      <c r="G919" s="37">
        <v>11</v>
      </c>
      <c r="H919" s="40">
        <f ca="1">LEFT(Music_Data[[#This Row],[Duration_minutes]],3)/60</f>
        <v>2.4666666666666668</v>
      </c>
      <c r="I919" s="39">
        <v>0.157</v>
      </c>
      <c r="J919" s="41" t="str">
        <f t="shared" si="14"/>
        <v>Casi nada popular</v>
      </c>
      <c r="K919" s="43">
        <v>45596</v>
      </c>
    </row>
    <row r="920" spans="1:11">
      <c r="A920" s="34">
        <v>0.97</v>
      </c>
      <c r="B920" s="32">
        <v>999</v>
      </c>
      <c r="C920" s="33">
        <v>0.45100000000000001</v>
      </c>
      <c r="D920" s="34">
        <v>0.19800000000000001</v>
      </c>
      <c r="E920" s="32">
        <v>74</v>
      </c>
      <c r="F920" s="32">
        <v>1</v>
      </c>
      <c r="G920" s="32">
        <v>0</v>
      </c>
      <c r="H920" s="35">
        <f ca="1">LEFT(Music_Data[[#This Row],[Duration_minutes]],3)/60</f>
        <v>3.0833333333333335</v>
      </c>
      <c r="I920" s="34">
        <v>2.64E-2</v>
      </c>
      <c r="J920" s="36" t="str">
        <f t="shared" si="14"/>
        <v>Casi nada popular</v>
      </c>
      <c r="K920" s="42">
        <v>44820</v>
      </c>
    </row>
    <row r="921" spans="1:11">
      <c r="A921" s="39">
        <v>0.56299999999999994</v>
      </c>
      <c r="B921" s="37">
        <v>939</v>
      </c>
      <c r="C921" s="38">
        <v>0.45200000000000001</v>
      </c>
      <c r="D921" s="39">
        <v>0.20899999999999999</v>
      </c>
      <c r="E921" s="37">
        <v>74</v>
      </c>
      <c r="F921" s="37">
        <v>1</v>
      </c>
      <c r="G921" s="37">
        <v>4</v>
      </c>
      <c r="H921" s="40">
        <f ca="1">LEFT(Music_Data[[#This Row],[Duration_minutes]],3)/60</f>
        <v>2.2666666666666666</v>
      </c>
      <c r="I921" s="39">
        <v>0.14399999999999999</v>
      </c>
      <c r="J921" s="41" t="str">
        <f t="shared" si="14"/>
        <v>Casi nada popular</v>
      </c>
      <c r="K921" s="43">
        <v>43890</v>
      </c>
    </row>
    <row r="922" spans="1:11">
      <c r="A922" s="34">
        <v>0.94599999999999995</v>
      </c>
      <c r="B922" s="32">
        <v>906</v>
      </c>
      <c r="C922" s="33">
        <v>0.49399999999999999</v>
      </c>
      <c r="D922" s="34">
        <v>0.74099999999999999</v>
      </c>
      <c r="E922" s="32">
        <v>74</v>
      </c>
      <c r="F922" s="32">
        <v>1</v>
      </c>
      <c r="G922" s="32">
        <v>4</v>
      </c>
      <c r="H922" s="35">
        <f ca="1">LEFT(Music_Data[[#This Row],[Duration_minutes]],3)/60</f>
        <v>5.083333333333333</v>
      </c>
      <c r="I922" s="34">
        <v>1.2899999999999999E-3</v>
      </c>
      <c r="J922" s="36" t="str">
        <f t="shared" si="14"/>
        <v>Casi nada popular</v>
      </c>
      <c r="K922" s="42">
        <v>38888</v>
      </c>
    </row>
    <row r="923" spans="1:11">
      <c r="A923" s="39">
        <v>0.94</v>
      </c>
      <c r="B923" s="37">
        <v>100</v>
      </c>
      <c r="C923" s="38">
        <v>0.21</v>
      </c>
      <c r="D923" s="39">
        <v>0.255</v>
      </c>
      <c r="E923" s="37">
        <v>74</v>
      </c>
      <c r="F923" s="37">
        <v>1</v>
      </c>
      <c r="G923" s="37">
        <v>9</v>
      </c>
      <c r="H923" s="40">
        <f ca="1">LEFT(Music_Data[[#This Row],[Duration_minutes]],3)/60</f>
        <v>3.2</v>
      </c>
      <c r="I923" s="39">
        <v>6.0200000000000002E-3</v>
      </c>
      <c r="J923" s="41" t="str">
        <f t="shared" si="14"/>
        <v>Casi nada popular</v>
      </c>
      <c r="K923" s="43">
        <v>44442</v>
      </c>
    </row>
    <row r="924" spans="1:11">
      <c r="A924" s="34">
        <v>0.79600000000000004</v>
      </c>
      <c r="B924" s="32">
        <v>111</v>
      </c>
      <c r="C924" s="33">
        <v>0.28899999999999998</v>
      </c>
      <c r="D924" s="34">
        <v>0.33</v>
      </c>
      <c r="E924" s="32">
        <v>74</v>
      </c>
      <c r="F924" s="32">
        <v>1</v>
      </c>
      <c r="G924" s="32">
        <v>0</v>
      </c>
      <c r="H924" s="35">
        <f ca="1">LEFT(Music_Data[[#This Row],[Duration_minutes]],3)/60</f>
        <v>3.8</v>
      </c>
      <c r="I924" s="34">
        <v>8.3700000000000007E-3</v>
      </c>
      <c r="J924" s="36" t="str">
        <f t="shared" si="14"/>
        <v>Casi nada popular</v>
      </c>
      <c r="K924" s="42">
        <v>45191</v>
      </c>
    </row>
    <row r="925" spans="1:11">
      <c r="A925" s="39">
        <v>0.92800000000000005</v>
      </c>
      <c r="B925" s="37">
        <v>939</v>
      </c>
      <c r="C925" s="38">
        <v>0.57899999999999996</v>
      </c>
      <c r="D925" s="39">
        <v>0.88200000000000001</v>
      </c>
      <c r="E925" s="37">
        <v>74</v>
      </c>
      <c r="F925" s="37">
        <v>1</v>
      </c>
      <c r="G925" s="37">
        <v>0</v>
      </c>
      <c r="H925" s="40">
        <f ca="1">LEFT(Music_Data[[#This Row],[Duration_minutes]],3)/60</f>
        <v>3.7833333333333332</v>
      </c>
      <c r="I925" s="39">
        <v>7.1500000000000003E-4</v>
      </c>
      <c r="J925" s="41" t="str">
        <f t="shared" si="14"/>
        <v>Casi nada popular</v>
      </c>
      <c r="K925" s="43">
        <v>44917</v>
      </c>
    </row>
    <row r="926" spans="1:11">
      <c r="A926" s="34">
        <v>0.498</v>
      </c>
      <c r="B926" s="32">
        <v>939</v>
      </c>
      <c r="C926" s="33">
        <v>0.58099999999999996</v>
      </c>
      <c r="D926" s="34">
        <v>0.111</v>
      </c>
      <c r="E926" s="32">
        <v>74</v>
      </c>
      <c r="F926" s="32">
        <v>1</v>
      </c>
      <c r="G926" s="32">
        <v>1</v>
      </c>
      <c r="H926" s="35">
        <f ca="1">LEFT(Music_Data[[#This Row],[Duration_minutes]],3)/60</f>
        <v>3.7833333333333332</v>
      </c>
      <c r="I926" s="34">
        <v>0.19800000000000001</v>
      </c>
      <c r="J926" s="36" t="str">
        <f t="shared" si="14"/>
        <v>Casi nada popular</v>
      </c>
      <c r="K926" s="42">
        <v>44917</v>
      </c>
    </row>
    <row r="927" spans="1:11">
      <c r="A927" s="39">
        <v>0.46700000000000003</v>
      </c>
      <c r="B927" s="37">
        <v>925</v>
      </c>
      <c r="C927" s="38">
        <v>0.61499999999999999</v>
      </c>
      <c r="D927" s="39">
        <v>0.17699999999999999</v>
      </c>
      <c r="E927" s="37">
        <v>74</v>
      </c>
      <c r="F927" s="37">
        <v>1</v>
      </c>
      <c r="G927" s="37">
        <v>1</v>
      </c>
      <c r="H927" s="40">
        <f ca="1">LEFT(Music_Data[[#This Row],[Duration_minutes]],3)/60</f>
        <v>3.4833333333333334</v>
      </c>
      <c r="I927" s="39">
        <v>0.314</v>
      </c>
      <c r="J927" s="41" t="str">
        <f t="shared" si="14"/>
        <v>Casi nada popular</v>
      </c>
      <c r="K927" s="43">
        <v>44799</v>
      </c>
    </row>
    <row r="928" spans="1:11">
      <c r="A928" s="34">
        <v>0.622</v>
      </c>
      <c r="B928" s="32">
        <v>909</v>
      </c>
      <c r="C928" s="33">
        <v>0.32800000000000001</v>
      </c>
      <c r="D928" s="34">
        <v>0.40100000000000002</v>
      </c>
      <c r="E928" s="32">
        <v>74</v>
      </c>
      <c r="F928" s="32">
        <v>0</v>
      </c>
      <c r="G928" s="32">
        <v>5</v>
      </c>
      <c r="H928" s="35">
        <f ca="1">LEFT(Music_Data[[#This Row],[Duration_minutes]],3)/60</f>
        <v>3.0166666666666666</v>
      </c>
      <c r="I928" s="34">
        <v>0.85799999999999998</v>
      </c>
      <c r="J928" s="36" t="str">
        <f t="shared" si="14"/>
        <v>Casi nada popular</v>
      </c>
      <c r="K928" s="42">
        <v>36161</v>
      </c>
    </row>
    <row r="929" spans="1:11">
      <c r="A929" s="39">
        <v>0.47599999999999998</v>
      </c>
      <c r="B929" s="37">
        <v>110</v>
      </c>
      <c r="C929" s="38">
        <v>0.84</v>
      </c>
      <c r="D929" s="39">
        <v>0.76700000000000002</v>
      </c>
      <c r="E929" s="37">
        <v>74</v>
      </c>
      <c r="F929" s="37">
        <v>1</v>
      </c>
      <c r="G929" s="37">
        <v>0</v>
      </c>
      <c r="H929" s="40">
        <f ca="1">LEFT(Music_Data[[#This Row],[Duration_minutes]],3)/60</f>
        <v>3.5166666666666666</v>
      </c>
      <c r="I929" s="39">
        <v>2.64E-2</v>
      </c>
      <c r="J929" s="41" t="str">
        <f t="shared" si="14"/>
        <v>Casi nada popular</v>
      </c>
      <c r="K929" s="43">
        <v>44273</v>
      </c>
    </row>
    <row r="930" spans="1:11">
      <c r="A930" s="34">
        <v>0.63800000000000001</v>
      </c>
      <c r="B930" s="32">
        <v>900</v>
      </c>
      <c r="C930" s="33">
        <v>0.48599999999999999</v>
      </c>
      <c r="D930" s="34">
        <v>0.17799999999999999</v>
      </c>
      <c r="E930" s="32">
        <v>74</v>
      </c>
      <c r="F930" s="32">
        <v>1</v>
      </c>
      <c r="G930" s="32">
        <v>0</v>
      </c>
      <c r="H930" s="35">
        <f ca="1">LEFT(Music_Data[[#This Row],[Duration_minutes]],3)/60</f>
        <v>3.7333333333333334</v>
      </c>
      <c r="I930" s="34">
        <v>9.2100000000000005E-4</v>
      </c>
      <c r="J930" s="36" t="str">
        <f t="shared" si="14"/>
        <v>Casi nada popular</v>
      </c>
      <c r="K930" s="42">
        <v>44541</v>
      </c>
    </row>
    <row r="931" spans="1:11">
      <c r="A931" s="39">
        <v>0.56100000000000005</v>
      </c>
      <c r="B931" s="37">
        <v>167</v>
      </c>
      <c r="C931" s="38">
        <v>0.59799999999999998</v>
      </c>
      <c r="D931" s="39">
        <v>0.23100000000000001</v>
      </c>
      <c r="E931" s="37">
        <v>74</v>
      </c>
      <c r="F931" s="37">
        <v>1</v>
      </c>
      <c r="G931" s="37">
        <v>0</v>
      </c>
      <c r="H931" s="40">
        <f ca="1">LEFT(Music_Data[[#This Row],[Duration_minutes]],3)/60</f>
        <v>4.8166666666666664</v>
      </c>
      <c r="I931" s="39">
        <v>0.61099999999999999</v>
      </c>
      <c r="J931" s="41" t="str">
        <f t="shared" si="14"/>
        <v>Casi nada popular</v>
      </c>
      <c r="K931" s="43">
        <v>43812</v>
      </c>
    </row>
    <row r="932" spans="1:11">
      <c r="A932" s="34">
        <v>0.309</v>
      </c>
      <c r="B932" s="32">
        <v>103</v>
      </c>
      <c r="C932" s="33">
        <v>0.58299999999999996</v>
      </c>
      <c r="D932" s="34">
        <v>0.47299999999999998</v>
      </c>
      <c r="E932" s="32">
        <v>74</v>
      </c>
      <c r="F932" s="32">
        <v>0</v>
      </c>
      <c r="G932" s="32">
        <v>2</v>
      </c>
      <c r="H932" s="35">
        <f ca="1">LEFT(Music_Data[[#This Row],[Duration_minutes]],3)/60</f>
        <v>3.0833333333333335</v>
      </c>
      <c r="I932" s="34">
        <v>0.82399999999999995</v>
      </c>
      <c r="J932" s="36" t="str">
        <f t="shared" si="14"/>
        <v>Casi nada popular</v>
      </c>
      <c r="K932" s="42">
        <v>43812</v>
      </c>
    </row>
    <row r="933" spans="1:11">
      <c r="A933" s="39">
        <v>0.88600000000000001</v>
      </c>
      <c r="B933" s="37">
        <v>123</v>
      </c>
      <c r="C933" s="38">
        <v>0.65500000000000003</v>
      </c>
      <c r="D933" s="39">
        <v>0.77800000000000002</v>
      </c>
      <c r="E933" s="37">
        <v>74</v>
      </c>
      <c r="F933" s="37">
        <v>0</v>
      </c>
      <c r="G933" s="37">
        <v>10</v>
      </c>
      <c r="H933" s="40">
        <f ca="1">LEFT(Music_Data[[#This Row],[Duration_minutes]],3)/60</f>
        <v>3.15</v>
      </c>
      <c r="I933" s="39">
        <v>6.6000000000000003E-2</v>
      </c>
      <c r="J933" s="41" t="str">
        <f t="shared" si="14"/>
        <v>Casi nada popular</v>
      </c>
      <c r="K933" s="43">
        <v>44491</v>
      </c>
    </row>
    <row r="934" spans="1:11">
      <c r="A934" s="34">
        <v>0.63700000000000001</v>
      </c>
      <c r="B934" s="32">
        <v>118</v>
      </c>
      <c r="C934" s="33">
        <v>0.84699999999999998</v>
      </c>
      <c r="D934" s="34">
        <v>5.0900000000000001E-2</v>
      </c>
      <c r="E934" s="32">
        <v>74</v>
      </c>
      <c r="F934" s="32">
        <v>0</v>
      </c>
      <c r="G934" s="32">
        <v>7</v>
      </c>
      <c r="H934" s="35">
        <f ca="1">LEFT(Music_Data[[#This Row],[Duration_minutes]],3)/60</f>
        <v>2.9833333333333334</v>
      </c>
      <c r="I934" s="34">
        <v>0.20100000000000001</v>
      </c>
      <c r="J934" s="36" t="str">
        <f t="shared" si="14"/>
        <v>Casi nada popular</v>
      </c>
      <c r="K934" s="42">
        <v>43381</v>
      </c>
    </row>
    <row r="935" spans="1:11">
      <c r="A935" s="39">
        <v>0.79300000000000004</v>
      </c>
      <c r="B935" s="37">
        <v>109</v>
      </c>
      <c r="C935" s="38">
        <v>0.54500000000000004</v>
      </c>
      <c r="D935" s="39">
        <v>0.41099999999999998</v>
      </c>
      <c r="E935" s="37">
        <v>74</v>
      </c>
      <c r="F935" s="37">
        <v>0</v>
      </c>
      <c r="G935" s="37">
        <v>0</v>
      </c>
      <c r="H935" s="40">
        <f ca="1">LEFT(Music_Data[[#This Row],[Duration_minutes]],3)/60</f>
        <v>3.1166666666666667</v>
      </c>
      <c r="I935" s="39">
        <v>0.191</v>
      </c>
      <c r="J935" s="41" t="str">
        <f t="shared" si="14"/>
        <v>Casi nada popular</v>
      </c>
      <c r="K935" s="43">
        <v>43343</v>
      </c>
    </row>
    <row r="936" spans="1:11">
      <c r="A936" s="34">
        <v>0.8</v>
      </c>
      <c r="B936" s="32">
        <v>127</v>
      </c>
      <c r="C936" s="33">
        <v>0.65200000000000002</v>
      </c>
      <c r="D936" s="34">
        <v>0.23400000000000001</v>
      </c>
      <c r="E936" s="32">
        <v>74</v>
      </c>
      <c r="F936" s="32">
        <v>0</v>
      </c>
      <c r="G936" s="32">
        <v>9</v>
      </c>
      <c r="H936" s="35">
        <f ca="1">LEFT(Music_Data[[#This Row],[Duration_minutes]],3)/60</f>
        <v>3.5</v>
      </c>
      <c r="I936" s="34">
        <v>0.14299999999999999</v>
      </c>
      <c r="J936" s="36" t="str">
        <f t="shared" si="14"/>
        <v>Casi nada popular</v>
      </c>
      <c r="K936" s="42">
        <v>37138</v>
      </c>
    </row>
    <row r="937" spans="1:11">
      <c r="A937" s="39">
        <v>0.61599999999999999</v>
      </c>
      <c r="B937" s="37">
        <v>127</v>
      </c>
      <c r="C937" s="38">
        <v>0.79700000000000004</v>
      </c>
      <c r="D937" s="39">
        <v>0.45100000000000001</v>
      </c>
      <c r="E937" s="37">
        <v>74</v>
      </c>
      <c r="F937" s="37">
        <v>0</v>
      </c>
      <c r="G937" s="37">
        <v>1</v>
      </c>
      <c r="H937" s="40">
        <f ca="1">LEFT(Music_Data[[#This Row],[Duration_minutes]],3)/60</f>
        <v>3.5</v>
      </c>
      <c r="I937" s="39">
        <v>0.76200000000000001</v>
      </c>
      <c r="J937" s="41" t="str">
        <f t="shared" si="14"/>
        <v>Casi nada popular</v>
      </c>
      <c r="K937" s="43">
        <v>37138</v>
      </c>
    </row>
    <row r="938" spans="1:11">
      <c r="A938" s="34">
        <v>0.86</v>
      </c>
      <c r="B938" s="32">
        <v>143</v>
      </c>
      <c r="C938" s="33">
        <v>0.72499999999999998</v>
      </c>
      <c r="D938" s="34">
        <v>0.79100000000000004</v>
      </c>
      <c r="E938" s="32">
        <v>74</v>
      </c>
      <c r="F938" s="32">
        <v>1</v>
      </c>
      <c r="G938" s="32">
        <v>1</v>
      </c>
      <c r="H938" s="35">
        <f ca="1">LEFT(Music_Data[[#This Row],[Duration_minutes]],3)/60</f>
        <v>4.2</v>
      </c>
      <c r="I938" s="34">
        <v>0.42199999999999999</v>
      </c>
      <c r="J938" s="36" t="str">
        <f t="shared" si="14"/>
        <v>Casi nada popular</v>
      </c>
      <c r="K938" s="42">
        <v>2004</v>
      </c>
    </row>
    <row r="939" spans="1:11">
      <c r="A939" s="39">
        <v>0.61799999999999999</v>
      </c>
      <c r="B939" s="37">
        <v>143</v>
      </c>
      <c r="C939" s="38">
        <v>0.85599999999999998</v>
      </c>
      <c r="D939" s="39">
        <v>0.39100000000000001</v>
      </c>
      <c r="E939" s="37">
        <v>74</v>
      </c>
      <c r="F939" s="37">
        <v>1</v>
      </c>
      <c r="G939" s="37">
        <v>7</v>
      </c>
      <c r="H939" s="40">
        <f ca="1">LEFT(Music_Data[[#This Row],[Duration_minutes]],3)/60</f>
        <v>4.2</v>
      </c>
      <c r="I939" s="39">
        <v>3.0300000000000001E-2</v>
      </c>
      <c r="J939" s="41" t="str">
        <f t="shared" si="14"/>
        <v>Casi nada popular</v>
      </c>
      <c r="K939" s="43">
        <v>2004</v>
      </c>
    </row>
    <row r="940" spans="1:11">
      <c r="A940" s="34">
        <v>0.76500000000000001</v>
      </c>
      <c r="B940" s="32">
        <v>123</v>
      </c>
      <c r="C940" s="33">
        <v>0.69099999999999995</v>
      </c>
      <c r="D940" s="34">
        <v>0.85499999999999998</v>
      </c>
      <c r="E940" s="32">
        <v>74</v>
      </c>
      <c r="F940" s="32">
        <v>1</v>
      </c>
      <c r="G940" s="32">
        <v>8</v>
      </c>
      <c r="H940" s="35">
        <f ca="1">LEFT(Music_Data[[#This Row],[Duration_minutes]],3)/60</f>
        <v>5.5166666666666666</v>
      </c>
      <c r="I940" s="34">
        <v>0.46400000000000002</v>
      </c>
      <c r="J940" s="36" t="str">
        <f t="shared" si="14"/>
        <v>Casi nada popular</v>
      </c>
      <c r="K940" s="42">
        <v>33462</v>
      </c>
    </row>
    <row r="941" spans="1:11">
      <c r="A941" s="39">
        <v>0.60299999999999998</v>
      </c>
      <c r="B941" s="37">
        <v>123</v>
      </c>
      <c r="C941" s="38">
        <v>0.9</v>
      </c>
      <c r="D941" s="39">
        <v>0.82399999999999995</v>
      </c>
      <c r="E941" s="37">
        <v>74</v>
      </c>
      <c r="F941" s="37">
        <v>1</v>
      </c>
      <c r="G941" s="37">
        <v>2</v>
      </c>
      <c r="H941" s="40">
        <f ca="1">LEFT(Music_Data[[#This Row],[Duration_minutes]],3)/60</f>
        <v>5.5166666666666666</v>
      </c>
      <c r="I941" s="39">
        <v>0.40200000000000002</v>
      </c>
      <c r="J941" s="41" t="str">
        <f t="shared" si="14"/>
        <v>Casi nada popular</v>
      </c>
      <c r="K941" s="43">
        <v>33462</v>
      </c>
    </row>
    <row r="942" spans="1:11">
      <c r="A942" s="34">
        <v>0.67300000000000004</v>
      </c>
      <c r="B942" s="32">
        <v>718</v>
      </c>
      <c r="C942" s="33">
        <v>0.81799999999999995</v>
      </c>
      <c r="D942" s="34">
        <v>0.69499999999999995</v>
      </c>
      <c r="E942" s="32">
        <v>74</v>
      </c>
      <c r="F942" s="32">
        <v>0</v>
      </c>
      <c r="G942" s="32">
        <v>4</v>
      </c>
      <c r="H942" s="35">
        <f ca="1">LEFT(Music_Data[[#This Row],[Duration_minutes]],3)/60</f>
        <v>3.5666666666666669</v>
      </c>
      <c r="I942" s="34">
        <v>0.34799999999999998</v>
      </c>
      <c r="J942" s="36" t="str">
        <f t="shared" si="14"/>
        <v>Casi nada popular</v>
      </c>
      <c r="K942" s="42">
        <v>35730</v>
      </c>
    </row>
    <row r="943" spans="1:11">
      <c r="A943" s="39">
        <v>0.59799999999999998</v>
      </c>
      <c r="B943" s="37">
        <v>718</v>
      </c>
      <c r="C943" s="38">
        <v>0.55000000000000004</v>
      </c>
      <c r="D943" s="39">
        <v>0.54300000000000004</v>
      </c>
      <c r="E943" s="37">
        <v>74</v>
      </c>
      <c r="F943" s="37">
        <v>0</v>
      </c>
      <c r="G943" s="37">
        <v>11</v>
      </c>
      <c r="H943" s="40">
        <f ca="1">LEFT(Music_Data[[#This Row],[Duration_minutes]],3)/60</f>
        <v>3.5666666666666669</v>
      </c>
      <c r="I943" s="39">
        <v>0.13200000000000001</v>
      </c>
      <c r="J943" s="41" t="str">
        <f t="shared" si="14"/>
        <v>Casi nada popular</v>
      </c>
      <c r="K943" s="43">
        <v>35730</v>
      </c>
    </row>
    <row r="944" spans="1:11">
      <c r="A944" s="34">
        <v>0.89200000000000002</v>
      </c>
      <c r="B944" s="32">
        <v>103</v>
      </c>
      <c r="C944" s="33">
        <v>0.79100000000000004</v>
      </c>
      <c r="D944" s="34">
        <v>0.91600000000000004</v>
      </c>
      <c r="E944" s="32">
        <v>74</v>
      </c>
      <c r="F944" s="32">
        <v>1</v>
      </c>
      <c r="G944" s="32">
        <v>0</v>
      </c>
      <c r="H944" s="35">
        <f ca="1">LEFT(Music_Data[[#This Row],[Duration_minutes]],3)/60</f>
        <v>4.25</v>
      </c>
      <c r="I944" s="34">
        <v>5.0900000000000001E-2</v>
      </c>
      <c r="J944" s="36" t="str">
        <f t="shared" si="14"/>
        <v>Casi nada popular</v>
      </c>
      <c r="K944" s="42">
        <v>36025</v>
      </c>
    </row>
    <row r="945" spans="1:11">
      <c r="A945" s="39">
        <v>0.91400000000000003</v>
      </c>
      <c r="B945" s="37">
        <v>103</v>
      </c>
      <c r="C945" s="38">
        <v>0.72599999999999998</v>
      </c>
      <c r="D945" s="39">
        <v>0.83899999999999997</v>
      </c>
      <c r="E945" s="37">
        <v>74</v>
      </c>
      <c r="F945" s="37">
        <v>1</v>
      </c>
      <c r="G945" s="37">
        <v>7</v>
      </c>
      <c r="H945" s="40">
        <f ca="1">LEFT(Music_Data[[#This Row],[Duration_minutes]],3)/60</f>
        <v>4.25</v>
      </c>
      <c r="I945" s="39">
        <v>7.5800000000000006E-2</v>
      </c>
      <c r="J945" s="41" t="str">
        <f t="shared" si="14"/>
        <v>Casi nada popular</v>
      </c>
      <c r="K945" s="43">
        <v>36025</v>
      </c>
    </row>
    <row r="946" spans="1:11">
      <c r="A946" s="34">
        <v>0.63</v>
      </c>
      <c r="B946" s="32">
        <v>125</v>
      </c>
      <c r="C946" s="33">
        <v>0.874</v>
      </c>
      <c r="D946" s="34">
        <v>0.71699999999999997</v>
      </c>
      <c r="E946" s="32">
        <v>74</v>
      </c>
      <c r="F946" s="32">
        <v>1</v>
      </c>
      <c r="G946" s="32">
        <v>1</v>
      </c>
      <c r="H946" s="35">
        <f ca="1">LEFT(Music_Data[[#This Row],[Duration_minutes]],3)/60</f>
        <v>3.7</v>
      </c>
      <c r="I946" s="34">
        <v>5.7799999999999997E-2</v>
      </c>
      <c r="J946" s="36" t="str">
        <f t="shared" si="14"/>
        <v>Casi nada popular</v>
      </c>
      <c r="K946" s="42">
        <v>35796</v>
      </c>
    </row>
    <row r="947" spans="1:11">
      <c r="A947" s="39">
        <v>5.6099999999999997E-2</v>
      </c>
      <c r="B947" s="37">
        <v>125</v>
      </c>
      <c r="C947" s="38">
        <v>0.31900000000000001</v>
      </c>
      <c r="D947" s="39">
        <v>8.2000000000000003E-2</v>
      </c>
      <c r="E947" s="37">
        <v>74</v>
      </c>
      <c r="F947" s="37">
        <v>1</v>
      </c>
      <c r="G947" s="37">
        <v>0</v>
      </c>
      <c r="H947" s="40">
        <f ca="1">LEFT(Music_Data[[#This Row],[Duration_minutes]],3)/60</f>
        <v>3.7</v>
      </c>
      <c r="I947" s="39">
        <v>0.93500000000000005</v>
      </c>
      <c r="J947" s="41" t="str">
        <f t="shared" si="14"/>
        <v>Casi nada popular</v>
      </c>
      <c r="K947" s="43">
        <v>35796</v>
      </c>
    </row>
    <row r="948" spans="1:11">
      <c r="A948" s="34">
        <v>0.52600000000000002</v>
      </c>
      <c r="B948" s="32">
        <v>118</v>
      </c>
      <c r="C948" s="33">
        <v>0.52100000000000002</v>
      </c>
      <c r="D948" s="34">
        <v>0.502</v>
      </c>
      <c r="E948" s="32">
        <v>74</v>
      </c>
      <c r="F948" s="32">
        <v>1</v>
      </c>
      <c r="G948" s="32">
        <v>5</v>
      </c>
      <c r="H948" s="35">
        <f ca="1">LEFT(Music_Data[[#This Row],[Duration_minutes]],3)/60</f>
        <v>5.083333333333333</v>
      </c>
      <c r="I948" s="34">
        <v>0.24299999999999999</v>
      </c>
      <c r="J948" s="36" t="str">
        <f t="shared" si="14"/>
        <v>Casi nada popular</v>
      </c>
      <c r="K948" s="42">
        <v>41509</v>
      </c>
    </row>
    <row r="949" spans="1:11">
      <c r="A949" s="39">
        <v>0.65300000000000002</v>
      </c>
      <c r="B949" s="37">
        <v>118</v>
      </c>
      <c r="C949" s="38">
        <v>0.54700000000000004</v>
      </c>
      <c r="D949" s="39">
        <v>0.16300000000000001</v>
      </c>
      <c r="E949" s="37">
        <v>74</v>
      </c>
      <c r="F949" s="37">
        <v>1</v>
      </c>
      <c r="G949" s="37">
        <v>5</v>
      </c>
      <c r="H949" s="40">
        <f ca="1">LEFT(Music_Data[[#This Row],[Duration_minutes]],3)/60</f>
        <v>5.083333333333333</v>
      </c>
      <c r="I949" s="39">
        <v>0.45600000000000002</v>
      </c>
      <c r="J949" s="41" t="str">
        <f t="shared" si="14"/>
        <v>Casi nada popular</v>
      </c>
      <c r="K949" s="43">
        <v>41509</v>
      </c>
    </row>
    <row r="950" spans="1:11">
      <c r="A950" s="34">
        <v>0.55100000000000005</v>
      </c>
      <c r="B950" s="32">
        <v>105</v>
      </c>
      <c r="C950" s="33">
        <v>0.748</v>
      </c>
      <c r="D950" s="34">
        <v>0.65</v>
      </c>
      <c r="E950" s="32">
        <v>74</v>
      </c>
      <c r="F950" s="32">
        <v>1</v>
      </c>
      <c r="G950" s="32">
        <v>1</v>
      </c>
      <c r="H950" s="35">
        <f ca="1">LEFT(Music_Data[[#This Row],[Duration_minutes]],3)/60</f>
        <v>8.5833333333333339</v>
      </c>
      <c r="I950" s="34">
        <v>0.24299999999999999</v>
      </c>
      <c r="J950" s="36" t="str">
        <f t="shared" si="14"/>
        <v>Casi nada popular</v>
      </c>
      <c r="K950" s="42">
        <v>31474</v>
      </c>
    </row>
    <row r="951" spans="1:11">
      <c r="A951" s="39">
        <v>0.61499999999999999</v>
      </c>
      <c r="B951" s="37">
        <v>105</v>
      </c>
      <c r="C951" s="38">
        <v>0.77500000000000002</v>
      </c>
      <c r="D951" s="39">
        <v>0.91800000000000004</v>
      </c>
      <c r="E951" s="37">
        <v>74</v>
      </c>
      <c r="F951" s="37">
        <v>0</v>
      </c>
      <c r="G951" s="37">
        <v>1</v>
      </c>
      <c r="H951" s="40">
        <f ca="1">LEFT(Music_Data[[#This Row],[Duration_minutes]],3)/60</f>
        <v>8.5833333333333339</v>
      </c>
      <c r="I951" s="39">
        <v>0.30399999999999999</v>
      </c>
      <c r="J951" s="41" t="str">
        <f t="shared" si="14"/>
        <v>Casi nada popular</v>
      </c>
      <c r="K951" s="43">
        <v>31474</v>
      </c>
    </row>
    <row r="952" spans="1:11">
      <c r="A952" s="34">
        <v>0.63700000000000001</v>
      </c>
      <c r="B952" s="32">
        <v>118</v>
      </c>
      <c r="C952" s="33">
        <v>0.84699999999999998</v>
      </c>
      <c r="D952" s="34">
        <v>5.0900000000000001E-2</v>
      </c>
      <c r="E952" s="32">
        <v>74</v>
      </c>
      <c r="F952" s="32">
        <v>0</v>
      </c>
      <c r="G952" s="32">
        <v>7</v>
      </c>
      <c r="H952" s="35">
        <f ca="1">LEFT(Music_Data[[#This Row],[Duration_minutes]],3)/60</f>
        <v>5.25</v>
      </c>
      <c r="I952" s="34">
        <v>0.20100000000000001</v>
      </c>
      <c r="J952" s="36" t="str">
        <f t="shared" si="14"/>
        <v>Casi nada popular</v>
      </c>
      <c r="K952" s="42">
        <v>33655</v>
      </c>
    </row>
    <row r="953" spans="1:11">
      <c r="A953" s="39">
        <v>0.64100000000000001</v>
      </c>
      <c r="B953" s="37">
        <v>118</v>
      </c>
      <c r="C953" s="38">
        <v>0.52900000000000003</v>
      </c>
      <c r="D953" s="39">
        <v>8.8999999999999996E-2</v>
      </c>
      <c r="E953" s="37">
        <v>74</v>
      </c>
      <c r="F953" s="37">
        <v>1</v>
      </c>
      <c r="G953" s="37">
        <v>2</v>
      </c>
      <c r="H953" s="40">
        <f ca="1">LEFT(Music_Data[[#This Row],[Duration_minutes]],3)/60</f>
        <v>5.25</v>
      </c>
      <c r="I953" s="39">
        <v>7.1099999999999997E-2</v>
      </c>
      <c r="J953" s="41" t="str">
        <f t="shared" si="14"/>
        <v>Casi nada popular</v>
      </c>
      <c r="K953" s="43">
        <v>33655</v>
      </c>
    </row>
    <row r="954" spans="1:11">
      <c r="A954" s="34">
        <v>0.73099999999999998</v>
      </c>
      <c r="B954" s="32">
        <v>102</v>
      </c>
      <c r="C954" s="33">
        <v>0.58299999999999996</v>
      </c>
      <c r="D954" s="34">
        <v>0.44600000000000001</v>
      </c>
      <c r="E954" s="32">
        <v>74</v>
      </c>
      <c r="F954" s="32">
        <v>0</v>
      </c>
      <c r="G954" s="32">
        <v>9</v>
      </c>
      <c r="H954" s="35">
        <f ca="1">LEFT(Music_Data[[#This Row],[Duration_minutes]],3)/60</f>
        <v>7.45</v>
      </c>
      <c r="I954" s="34">
        <v>1.0699999999999999E-2</v>
      </c>
      <c r="J954" s="36" t="str">
        <f t="shared" si="14"/>
        <v>Casi nada popular</v>
      </c>
      <c r="K954" s="42">
        <v>32380</v>
      </c>
    </row>
    <row r="955" spans="1:11">
      <c r="A955" s="39">
        <v>0.85399999999999998</v>
      </c>
      <c r="B955" s="37">
        <v>102</v>
      </c>
      <c r="C955" s="38">
        <v>0.63400000000000001</v>
      </c>
      <c r="D955" s="39">
        <v>0.56399999999999995</v>
      </c>
      <c r="E955" s="37">
        <v>74</v>
      </c>
      <c r="F955" s="37">
        <v>1</v>
      </c>
      <c r="G955" s="37">
        <v>11</v>
      </c>
      <c r="H955" s="40">
        <f ca="1">LEFT(Music_Data[[#This Row],[Duration_minutes]],3)/60</f>
        <v>7.45</v>
      </c>
      <c r="I955" s="39">
        <v>7.3699999999999998E-3</v>
      </c>
      <c r="J955" s="41" t="str">
        <f t="shared" si="14"/>
        <v>Casi nada popular</v>
      </c>
      <c r="K955" s="43">
        <v>32380</v>
      </c>
    </row>
    <row r="956" spans="1:11">
      <c r="A956" s="34">
        <v>0.255</v>
      </c>
      <c r="B956" s="32">
        <v>159</v>
      </c>
      <c r="C956" s="33">
        <v>0.375</v>
      </c>
      <c r="D956" s="34">
        <v>0.33100000000000002</v>
      </c>
      <c r="E956" s="32">
        <v>74</v>
      </c>
      <c r="F956" s="32">
        <v>0</v>
      </c>
      <c r="G956" s="32">
        <v>10</v>
      </c>
      <c r="H956" s="35">
        <f ca="1">LEFT(Music_Data[[#This Row],[Duration_minutes]],3)/60</f>
        <v>4.2</v>
      </c>
      <c r="I956" s="34">
        <v>0.81499999999999995</v>
      </c>
      <c r="J956" s="36" t="str">
        <f t="shared" si="14"/>
        <v>Casi nada popular</v>
      </c>
      <c r="K956" s="42">
        <v>1983</v>
      </c>
    </row>
    <row r="957" spans="1:11">
      <c r="A957" s="39">
        <v>0.85199999999999998</v>
      </c>
      <c r="B957" s="37">
        <v>159</v>
      </c>
      <c r="C957" s="38">
        <v>0.77900000000000003</v>
      </c>
      <c r="D957" s="39">
        <v>0.60099999999999998</v>
      </c>
      <c r="E957" s="37">
        <v>74</v>
      </c>
      <c r="F957" s="37">
        <v>1</v>
      </c>
      <c r="G957" s="37">
        <v>2</v>
      </c>
      <c r="H957" s="40">
        <f ca="1">LEFT(Music_Data[[#This Row],[Duration_minutes]],3)/60</f>
        <v>4.2</v>
      </c>
      <c r="I957" s="39">
        <v>0.23499999999999999</v>
      </c>
      <c r="J957" s="41" t="str">
        <f t="shared" si="14"/>
        <v>Casi nada popular</v>
      </c>
      <c r="K957" s="43">
        <v>1983</v>
      </c>
    </row>
    <row r="958" spans="1:11">
      <c r="A958" s="34">
        <v>0.627</v>
      </c>
      <c r="B958" s="32">
        <v>114</v>
      </c>
      <c r="C958" s="33">
        <v>0.78800000000000003</v>
      </c>
      <c r="D958" s="34">
        <v>0.90900000000000003</v>
      </c>
      <c r="E958" s="32">
        <v>74</v>
      </c>
      <c r="F958" s="32">
        <v>0</v>
      </c>
      <c r="G958" s="32">
        <v>0</v>
      </c>
      <c r="H958" s="35">
        <f ca="1">LEFT(Music_Data[[#This Row],[Duration_minutes]],3)/60</f>
        <v>4.05</v>
      </c>
      <c r="I958" s="34">
        <v>0.69299999999999995</v>
      </c>
      <c r="J958" s="36" t="str">
        <f t="shared" si="14"/>
        <v>Casi nada popular</v>
      </c>
      <c r="K958" s="42">
        <v>33074</v>
      </c>
    </row>
    <row r="959" spans="1:11">
      <c r="A959" s="39">
        <v>0.72499999999999998</v>
      </c>
      <c r="B959" s="37">
        <v>114</v>
      </c>
      <c r="C959" s="38">
        <v>0.71099999999999997</v>
      </c>
      <c r="D959" s="39">
        <v>0.53</v>
      </c>
      <c r="E959" s="37">
        <v>74</v>
      </c>
      <c r="F959" s="37">
        <v>0</v>
      </c>
      <c r="G959" s="37">
        <v>3</v>
      </c>
      <c r="H959" s="40">
        <f ca="1">LEFT(Music_Data[[#This Row],[Duration_minutes]],3)/60</f>
        <v>4.05</v>
      </c>
      <c r="I959" s="39">
        <v>0.42399999999999999</v>
      </c>
      <c r="J959" s="41" t="str">
        <f t="shared" si="14"/>
        <v>Casi nada popular</v>
      </c>
      <c r="K959" s="43">
        <v>33074</v>
      </c>
    </row>
    <row r="960" spans="1:11">
      <c r="A960" s="34">
        <v>0.78600000000000003</v>
      </c>
      <c r="B960" s="32">
        <v>114</v>
      </c>
      <c r="C960" s="33">
        <v>0.48199999999999998</v>
      </c>
      <c r="D960" s="34">
        <v>0.79300000000000004</v>
      </c>
      <c r="E960" s="32">
        <v>73</v>
      </c>
      <c r="F960" s="32">
        <v>1</v>
      </c>
      <c r="G960" s="32">
        <v>7</v>
      </c>
      <c r="H960" s="35">
        <f ca="1">LEFT(Music_Data[[#This Row],[Duration_minutes]],3)/60</f>
        <v>4.05</v>
      </c>
      <c r="I960" s="34">
        <v>3.2100000000000002E-3</v>
      </c>
      <c r="J960" s="36" t="str">
        <f t="shared" si="14"/>
        <v>Casi nada popular</v>
      </c>
      <c r="K960" s="42">
        <v>33074</v>
      </c>
    </row>
    <row r="961" spans="1:11">
      <c r="A961" s="39">
        <v>0.872</v>
      </c>
      <c r="B961" s="37">
        <v>129</v>
      </c>
      <c r="C961" s="38">
        <v>0.58699999999999997</v>
      </c>
      <c r="D961" s="39">
        <v>0.73499999999999999</v>
      </c>
      <c r="E961" s="37">
        <v>73</v>
      </c>
      <c r="F961" s="37">
        <v>1</v>
      </c>
      <c r="G961" s="37">
        <v>7</v>
      </c>
      <c r="H961" s="40">
        <f ca="1">LEFT(Music_Data[[#This Row],[Duration_minutes]],3)/60</f>
        <v>6.2333333333333334</v>
      </c>
      <c r="I961" s="39">
        <v>1.7999999999999999E-2</v>
      </c>
      <c r="J961" s="41" t="str">
        <f t="shared" si="14"/>
        <v>Casi nada popular</v>
      </c>
      <c r="K961" s="43">
        <v>40382</v>
      </c>
    </row>
    <row r="962" spans="1:11">
      <c r="A962" s="34">
        <v>0.875</v>
      </c>
      <c r="B962" s="32">
        <v>129</v>
      </c>
      <c r="C962" s="33">
        <v>0.28399999999999997</v>
      </c>
      <c r="D962" s="34">
        <v>0.59499999999999997</v>
      </c>
      <c r="E962" s="32">
        <v>73</v>
      </c>
      <c r="F962" s="32">
        <v>0</v>
      </c>
      <c r="G962" s="32">
        <v>11</v>
      </c>
      <c r="H962" s="35">
        <f ca="1">LEFT(Music_Data[[#This Row],[Duration_minutes]],3)/60</f>
        <v>6.2333333333333334</v>
      </c>
      <c r="I962" s="34">
        <v>7.5199999999999998E-3</v>
      </c>
      <c r="J962" s="36" t="str">
        <f t="shared" si="14"/>
        <v>Casi nada popular</v>
      </c>
      <c r="K962" s="42">
        <v>40382</v>
      </c>
    </row>
    <row r="963" spans="1:11">
      <c r="A963" s="39">
        <v>0.54900000000000004</v>
      </c>
      <c r="B963" s="37">
        <v>148</v>
      </c>
      <c r="C963" s="38">
        <v>0.51600000000000001</v>
      </c>
      <c r="D963" s="39">
        <v>0.90700000000000003</v>
      </c>
      <c r="E963" s="37">
        <v>73</v>
      </c>
      <c r="F963" s="37">
        <v>1</v>
      </c>
      <c r="G963" s="37">
        <v>6</v>
      </c>
      <c r="H963" s="40">
        <f ca="1">LEFT(Music_Data[[#This Row],[Duration_minutes]],3)/60</f>
        <v>3.4</v>
      </c>
      <c r="I963" s="39">
        <v>0.501</v>
      </c>
      <c r="J963" s="41" t="str">
        <f t="shared" si="14"/>
        <v>Casi nada popular</v>
      </c>
      <c r="K963" s="43">
        <v>32143</v>
      </c>
    </row>
    <row r="964" spans="1:11">
      <c r="A964" s="34">
        <v>0.91900000000000004</v>
      </c>
      <c r="B964" s="32">
        <v>148</v>
      </c>
      <c r="C964" s="33">
        <v>0.46500000000000002</v>
      </c>
      <c r="D964" s="34">
        <v>0.53700000000000003</v>
      </c>
      <c r="E964" s="32">
        <v>73</v>
      </c>
      <c r="F964" s="32">
        <v>1</v>
      </c>
      <c r="G964" s="32">
        <v>4</v>
      </c>
      <c r="H964" s="35">
        <f ca="1">LEFT(Music_Data[[#This Row],[Duration_minutes]],3)/60</f>
        <v>3.4</v>
      </c>
      <c r="I964" s="34">
        <v>1.8300000000000001E-5</v>
      </c>
      <c r="J964" s="36" t="str">
        <f t="shared" ref="J964:J1027" si="15">IF(E964&gt;=94,"Muy Popular",IF(E964&gt;=86,"Popular",IF(E964&gt;=78,"No muy popular","Casi nada popular")))</f>
        <v>Casi nada popular</v>
      </c>
      <c r="K964" s="42">
        <v>32143</v>
      </c>
    </row>
    <row r="965" spans="1:11">
      <c r="A965" s="39">
        <v>0.72</v>
      </c>
      <c r="B965" s="37">
        <v>109</v>
      </c>
      <c r="C965" s="38">
        <v>0.40400000000000003</v>
      </c>
      <c r="D965" s="39">
        <v>0.47499999999999998</v>
      </c>
      <c r="E965" s="37">
        <v>73</v>
      </c>
      <c r="F965" s="37">
        <v>0</v>
      </c>
      <c r="G965" s="37">
        <v>10</v>
      </c>
      <c r="H965" s="40">
        <f ca="1">LEFT(Music_Data[[#This Row],[Duration_minutes]],3)/60</f>
        <v>7.3</v>
      </c>
      <c r="I965" s="39">
        <v>5.5899999999999997E-5</v>
      </c>
      <c r="J965" s="41" t="str">
        <f t="shared" si="15"/>
        <v>Casi nada popular</v>
      </c>
      <c r="K965" s="43">
        <v>1992</v>
      </c>
    </row>
    <row r="966" spans="1:11">
      <c r="A966" s="34">
        <v>0.47599999999999998</v>
      </c>
      <c r="B966" s="32">
        <v>920</v>
      </c>
      <c r="C966" s="33">
        <v>0.38900000000000001</v>
      </c>
      <c r="D966" s="34">
        <v>0.56599999999999995</v>
      </c>
      <c r="E966" s="32">
        <v>73</v>
      </c>
      <c r="F966" s="32">
        <v>1</v>
      </c>
      <c r="G966" s="32">
        <v>9</v>
      </c>
      <c r="H966" s="35">
        <f ca="1">LEFT(Music_Data[[#This Row],[Duration_minutes]],3)/60</f>
        <v>4.3</v>
      </c>
      <c r="I966" s="34">
        <v>0.61899999999999999</v>
      </c>
      <c r="J966" s="36" t="str">
        <f t="shared" si="15"/>
        <v>Casi nada popular</v>
      </c>
      <c r="K966" s="42">
        <v>34618</v>
      </c>
    </row>
    <row r="967" spans="1:11">
      <c r="A967" s="39">
        <v>0.53300000000000003</v>
      </c>
      <c r="B967" s="37">
        <v>920</v>
      </c>
      <c r="C967" s="38">
        <v>0.79400000000000004</v>
      </c>
      <c r="D967" s="39">
        <v>0.15</v>
      </c>
      <c r="E967" s="37">
        <v>73</v>
      </c>
      <c r="F967" s="37">
        <v>1</v>
      </c>
      <c r="G967" s="37">
        <v>9</v>
      </c>
      <c r="H967" s="40">
        <f ca="1">LEFT(Music_Data[[#This Row],[Duration_minutes]],3)/60</f>
        <v>4.3</v>
      </c>
      <c r="I967" s="39">
        <v>0.14000000000000001</v>
      </c>
      <c r="J967" s="41" t="str">
        <f t="shared" si="15"/>
        <v>Casi nada popular</v>
      </c>
      <c r="K967" s="43">
        <v>34618</v>
      </c>
    </row>
    <row r="968" spans="1:11">
      <c r="A968" s="34">
        <v>0.70899999999999996</v>
      </c>
      <c r="B968" s="32">
        <v>140</v>
      </c>
      <c r="C968" s="33">
        <v>0.749</v>
      </c>
      <c r="D968" s="34">
        <v>0.56399999999999995</v>
      </c>
      <c r="E968" s="32">
        <v>73</v>
      </c>
      <c r="F968" s="32">
        <v>1</v>
      </c>
      <c r="G968" s="32">
        <v>6</v>
      </c>
      <c r="H968" s="35">
        <f ca="1">LEFT(Music_Data[[#This Row],[Duration_minutes]],3)/60</f>
        <v>6.9</v>
      </c>
      <c r="I968" s="34">
        <v>0.155</v>
      </c>
      <c r="J968" s="36" t="str">
        <f t="shared" si="15"/>
        <v>Casi nada popular</v>
      </c>
      <c r="K968" s="42">
        <v>30521</v>
      </c>
    </row>
    <row r="969" spans="1:11">
      <c r="A969" s="39">
        <v>0.76100000000000001</v>
      </c>
      <c r="B969" s="37">
        <v>107</v>
      </c>
      <c r="C969" s="38">
        <v>0.64900000000000002</v>
      </c>
      <c r="D969" s="39">
        <v>0.313</v>
      </c>
      <c r="E969" s="37">
        <v>73</v>
      </c>
      <c r="F969" s="37">
        <v>1</v>
      </c>
      <c r="G969" s="37">
        <v>8</v>
      </c>
      <c r="H969" s="40">
        <f ca="1">LEFT(Music_Data[[#This Row],[Duration_minutes]],3)/60</f>
        <v>6.7166666666666668</v>
      </c>
      <c r="I969" s="39">
        <v>6.94E-3</v>
      </c>
      <c r="J969" s="41" t="str">
        <f t="shared" si="15"/>
        <v>Casi nada popular</v>
      </c>
      <c r="K969" s="43">
        <v>37026</v>
      </c>
    </row>
    <row r="970" spans="1:11">
      <c r="A970" s="34">
        <v>0.69199999999999995</v>
      </c>
      <c r="B970" s="32">
        <v>107</v>
      </c>
      <c r="C970" s="33">
        <v>0.63700000000000001</v>
      </c>
      <c r="D970" s="34">
        <v>0.42699999999999999</v>
      </c>
      <c r="E970" s="32">
        <v>73</v>
      </c>
      <c r="F970" s="32">
        <v>0</v>
      </c>
      <c r="G970" s="32">
        <v>1</v>
      </c>
      <c r="H970" s="35">
        <f ca="1">LEFT(Music_Data[[#This Row],[Duration_minutes]],3)/60</f>
        <v>6.7166666666666668</v>
      </c>
      <c r="I970" s="34">
        <v>1.5299999999999999E-2</v>
      </c>
      <c r="J970" s="36" t="str">
        <f t="shared" si="15"/>
        <v>Casi nada popular</v>
      </c>
      <c r="K970" s="42">
        <v>37026</v>
      </c>
    </row>
    <row r="971" spans="1:11">
      <c r="A971" s="39">
        <v>0.39600000000000002</v>
      </c>
      <c r="B971" s="37">
        <v>157</v>
      </c>
      <c r="C971" s="38">
        <v>0.72599999999999998</v>
      </c>
      <c r="D971" s="39">
        <v>0.41299999999999998</v>
      </c>
      <c r="E971" s="37">
        <v>73</v>
      </c>
      <c r="F971" s="37">
        <v>0</v>
      </c>
      <c r="G971" s="37">
        <v>5</v>
      </c>
      <c r="H971" s="40">
        <f ca="1">LEFT(Music_Data[[#This Row],[Duration_minutes]],3)/60</f>
        <v>4.1833333333333336</v>
      </c>
      <c r="I971" s="39">
        <v>0.26900000000000002</v>
      </c>
      <c r="J971" s="41" t="str">
        <f t="shared" si="15"/>
        <v>Casi nada popular</v>
      </c>
      <c r="K971" s="43">
        <v>45520</v>
      </c>
    </row>
    <row r="972" spans="1:11">
      <c r="A972" s="34">
        <v>0.75800000000000001</v>
      </c>
      <c r="B972" s="32">
        <v>157</v>
      </c>
      <c r="C972" s="33">
        <v>0.68100000000000005</v>
      </c>
      <c r="D972" s="34">
        <v>0.33100000000000002</v>
      </c>
      <c r="E972" s="32">
        <v>73</v>
      </c>
      <c r="F972" s="32">
        <v>1</v>
      </c>
      <c r="G972" s="32">
        <v>1</v>
      </c>
      <c r="H972" s="35">
        <f ca="1">LEFT(Music_Data[[#This Row],[Duration_minutes]],3)/60</f>
        <v>4.1833333333333336</v>
      </c>
      <c r="I972" s="34">
        <v>4.6499999999999996E-3</v>
      </c>
      <c r="J972" s="36" t="str">
        <f t="shared" si="15"/>
        <v>Casi nada popular</v>
      </c>
      <c r="K972" s="42">
        <v>45520</v>
      </c>
    </row>
    <row r="973" spans="1:11">
      <c r="A973" s="39">
        <v>0.44900000000000001</v>
      </c>
      <c r="B973" s="37">
        <v>149</v>
      </c>
      <c r="C973" s="38">
        <v>0.57799999999999996</v>
      </c>
      <c r="D973" s="39">
        <v>0.1</v>
      </c>
      <c r="E973" s="37">
        <v>73</v>
      </c>
      <c r="F973" s="37">
        <v>1</v>
      </c>
      <c r="G973" s="37">
        <v>1</v>
      </c>
      <c r="H973" s="40">
        <f ca="1">LEFT(Music_Data[[#This Row],[Duration_minutes]],3)/60</f>
        <v>2.8166666666666669</v>
      </c>
      <c r="I973" s="39">
        <v>6.1800000000000001E-2</v>
      </c>
      <c r="J973" s="41" t="str">
        <f t="shared" si="15"/>
        <v>Casi nada popular</v>
      </c>
      <c r="K973" s="43">
        <v>45583</v>
      </c>
    </row>
    <row r="974" spans="1:11">
      <c r="A974" s="34">
        <v>0.73199999999999998</v>
      </c>
      <c r="B974" s="32">
        <v>149</v>
      </c>
      <c r="C974" s="33">
        <v>0.84099999999999997</v>
      </c>
      <c r="D974" s="34">
        <v>0.57599999999999996</v>
      </c>
      <c r="E974" s="32">
        <v>73</v>
      </c>
      <c r="F974" s="32">
        <v>0</v>
      </c>
      <c r="G974" s="32">
        <v>7</v>
      </c>
      <c r="H974" s="35">
        <f ca="1">LEFT(Music_Data[[#This Row],[Duration_minutes]],3)/60</f>
        <v>2.8166666666666669</v>
      </c>
      <c r="I974" s="34">
        <v>1.15E-2</v>
      </c>
      <c r="J974" s="36" t="str">
        <f t="shared" si="15"/>
        <v>Casi nada popular</v>
      </c>
      <c r="K974" s="42">
        <v>45583</v>
      </c>
    </row>
    <row r="975" spans="1:11">
      <c r="A975" s="39">
        <v>0.63700000000000001</v>
      </c>
      <c r="B975" s="37">
        <v>104</v>
      </c>
      <c r="C975" s="38">
        <v>0.85099999999999998</v>
      </c>
      <c r="D975" s="39">
        <v>0.61599999999999999</v>
      </c>
      <c r="E975" s="37">
        <v>73</v>
      </c>
      <c r="F975" s="37">
        <v>1</v>
      </c>
      <c r="G975" s="37">
        <v>0</v>
      </c>
      <c r="H975" s="40">
        <f ca="1">LEFT(Music_Data[[#This Row],[Duration_minutes]],3)/60</f>
        <v>3.5</v>
      </c>
      <c r="I975" s="39">
        <v>0.22500000000000001</v>
      </c>
      <c r="J975" s="41" t="str">
        <f t="shared" si="15"/>
        <v>Casi nada popular</v>
      </c>
      <c r="K975" s="43">
        <v>45429</v>
      </c>
    </row>
    <row r="976" spans="1:11">
      <c r="A976" s="34">
        <v>0.53100000000000003</v>
      </c>
      <c r="B976" s="32">
        <v>104</v>
      </c>
      <c r="C976" s="33">
        <v>0.56599999999999995</v>
      </c>
      <c r="D976" s="34">
        <v>0.36699999999999999</v>
      </c>
      <c r="E976" s="32">
        <v>73</v>
      </c>
      <c r="F976" s="32">
        <v>1</v>
      </c>
      <c r="G976" s="32">
        <v>6</v>
      </c>
      <c r="H976" s="35">
        <f ca="1">LEFT(Music_Data[[#This Row],[Duration_minutes]],3)/60</f>
        <v>3.5</v>
      </c>
      <c r="I976" s="34">
        <v>0.192</v>
      </c>
      <c r="J976" s="36" t="str">
        <f t="shared" si="15"/>
        <v>Casi nada popular</v>
      </c>
      <c r="K976" s="42">
        <v>45429</v>
      </c>
    </row>
    <row r="977" spans="1:11">
      <c r="A977" s="39">
        <v>0.88</v>
      </c>
      <c r="B977" s="37">
        <v>116</v>
      </c>
      <c r="C977" s="38">
        <v>0.753</v>
      </c>
      <c r="D977" s="39">
        <v>0.58199999999999996</v>
      </c>
      <c r="E977" s="37">
        <v>73</v>
      </c>
      <c r="F977" s="37">
        <v>1</v>
      </c>
      <c r="G977" s="37">
        <v>11</v>
      </c>
      <c r="H977" s="40">
        <f ca="1">LEFT(Music_Data[[#This Row],[Duration_minutes]],3)/60</f>
        <v>3.6333333333333333</v>
      </c>
      <c r="I977" s="39">
        <v>0.45500000000000002</v>
      </c>
      <c r="J977" s="41" t="str">
        <f t="shared" si="15"/>
        <v>Casi nada popular</v>
      </c>
      <c r="K977" s="43">
        <v>45387</v>
      </c>
    </row>
    <row r="978" spans="1:11">
      <c r="A978" s="34">
        <v>0.73499999999999999</v>
      </c>
      <c r="B978" s="32">
        <v>116</v>
      </c>
      <c r="C978" s="33">
        <v>0.69699999999999995</v>
      </c>
      <c r="D978" s="34">
        <v>0.40300000000000002</v>
      </c>
      <c r="E978" s="32">
        <v>73</v>
      </c>
      <c r="F978" s="32">
        <v>0</v>
      </c>
      <c r="G978" s="32">
        <v>10</v>
      </c>
      <c r="H978" s="35">
        <f ca="1">LEFT(Music_Data[[#This Row],[Duration_minutes]],3)/60</f>
        <v>3.6333333333333333</v>
      </c>
      <c r="I978" s="34">
        <v>0.17199999999999999</v>
      </c>
      <c r="J978" s="36" t="str">
        <f t="shared" si="15"/>
        <v>Casi nada popular</v>
      </c>
      <c r="K978" s="42">
        <v>45387</v>
      </c>
    </row>
    <row r="979" spans="1:11">
      <c r="A979" s="39">
        <v>0.44500000000000001</v>
      </c>
      <c r="B979" s="37">
        <v>148</v>
      </c>
      <c r="C979" s="38">
        <v>0.55000000000000004</v>
      </c>
      <c r="D979" s="39">
        <v>0.51200000000000001</v>
      </c>
      <c r="E979" s="37">
        <v>73</v>
      </c>
      <c r="F979" s="37">
        <v>1</v>
      </c>
      <c r="G979" s="37">
        <v>7</v>
      </c>
      <c r="H979" s="40">
        <f ca="1">LEFT(Music_Data[[#This Row],[Duration_minutes]],3)/60</f>
        <v>4.3499999999999996</v>
      </c>
      <c r="I979" s="39">
        <v>0.26200000000000001</v>
      </c>
      <c r="J979" s="41" t="str">
        <f t="shared" si="15"/>
        <v>Casi nada popular</v>
      </c>
      <c r="K979" s="43">
        <v>45429</v>
      </c>
    </row>
    <row r="980" spans="1:11">
      <c r="A980" s="34">
        <v>0.80600000000000005</v>
      </c>
      <c r="B980" s="32">
        <v>148</v>
      </c>
      <c r="C980" s="33">
        <v>0.76300000000000001</v>
      </c>
      <c r="D980" s="34">
        <v>0.59399999999999997</v>
      </c>
      <c r="E980" s="32">
        <v>73</v>
      </c>
      <c r="F980" s="32">
        <v>1</v>
      </c>
      <c r="G980" s="32">
        <v>2</v>
      </c>
      <c r="H980" s="35">
        <f ca="1">LEFT(Music_Data[[#This Row],[Duration_minutes]],3)/60</f>
        <v>4.3499999999999996</v>
      </c>
      <c r="I980" s="34">
        <v>1.1999999999999999E-3</v>
      </c>
      <c r="J980" s="36" t="str">
        <f t="shared" si="15"/>
        <v>Casi nada popular</v>
      </c>
      <c r="K980" s="42">
        <v>45429</v>
      </c>
    </row>
    <row r="981" spans="1:11">
      <c r="A981" s="39">
        <v>0.46800000000000003</v>
      </c>
      <c r="B981" s="37">
        <v>949</v>
      </c>
      <c r="C981" s="38">
        <v>0.48299999999999998</v>
      </c>
      <c r="D981" s="39">
        <v>0.31900000000000001</v>
      </c>
      <c r="E981" s="37">
        <v>73</v>
      </c>
      <c r="F981" s="37">
        <v>1</v>
      </c>
      <c r="G981" s="37">
        <v>8</v>
      </c>
      <c r="H981" s="40">
        <f ca="1">LEFT(Music_Data[[#This Row],[Duration_minutes]],3)/60</f>
        <v>3.5166666666666666</v>
      </c>
      <c r="I981" s="39">
        <v>0.78400000000000003</v>
      </c>
      <c r="J981" s="41" t="str">
        <f t="shared" si="15"/>
        <v>Casi nada popular</v>
      </c>
      <c r="K981" s="43">
        <v>45499</v>
      </c>
    </row>
    <row r="982" spans="1:11">
      <c r="A982" s="34">
        <v>0.94</v>
      </c>
      <c r="B982" s="32">
        <v>108</v>
      </c>
      <c r="C982" s="33">
        <v>0.438</v>
      </c>
      <c r="D982" s="34">
        <v>0.42099999999999999</v>
      </c>
      <c r="E982" s="32">
        <v>73</v>
      </c>
      <c r="F982" s="32">
        <v>1</v>
      </c>
      <c r="G982" s="32">
        <v>2</v>
      </c>
      <c r="H982" s="35">
        <f ca="1">LEFT(Music_Data[[#This Row],[Duration_minutes]],3)/60</f>
        <v>2.7666666666666666</v>
      </c>
      <c r="I982" s="34">
        <v>8.7399999999999997E-5</v>
      </c>
      <c r="J982" s="36" t="str">
        <f t="shared" si="15"/>
        <v>Casi nada popular</v>
      </c>
      <c r="K982" s="42">
        <v>45583</v>
      </c>
    </row>
    <row r="983" spans="1:11">
      <c r="A983" s="39">
        <v>0.94</v>
      </c>
      <c r="B983" s="37">
        <v>108</v>
      </c>
      <c r="C983" s="38">
        <v>0.438</v>
      </c>
      <c r="D983" s="39">
        <v>0.42099999999999999</v>
      </c>
      <c r="E983" s="37">
        <v>73</v>
      </c>
      <c r="F983" s="37">
        <v>1</v>
      </c>
      <c r="G983" s="37">
        <v>2</v>
      </c>
      <c r="H983" s="40">
        <f ca="1">LEFT(Music_Data[[#This Row],[Duration_minutes]],3)/60</f>
        <v>2.7666666666666666</v>
      </c>
      <c r="I983" s="39">
        <v>8.7399999999999997E-5</v>
      </c>
      <c r="J983" s="41" t="str">
        <f t="shared" si="15"/>
        <v>Casi nada popular</v>
      </c>
      <c r="K983" s="43">
        <v>45583</v>
      </c>
    </row>
    <row r="984" spans="1:11">
      <c r="A984" s="34">
        <v>0.57199999999999995</v>
      </c>
      <c r="B984" s="32">
        <v>128</v>
      </c>
      <c r="C984" s="33">
        <v>0.63600000000000001</v>
      </c>
      <c r="D984" s="34">
        <v>0.66</v>
      </c>
      <c r="E984" s="32">
        <v>73</v>
      </c>
      <c r="F984" s="32">
        <v>1</v>
      </c>
      <c r="G984" s="32">
        <v>9</v>
      </c>
      <c r="H984" s="35">
        <f ca="1">LEFT(Music_Data[[#This Row],[Duration_minutes]],3)/60</f>
        <v>3.25</v>
      </c>
      <c r="I984" s="34">
        <v>0.28699999999999998</v>
      </c>
      <c r="J984" s="36" t="str">
        <f t="shared" si="15"/>
        <v>Casi nada popular</v>
      </c>
      <c r="K984" s="42">
        <v>45464</v>
      </c>
    </row>
    <row r="985" spans="1:11">
      <c r="A985" s="39">
        <v>0.60299999999999998</v>
      </c>
      <c r="B985" s="37">
        <v>128</v>
      </c>
      <c r="C985" s="38">
        <v>0.66</v>
      </c>
      <c r="D985" s="39">
        <v>0.52700000000000002</v>
      </c>
      <c r="E985" s="37">
        <v>73</v>
      </c>
      <c r="F985" s="37">
        <v>0</v>
      </c>
      <c r="G985" s="37">
        <v>3</v>
      </c>
      <c r="H985" s="40">
        <f ca="1">LEFT(Music_Data[[#This Row],[Duration_minutes]],3)/60</f>
        <v>3.25</v>
      </c>
      <c r="I985" s="39">
        <v>5.6600000000000001E-3</v>
      </c>
      <c r="J985" s="41" t="str">
        <f t="shared" si="15"/>
        <v>Casi nada popular</v>
      </c>
      <c r="K985" s="43">
        <v>45464</v>
      </c>
    </row>
    <row r="986" spans="1:11">
      <c r="A986" s="34">
        <v>0.501</v>
      </c>
      <c r="B986" s="32">
        <v>112</v>
      </c>
      <c r="C986" s="33">
        <v>0.66800000000000004</v>
      </c>
      <c r="D986" s="34">
        <v>0.85799999999999998</v>
      </c>
      <c r="E986" s="32">
        <v>73</v>
      </c>
      <c r="F986" s="32">
        <v>1</v>
      </c>
      <c r="G986" s="32">
        <v>4</v>
      </c>
      <c r="H986" s="35">
        <f ca="1">LEFT(Music_Data[[#This Row],[Duration_minutes]],3)/60</f>
        <v>3.75</v>
      </c>
      <c r="I986" s="34">
        <v>0.34200000000000003</v>
      </c>
      <c r="J986" s="36" t="str">
        <f t="shared" si="15"/>
        <v>Casi nada popular</v>
      </c>
      <c r="K986" s="42">
        <v>45561</v>
      </c>
    </row>
    <row r="987" spans="1:11">
      <c r="A987" s="39">
        <v>0.70699999999999996</v>
      </c>
      <c r="B987" s="37">
        <v>112</v>
      </c>
      <c r="C987" s="38">
        <v>0.70399999999999996</v>
      </c>
      <c r="D987" s="39">
        <v>0.76100000000000001</v>
      </c>
      <c r="E987" s="37">
        <v>73</v>
      </c>
      <c r="F987" s="37">
        <v>0</v>
      </c>
      <c r="G987" s="37">
        <v>1</v>
      </c>
      <c r="H987" s="40">
        <f ca="1">LEFT(Music_Data[[#This Row],[Duration_minutes]],3)/60</f>
        <v>3.75</v>
      </c>
      <c r="I987" s="39">
        <v>0.53900000000000003</v>
      </c>
      <c r="J987" s="41" t="str">
        <f t="shared" si="15"/>
        <v>Casi nada popular</v>
      </c>
      <c r="K987" s="43">
        <v>45561</v>
      </c>
    </row>
    <row r="988" spans="1:11">
      <c r="A988" s="34">
        <v>0.72499999999999998</v>
      </c>
      <c r="B988" s="32">
        <v>112</v>
      </c>
      <c r="C988" s="33">
        <v>0.61</v>
      </c>
      <c r="D988" s="34">
        <v>0.29099999999999998</v>
      </c>
      <c r="E988" s="32">
        <v>73</v>
      </c>
      <c r="F988" s="32">
        <v>1</v>
      </c>
      <c r="G988" s="32">
        <v>8</v>
      </c>
      <c r="H988" s="35">
        <f ca="1">LEFT(Music_Data[[#This Row],[Duration_minutes]],3)/60</f>
        <v>2.6166666666666667</v>
      </c>
      <c r="I988" s="34">
        <v>0.36699999999999999</v>
      </c>
      <c r="J988" s="36" t="str">
        <f t="shared" si="15"/>
        <v>Casi nada popular</v>
      </c>
      <c r="K988" s="42">
        <v>45527</v>
      </c>
    </row>
    <row r="989" spans="1:11">
      <c r="A989" s="39">
        <v>0.876</v>
      </c>
      <c r="B989" s="37">
        <v>116</v>
      </c>
      <c r="C989" s="38">
        <v>0.41199999999999998</v>
      </c>
      <c r="D989" s="39">
        <v>0.70599999999999996</v>
      </c>
      <c r="E989" s="37">
        <v>73</v>
      </c>
      <c r="F989" s="37">
        <v>0</v>
      </c>
      <c r="G989" s="37">
        <v>5</v>
      </c>
      <c r="H989" s="40">
        <f ca="1">LEFT(Music_Data[[#This Row],[Duration_minutes]],3)/60</f>
        <v>2.8333333333333335</v>
      </c>
      <c r="I989" s="39">
        <v>0.10199999999999999</v>
      </c>
      <c r="J989" s="41" t="str">
        <f t="shared" si="15"/>
        <v>Casi nada popular</v>
      </c>
      <c r="K989" s="43">
        <v>45492</v>
      </c>
    </row>
    <row r="990" spans="1:11">
      <c r="A990" s="34">
        <v>0.36599999999999999</v>
      </c>
      <c r="B990" s="32">
        <v>116</v>
      </c>
      <c r="C990" s="33">
        <v>0.4</v>
      </c>
      <c r="D990" s="34">
        <v>0.161</v>
      </c>
      <c r="E990" s="32">
        <v>73</v>
      </c>
      <c r="F990" s="32">
        <v>0</v>
      </c>
      <c r="G990" s="32">
        <v>8</v>
      </c>
      <c r="H990" s="35">
        <f ca="1">LEFT(Music_Data[[#This Row],[Duration_minutes]],3)/60</f>
        <v>2.8333333333333335</v>
      </c>
      <c r="I990" s="34">
        <v>0.24199999999999999</v>
      </c>
      <c r="J990" s="36" t="str">
        <f t="shared" si="15"/>
        <v>Casi nada popular</v>
      </c>
      <c r="K990" s="42">
        <v>45492</v>
      </c>
    </row>
    <row r="991" spans="1:11">
      <c r="A991" s="39">
        <v>0.69499999999999995</v>
      </c>
      <c r="B991" s="37">
        <v>119</v>
      </c>
      <c r="C991" s="38">
        <v>0.58299999999999996</v>
      </c>
      <c r="D991" s="39">
        <v>0.224</v>
      </c>
      <c r="E991" s="37">
        <v>73</v>
      </c>
      <c r="F991" s="37">
        <v>1</v>
      </c>
      <c r="G991" s="37">
        <v>9</v>
      </c>
      <c r="H991" s="40">
        <f ca="1">LEFT(Music_Data[[#This Row],[Duration_minutes]],3)/60</f>
        <v>4.2666666666666666</v>
      </c>
      <c r="I991" s="39">
        <v>1.38E-2</v>
      </c>
      <c r="J991" s="41" t="str">
        <f t="shared" si="15"/>
        <v>Casi nada popular</v>
      </c>
      <c r="K991" s="43">
        <v>45562</v>
      </c>
    </row>
    <row r="992" spans="1:11">
      <c r="A992" s="34">
        <v>0.86199999999999999</v>
      </c>
      <c r="B992" s="32">
        <v>119</v>
      </c>
      <c r="C992" s="33">
        <v>0.498</v>
      </c>
      <c r="D992" s="34">
        <v>0.46899999999999997</v>
      </c>
      <c r="E992" s="32">
        <v>73</v>
      </c>
      <c r="F992" s="32">
        <v>0</v>
      </c>
      <c r="G992" s="32">
        <v>7</v>
      </c>
      <c r="H992" s="35">
        <f ca="1">LEFT(Music_Data[[#This Row],[Duration_minutes]],3)/60</f>
        <v>4.2666666666666666</v>
      </c>
      <c r="I992" s="34">
        <v>3.1300000000000002E-4</v>
      </c>
      <c r="J992" s="36" t="str">
        <f t="shared" si="15"/>
        <v>Casi nada popular</v>
      </c>
      <c r="K992" s="42">
        <v>45562</v>
      </c>
    </row>
    <row r="993" spans="1:11">
      <c r="A993" s="39">
        <v>0.85699999999999998</v>
      </c>
      <c r="B993" s="37">
        <v>675</v>
      </c>
      <c r="C993" s="38">
        <v>0.56000000000000005</v>
      </c>
      <c r="D993" s="39">
        <v>0.432</v>
      </c>
      <c r="E993" s="37">
        <v>73</v>
      </c>
      <c r="F993" s="37">
        <v>0</v>
      </c>
      <c r="G993" s="37">
        <v>4</v>
      </c>
      <c r="H993" s="40">
        <f ca="1">LEFT(Music_Data[[#This Row],[Duration_minutes]],3)/60</f>
        <v>3.05</v>
      </c>
      <c r="I993" s="39">
        <v>5.9400000000000001E-2</v>
      </c>
      <c r="J993" s="41" t="str">
        <f t="shared" si="15"/>
        <v>Casi nada popular</v>
      </c>
      <c r="K993" s="43">
        <v>41526</v>
      </c>
    </row>
    <row r="994" spans="1:11">
      <c r="A994" s="34">
        <v>0.78100000000000003</v>
      </c>
      <c r="B994" s="32">
        <v>115</v>
      </c>
      <c r="C994" s="33">
        <v>0.50900000000000001</v>
      </c>
      <c r="D994" s="34">
        <v>0.17599999999999999</v>
      </c>
      <c r="E994" s="32">
        <v>73</v>
      </c>
      <c r="F994" s="32">
        <v>1</v>
      </c>
      <c r="G994" s="32">
        <v>8</v>
      </c>
      <c r="H994" s="35">
        <f ca="1">LEFT(Music_Data[[#This Row],[Duration_minutes]],3)/60</f>
        <v>2.6166666666666667</v>
      </c>
      <c r="I994" s="34">
        <v>3.9800000000000002E-2</v>
      </c>
      <c r="J994" s="36" t="str">
        <f t="shared" si="15"/>
        <v>Casi nada popular</v>
      </c>
      <c r="K994" s="42">
        <v>45464</v>
      </c>
    </row>
    <row r="995" spans="1:11">
      <c r="A995" s="39">
        <v>0.73</v>
      </c>
      <c r="B995" s="37">
        <v>115</v>
      </c>
      <c r="C995" s="38">
        <v>0.59599999999999997</v>
      </c>
      <c r="D995" s="39">
        <v>0.52500000000000002</v>
      </c>
      <c r="E995" s="37">
        <v>73</v>
      </c>
      <c r="F995" s="37">
        <v>1</v>
      </c>
      <c r="G995" s="37">
        <v>9</v>
      </c>
      <c r="H995" s="40">
        <f ca="1">LEFT(Music_Data[[#This Row],[Duration_minutes]],3)/60</f>
        <v>2.6166666666666667</v>
      </c>
      <c r="I995" s="39">
        <v>0.24</v>
      </c>
      <c r="J995" s="41" t="str">
        <f t="shared" si="15"/>
        <v>Casi nada popular</v>
      </c>
      <c r="K995" s="43">
        <v>45464</v>
      </c>
    </row>
    <row r="996" spans="1:11">
      <c r="A996" s="34">
        <v>0.56799999999999995</v>
      </c>
      <c r="B996" s="32">
        <v>103</v>
      </c>
      <c r="C996" s="33">
        <v>0.78</v>
      </c>
      <c r="D996" s="34">
        <v>0.45900000000000002</v>
      </c>
      <c r="E996" s="32">
        <v>73</v>
      </c>
      <c r="F996" s="32">
        <v>0</v>
      </c>
      <c r="G996" s="32">
        <v>2</v>
      </c>
      <c r="H996" s="35">
        <f ca="1">LEFT(Music_Data[[#This Row],[Duration_minutes]],3)/60</f>
        <v>2.9166666666666665</v>
      </c>
      <c r="I996" s="34">
        <v>0.66800000000000004</v>
      </c>
      <c r="J996" s="36" t="str">
        <f t="shared" si="15"/>
        <v>Casi nada popular</v>
      </c>
      <c r="K996" s="42">
        <v>45394</v>
      </c>
    </row>
    <row r="997" spans="1:11">
      <c r="A997" s="39">
        <v>0.46300000000000002</v>
      </c>
      <c r="B997" s="37">
        <v>949</v>
      </c>
      <c r="C997" s="38">
        <v>0.77800000000000002</v>
      </c>
      <c r="D997" s="39">
        <v>0.496</v>
      </c>
      <c r="E997" s="37">
        <v>73</v>
      </c>
      <c r="F997" s="37">
        <v>1</v>
      </c>
      <c r="G997" s="37">
        <v>11</v>
      </c>
      <c r="H997" s="40">
        <f ca="1">LEFT(Music_Data[[#This Row],[Duration_minutes]],3)/60</f>
        <v>2.85</v>
      </c>
      <c r="I997" s="39">
        <v>0.54600000000000004</v>
      </c>
      <c r="J997" s="41" t="str">
        <f t="shared" si="15"/>
        <v>Casi nada popular</v>
      </c>
      <c r="K997" s="43">
        <v>45527</v>
      </c>
    </row>
    <row r="998" spans="1:11">
      <c r="A998" s="34">
        <v>0.77400000000000002</v>
      </c>
      <c r="B998" s="32">
        <v>124</v>
      </c>
      <c r="C998" s="33">
        <v>0.67400000000000004</v>
      </c>
      <c r="D998" s="34">
        <v>0.33</v>
      </c>
      <c r="E998" s="32">
        <v>73</v>
      </c>
      <c r="F998" s="32">
        <v>0</v>
      </c>
      <c r="G998" s="32">
        <v>11</v>
      </c>
      <c r="H998" s="35">
        <f ca="1">LEFT(Music_Data[[#This Row],[Duration_minutes]],3)/60</f>
        <v>4</v>
      </c>
      <c r="I998" s="34">
        <v>6.8599999999999994E-2</v>
      </c>
      <c r="J998" s="36" t="str">
        <f t="shared" si="15"/>
        <v>Casi nada popular</v>
      </c>
      <c r="K998" s="42">
        <v>41386</v>
      </c>
    </row>
    <row r="999" spans="1:11">
      <c r="A999" s="39">
        <v>0.622</v>
      </c>
      <c r="B999" s="37">
        <v>785</v>
      </c>
      <c r="C999" s="38">
        <v>0.69</v>
      </c>
      <c r="D999" s="39">
        <v>0.54400000000000004</v>
      </c>
      <c r="E999" s="37">
        <v>73</v>
      </c>
      <c r="F999" s="37">
        <v>0</v>
      </c>
      <c r="G999" s="37">
        <v>5</v>
      </c>
      <c r="H999" s="40">
        <f ca="1">LEFT(Music_Data[[#This Row],[Duration_minutes]],3)/60</f>
        <v>3</v>
      </c>
      <c r="I999" s="39">
        <v>0.253</v>
      </c>
      <c r="J999" s="41" t="str">
        <f t="shared" si="15"/>
        <v>Casi nada popular</v>
      </c>
      <c r="K999" s="43">
        <v>42937</v>
      </c>
    </row>
    <row r="1000" spans="1:11">
      <c r="A1000" s="34">
        <v>0.89500000000000002</v>
      </c>
      <c r="B1000" s="32">
        <v>105</v>
      </c>
      <c r="C1000" s="33">
        <v>0.76200000000000001</v>
      </c>
      <c r="D1000" s="34">
        <v>0.75700000000000001</v>
      </c>
      <c r="E1000" s="32">
        <v>73</v>
      </c>
      <c r="F1000" s="32">
        <v>1</v>
      </c>
      <c r="G1000" s="32">
        <v>8</v>
      </c>
      <c r="H1000" s="35">
        <f ca="1">LEFT(Music_Data[[#This Row],[Duration_minutes]],3)/60</f>
        <v>3</v>
      </c>
      <c r="I1000" s="34">
        <v>6.2300000000000003E-3</v>
      </c>
      <c r="J1000" s="36" t="str">
        <f t="shared" si="15"/>
        <v>Casi nada popular</v>
      </c>
      <c r="K1000" s="42">
        <v>45387</v>
      </c>
    </row>
    <row r="1001" spans="1:11">
      <c r="A1001" s="39">
        <v>0.91500000000000004</v>
      </c>
      <c r="B1001" s="37">
        <v>143</v>
      </c>
      <c r="C1001" s="38">
        <v>0.73699999999999999</v>
      </c>
      <c r="D1001" s="39">
        <v>0.30399999999999999</v>
      </c>
      <c r="E1001" s="37">
        <v>73</v>
      </c>
      <c r="F1001" s="37">
        <v>1</v>
      </c>
      <c r="G1001" s="37">
        <v>0</v>
      </c>
      <c r="H1001" s="40">
        <f ca="1">LEFT(Music_Data[[#This Row],[Duration_minutes]],3)/60</f>
        <v>3.8833333333333333</v>
      </c>
      <c r="I1001" s="39">
        <v>3.2200000000000002E-3</v>
      </c>
      <c r="J1001" s="41" t="str">
        <f t="shared" si="15"/>
        <v>Casi nada popular</v>
      </c>
      <c r="K1001" s="43">
        <v>41250</v>
      </c>
    </row>
    <row r="1002" spans="1:11">
      <c r="A1002" s="34">
        <v>0.85</v>
      </c>
      <c r="B1002" s="32">
        <v>143</v>
      </c>
      <c r="C1002" s="33">
        <v>0.81499999999999995</v>
      </c>
      <c r="D1002" s="34">
        <v>0.69399999999999995</v>
      </c>
      <c r="E1002" s="32">
        <v>73</v>
      </c>
      <c r="F1002" s="32">
        <v>0</v>
      </c>
      <c r="G1002" s="32">
        <v>4</v>
      </c>
      <c r="H1002" s="35">
        <f ca="1">LEFT(Music_Data[[#This Row],[Duration_minutes]],3)/60</f>
        <v>3.8833333333333333</v>
      </c>
      <c r="I1002" s="34">
        <v>2.3199999999999998E-2</v>
      </c>
      <c r="J1002" s="36" t="str">
        <f t="shared" si="15"/>
        <v>Casi nada popular</v>
      </c>
      <c r="K1002" s="42">
        <v>41250</v>
      </c>
    </row>
    <row r="1003" spans="1:11">
      <c r="A1003" s="39">
        <v>0.54600000000000004</v>
      </c>
      <c r="B1003" s="37">
        <v>173</v>
      </c>
      <c r="C1003" s="38">
        <v>0.76</v>
      </c>
      <c r="D1003" s="39">
        <v>0.113</v>
      </c>
      <c r="E1003" s="37">
        <v>73</v>
      </c>
      <c r="F1003" s="37">
        <v>1</v>
      </c>
      <c r="G1003" s="37">
        <v>11</v>
      </c>
      <c r="H1003" s="40">
        <f ca="1">LEFT(Music_Data[[#This Row],[Duration_minutes]],3)/60</f>
        <v>4.4333333333333336</v>
      </c>
      <c r="I1003" s="39">
        <v>2.8400000000000002E-2</v>
      </c>
      <c r="J1003" s="41" t="str">
        <f t="shared" si="15"/>
        <v>Casi nada popular</v>
      </c>
      <c r="K1003" s="43">
        <v>36717</v>
      </c>
    </row>
    <row r="1004" spans="1:11">
      <c r="A1004" s="34">
        <v>0.86</v>
      </c>
      <c r="B1004" s="32">
        <v>173</v>
      </c>
      <c r="C1004" s="33">
        <v>0.58499999999999996</v>
      </c>
      <c r="D1004" s="34">
        <v>0.60699999999999998</v>
      </c>
      <c r="E1004" s="32">
        <v>73</v>
      </c>
      <c r="F1004" s="32">
        <v>1</v>
      </c>
      <c r="G1004" s="32">
        <v>6</v>
      </c>
      <c r="H1004" s="35">
        <f ca="1">LEFT(Music_Data[[#This Row],[Duration_minutes]],3)/60</f>
        <v>4.4333333333333336</v>
      </c>
      <c r="I1004" s="34">
        <v>5.6599999999999998E-2</v>
      </c>
      <c r="J1004" s="36" t="str">
        <f t="shared" si="15"/>
        <v>Casi nada popular</v>
      </c>
      <c r="K1004" s="42">
        <v>36717</v>
      </c>
    </row>
    <row r="1005" spans="1:11">
      <c r="A1005" s="39">
        <v>0.63600000000000001</v>
      </c>
      <c r="B1005" s="37">
        <v>159</v>
      </c>
      <c r="C1005" s="38">
        <v>0.65400000000000003</v>
      </c>
      <c r="D1005" s="39">
        <v>0.26700000000000002</v>
      </c>
      <c r="E1005" s="37">
        <v>73</v>
      </c>
      <c r="F1005" s="37">
        <v>1</v>
      </c>
      <c r="G1005" s="37">
        <v>8</v>
      </c>
      <c r="H1005" s="40">
        <f ca="1">LEFT(Music_Data[[#This Row],[Duration_minutes]],3)/60</f>
        <v>2.65</v>
      </c>
      <c r="I1005" s="39">
        <v>2.5799999999999998E-3</v>
      </c>
      <c r="J1005" s="41" t="str">
        <f t="shared" si="15"/>
        <v>Casi nada popular</v>
      </c>
      <c r="K1005" s="43">
        <v>44820</v>
      </c>
    </row>
    <row r="1006" spans="1:11">
      <c r="A1006" s="34">
        <v>0.76500000000000001</v>
      </c>
      <c r="B1006" s="32">
        <v>159</v>
      </c>
      <c r="C1006" s="33">
        <v>0.58799999999999997</v>
      </c>
      <c r="D1006" s="34">
        <v>0.49199999999999999</v>
      </c>
      <c r="E1006" s="32">
        <v>73</v>
      </c>
      <c r="F1006" s="32">
        <v>0</v>
      </c>
      <c r="G1006" s="32">
        <v>3</v>
      </c>
      <c r="H1006" s="35">
        <f ca="1">LEFT(Music_Data[[#This Row],[Duration_minutes]],3)/60</f>
        <v>2.65</v>
      </c>
      <c r="I1006" s="34">
        <v>6.8500000000000002E-3</v>
      </c>
      <c r="J1006" s="36" t="str">
        <f t="shared" si="15"/>
        <v>Casi nada popular</v>
      </c>
      <c r="K1006" s="42">
        <v>44820</v>
      </c>
    </row>
    <row r="1007" spans="1:11">
      <c r="A1007" s="39">
        <v>0.75800000000000001</v>
      </c>
      <c r="B1007" s="37">
        <v>116</v>
      </c>
      <c r="C1007" s="38">
        <v>0.68100000000000005</v>
      </c>
      <c r="D1007" s="39">
        <v>0.33100000000000002</v>
      </c>
      <c r="E1007" s="37">
        <v>73</v>
      </c>
      <c r="F1007" s="37">
        <v>1</v>
      </c>
      <c r="G1007" s="37">
        <v>1</v>
      </c>
      <c r="H1007" s="40">
        <f ca="1">LEFT(Music_Data[[#This Row],[Duration_minutes]],3)/60</f>
        <v>2.2666666666666666</v>
      </c>
      <c r="I1007" s="39">
        <v>4.6499999999999996E-3</v>
      </c>
      <c r="J1007" s="41" t="str">
        <f t="shared" si="15"/>
        <v>Casi nada popular</v>
      </c>
      <c r="K1007" s="43">
        <v>45575</v>
      </c>
    </row>
    <row r="1008" spans="1:11">
      <c r="A1008" s="34">
        <v>0.90500000000000003</v>
      </c>
      <c r="B1008" s="32">
        <v>184</v>
      </c>
      <c r="C1008" s="33">
        <v>0.54500000000000004</v>
      </c>
      <c r="D1008" s="34">
        <v>0.73499999999999999</v>
      </c>
      <c r="E1008" s="32">
        <v>73</v>
      </c>
      <c r="F1008" s="32">
        <v>1</v>
      </c>
      <c r="G1008" s="32">
        <v>5</v>
      </c>
      <c r="H1008" s="35">
        <f ca="1">LEFT(Music_Data[[#This Row],[Duration_minutes]],3)/60</f>
        <v>3.1666666666666665</v>
      </c>
      <c r="I1008" s="34">
        <v>0.10299999999999999</v>
      </c>
      <c r="J1008" s="36" t="str">
        <f t="shared" si="15"/>
        <v>Casi nada popular</v>
      </c>
      <c r="K1008" s="42">
        <v>45540</v>
      </c>
    </row>
    <row r="1009" spans="1:11">
      <c r="A1009" s="39">
        <v>0.70399999999999996</v>
      </c>
      <c r="B1009" s="37">
        <v>155</v>
      </c>
      <c r="C1009" s="38">
        <v>0.43</v>
      </c>
      <c r="D1009" s="39">
        <v>0.70299999999999996</v>
      </c>
      <c r="E1009" s="37">
        <v>73</v>
      </c>
      <c r="F1009" s="37">
        <v>0</v>
      </c>
      <c r="G1009" s="37">
        <v>1</v>
      </c>
      <c r="H1009" s="40">
        <f ca="1">LEFT(Music_Data[[#This Row],[Duration_minutes]],3)/60</f>
        <v>3.7166666666666668</v>
      </c>
      <c r="I1009" s="39">
        <v>1.55E-4</v>
      </c>
      <c r="J1009" s="41" t="str">
        <f t="shared" si="15"/>
        <v>Casi nada popular</v>
      </c>
      <c r="K1009" s="43">
        <v>45555</v>
      </c>
    </row>
    <row r="1010" spans="1:11">
      <c r="A1010" s="34">
        <v>0.70599999999999996</v>
      </c>
      <c r="B1010" s="32">
        <v>120</v>
      </c>
      <c r="C1010" s="33">
        <v>0.58399999999999996</v>
      </c>
      <c r="D1010" s="34">
        <v>0.57899999999999996</v>
      </c>
      <c r="E1010" s="32">
        <v>73</v>
      </c>
      <c r="F1010" s="32">
        <v>0</v>
      </c>
      <c r="G1010" s="32">
        <v>10</v>
      </c>
      <c r="H1010" s="35">
        <f ca="1">LEFT(Music_Data[[#This Row],[Duration_minutes]],3)/60</f>
        <v>3.7666666666666666</v>
      </c>
      <c r="I1010" s="34">
        <v>0.20899999999999999</v>
      </c>
      <c r="J1010" s="36" t="str">
        <f t="shared" si="15"/>
        <v>Casi nada popular</v>
      </c>
      <c r="K1010" s="42">
        <v>41960</v>
      </c>
    </row>
    <row r="1011" spans="1:11">
      <c r="A1011" s="39">
        <v>0.81799999999999995</v>
      </c>
      <c r="B1011" s="37">
        <v>120</v>
      </c>
      <c r="C1011" s="38">
        <v>0.88900000000000001</v>
      </c>
      <c r="D1011" s="39">
        <v>0.78200000000000003</v>
      </c>
      <c r="E1011" s="37">
        <v>73</v>
      </c>
      <c r="F1011" s="37">
        <v>1</v>
      </c>
      <c r="G1011" s="37">
        <v>9</v>
      </c>
      <c r="H1011" s="40">
        <f ca="1">LEFT(Music_Data[[#This Row],[Duration_minutes]],3)/60</f>
        <v>3.7666666666666666</v>
      </c>
      <c r="I1011" s="39">
        <v>0.47</v>
      </c>
      <c r="J1011" s="41" t="str">
        <f t="shared" si="15"/>
        <v>Casi nada popular</v>
      </c>
      <c r="K1011" s="43">
        <v>41960</v>
      </c>
    </row>
    <row r="1012" spans="1:11">
      <c r="A1012" s="34">
        <v>0.873</v>
      </c>
      <c r="B1012" s="32">
        <v>159</v>
      </c>
      <c r="C1012" s="33">
        <v>0.38900000000000001</v>
      </c>
      <c r="D1012" s="34">
        <v>0.30299999999999999</v>
      </c>
      <c r="E1012" s="32">
        <v>73</v>
      </c>
      <c r="F1012" s="32">
        <v>0</v>
      </c>
      <c r="G1012" s="32">
        <v>4</v>
      </c>
      <c r="H1012" s="35">
        <f ca="1">LEFT(Music_Data[[#This Row],[Duration_minutes]],3)/60</f>
        <v>3.5</v>
      </c>
      <c r="I1012" s="34">
        <v>5.3200000000000001E-3</v>
      </c>
      <c r="J1012" s="36" t="str">
        <f t="shared" si="15"/>
        <v>Casi nada popular</v>
      </c>
      <c r="K1012" s="42">
        <v>45184</v>
      </c>
    </row>
    <row r="1013" spans="1:11">
      <c r="A1013" s="39">
        <v>0.76800000000000002</v>
      </c>
      <c r="B1013" s="37">
        <v>159</v>
      </c>
      <c r="C1013" s="38">
        <v>0.55800000000000005</v>
      </c>
      <c r="D1013" s="39">
        <v>0.42899999999999999</v>
      </c>
      <c r="E1013" s="37">
        <v>73</v>
      </c>
      <c r="F1013" s="37">
        <v>1</v>
      </c>
      <c r="G1013" s="37">
        <v>2</v>
      </c>
      <c r="H1013" s="40">
        <f ca="1">LEFT(Music_Data[[#This Row],[Duration_minutes]],3)/60</f>
        <v>3.5</v>
      </c>
      <c r="I1013" s="39">
        <v>0.121</v>
      </c>
      <c r="J1013" s="41" t="str">
        <f t="shared" si="15"/>
        <v>Casi nada popular</v>
      </c>
      <c r="K1013" s="43">
        <v>45184</v>
      </c>
    </row>
    <row r="1014" spans="1:11">
      <c r="A1014" s="34">
        <v>0.54900000000000004</v>
      </c>
      <c r="B1014" s="32">
        <v>848</v>
      </c>
      <c r="C1014" s="33">
        <v>0.51600000000000001</v>
      </c>
      <c r="D1014" s="34">
        <v>0.90700000000000003</v>
      </c>
      <c r="E1014" s="32">
        <v>73</v>
      </c>
      <c r="F1014" s="32">
        <v>1</v>
      </c>
      <c r="G1014" s="32">
        <v>6</v>
      </c>
      <c r="H1014" s="35">
        <f ca="1">LEFT(Music_Data[[#This Row],[Duration_minutes]],3)/60</f>
        <v>4.0666666666666664</v>
      </c>
      <c r="I1014" s="34">
        <v>0.501</v>
      </c>
      <c r="J1014" s="36" t="str">
        <f t="shared" si="15"/>
        <v>Casi nada popular</v>
      </c>
      <c r="K1014" s="42">
        <v>45100</v>
      </c>
    </row>
    <row r="1015" spans="1:11">
      <c r="A1015" s="39">
        <v>0.47799999999999998</v>
      </c>
      <c r="B1015" s="37">
        <v>120</v>
      </c>
      <c r="C1015" s="38">
        <v>0.76600000000000001</v>
      </c>
      <c r="D1015" s="39">
        <v>0.96499999999999997</v>
      </c>
      <c r="E1015" s="37">
        <v>73</v>
      </c>
      <c r="F1015" s="37">
        <v>1</v>
      </c>
      <c r="G1015" s="37">
        <v>7</v>
      </c>
      <c r="H1015" s="40">
        <f ca="1">LEFT(Music_Data[[#This Row],[Duration_minutes]],3)/60</f>
        <v>2.4333333333333331</v>
      </c>
      <c r="I1015" s="39">
        <v>5.1299999999999998E-2</v>
      </c>
      <c r="J1015" s="41" t="str">
        <f t="shared" si="15"/>
        <v>Casi nada popular</v>
      </c>
      <c r="K1015" s="43">
        <v>45526</v>
      </c>
    </row>
    <row r="1016" spans="1:11">
      <c r="A1016" s="34">
        <v>0.92600000000000005</v>
      </c>
      <c r="B1016" s="32">
        <v>150</v>
      </c>
      <c r="C1016" s="33">
        <v>0.68200000000000005</v>
      </c>
      <c r="D1016" s="34">
        <v>0.86</v>
      </c>
      <c r="E1016" s="32">
        <v>73</v>
      </c>
      <c r="F1016" s="32">
        <v>0</v>
      </c>
      <c r="G1016" s="32">
        <v>3</v>
      </c>
      <c r="H1016" s="35">
        <f ca="1">LEFT(Music_Data[[#This Row],[Duration_minutes]],3)/60</f>
        <v>2.8166666666666669</v>
      </c>
      <c r="I1016" s="34">
        <v>4.0399999999999998E-2</v>
      </c>
      <c r="J1016" s="36" t="str">
        <f t="shared" si="15"/>
        <v>Casi nada popular</v>
      </c>
      <c r="K1016" s="42">
        <v>45513</v>
      </c>
    </row>
    <row r="1017" spans="1:11">
      <c r="A1017" s="39">
        <v>0.35299999999999998</v>
      </c>
      <c r="B1017" s="37">
        <v>134</v>
      </c>
      <c r="C1017" s="38">
        <v>0.79700000000000004</v>
      </c>
      <c r="D1017" s="39">
        <v>7.3099999999999998E-2</v>
      </c>
      <c r="E1017" s="37">
        <v>73</v>
      </c>
      <c r="F1017" s="37">
        <v>0</v>
      </c>
      <c r="G1017" s="37">
        <v>6</v>
      </c>
      <c r="H1017" s="40">
        <f ca="1">LEFT(Music_Data[[#This Row],[Duration_minutes]],3)/60</f>
        <v>3.4333333333333331</v>
      </c>
      <c r="I1017" s="39">
        <v>0.59</v>
      </c>
      <c r="J1017" s="41" t="str">
        <f t="shared" si="15"/>
        <v>Casi nada popular</v>
      </c>
      <c r="K1017" s="43">
        <v>42691</v>
      </c>
    </row>
    <row r="1018" spans="1:11">
      <c r="A1018" s="34">
        <v>0.51500000000000001</v>
      </c>
      <c r="B1018" s="32">
        <v>139</v>
      </c>
      <c r="C1018" s="33">
        <v>0.56699999999999995</v>
      </c>
      <c r="D1018" s="34">
        <v>0.32100000000000001</v>
      </c>
      <c r="E1018" s="32">
        <v>73</v>
      </c>
      <c r="F1018" s="32">
        <v>0</v>
      </c>
      <c r="G1018" s="32">
        <v>6</v>
      </c>
      <c r="H1018" s="35">
        <f ca="1">LEFT(Music_Data[[#This Row],[Duration_minutes]],3)/60</f>
        <v>3.0666666666666669</v>
      </c>
      <c r="I1018" s="34">
        <v>0.35399999999999998</v>
      </c>
      <c r="J1018" s="36" t="str">
        <f t="shared" si="15"/>
        <v>Casi nada popular</v>
      </c>
      <c r="K1018" s="42">
        <v>45191</v>
      </c>
    </row>
    <row r="1019" spans="1:11">
      <c r="A1019" s="39">
        <v>0.33100000000000002</v>
      </c>
      <c r="B1019" s="37">
        <v>101</v>
      </c>
      <c r="C1019" s="38">
        <v>0.45900000000000002</v>
      </c>
      <c r="D1019" s="39">
        <v>0.27100000000000002</v>
      </c>
      <c r="E1019" s="37">
        <v>73</v>
      </c>
      <c r="F1019" s="37">
        <v>0</v>
      </c>
      <c r="G1019" s="37">
        <v>9</v>
      </c>
      <c r="H1019" s="40">
        <f ca="1">LEFT(Music_Data[[#This Row],[Duration_minutes]],3)/60</f>
        <v>4.5666666666666664</v>
      </c>
      <c r="I1019" s="39">
        <v>0.81699999999999995</v>
      </c>
      <c r="J1019" s="41" t="str">
        <f t="shared" si="15"/>
        <v>Casi nada popular</v>
      </c>
      <c r="K1019" s="43">
        <v>45416</v>
      </c>
    </row>
    <row r="1020" spans="1:11">
      <c r="A1020" s="34">
        <v>0.71399999999999997</v>
      </c>
      <c r="B1020" s="32">
        <v>105</v>
      </c>
      <c r="C1020" s="33">
        <v>0.56399999999999995</v>
      </c>
      <c r="D1020" s="34">
        <v>0.33</v>
      </c>
      <c r="E1020" s="32">
        <v>73</v>
      </c>
      <c r="F1020" s="32">
        <v>1</v>
      </c>
      <c r="G1020" s="32">
        <v>7</v>
      </c>
      <c r="H1020" s="35">
        <f ca="1">LEFT(Music_Data[[#This Row],[Duration_minutes]],3)/60</f>
        <v>3.6</v>
      </c>
      <c r="I1020" s="34">
        <v>5.4899999999999997E-2</v>
      </c>
      <c r="J1020" s="36" t="str">
        <f t="shared" si="15"/>
        <v>Casi nada popular</v>
      </c>
      <c r="K1020" s="42">
        <v>2000</v>
      </c>
    </row>
    <row r="1021" spans="1:11">
      <c r="A1021" s="39">
        <v>0.79800000000000004</v>
      </c>
      <c r="B1021" s="37">
        <v>174</v>
      </c>
      <c r="C1021" s="38">
        <v>0.71899999999999997</v>
      </c>
      <c r="D1021" s="39">
        <v>0.59099999999999997</v>
      </c>
      <c r="E1021" s="37">
        <v>73</v>
      </c>
      <c r="F1021" s="37">
        <v>1</v>
      </c>
      <c r="G1021" s="37">
        <v>10</v>
      </c>
      <c r="H1021" s="40">
        <f ca="1">LEFT(Music_Data[[#This Row],[Duration_minutes]],3)/60</f>
        <v>3.4666666666666668</v>
      </c>
      <c r="I1021" s="39">
        <v>1.6199999999999999E-2</v>
      </c>
      <c r="J1021" s="41" t="str">
        <f t="shared" si="15"/>
        <v>Casi nada popular</v>
      </c>
      <c r="K1021" s="43">
        <v>42100</v>
      </c>
    </row>
    <row r="1022" spans="1:11">
      <c r="A1022" s="34">
        <v>0.83299999999999996</v>
      </c>
      <c r="B1022" s="32">
        <v>123</v>
      </c>
      <c r="C1022" s="33">
        <v>0.71499999999999997</v>
      </c>
      <c r="D1022" s="34">
        <v>0.61199999999999999</v>
      </c>
      <c r="E1022" s="32">
        <v>73</v>
      </c>
      <c r="F1022" s="32">
        <v>1</v>
      </c>
      <c r="G1022" s="32">
        <v>2</v>
      </c>
      <c r="H1022" s="35">
        <f ca="1">LEFT(Music_Data[[#This Row],[Duration_minutes]],3)/60</f>
        <v>2.8666666666666667</v>
      </c>
      <c r="I1022" s="34">
        <v>6.3099999999999996E-3</v>
      </c>
      <c r="J1022" s="36" t="str">
        <f t="shared" si="15"/>
        <v>Casi nada popular</v>
      </c>
      <c r="K1022" s="42">
        <v>45422</v>
      </c>
    </row>
    <row r="1023" spans="1:11">
      <c r="A1023" s="39">
        <v>0.82099999999999995</v>
      </c>
      <c r="B1023" s="37">
        <v>107</v>
      </c>
      <c r="C1023" s="38">
        <v>0.878</v>
      </c>
      <c r="D1023" s="39">
        <v>0.94699999999999995</v>
      </c>
      <c r="E1023" s="37">
        <v>73</v>
      </c>
      <c r="F1023" s="37">
        <v>1</v>
      </c>
      <c r="G1023" s="37">
        <v>11</v>
      </c>
      <c r="H1023" s="40">
        <f ca="1">LEFT(Music_Data[[#This Row],[Duration_minutes]],3)/60</f>
        <v>3.1</v>
      </c>
      <c r="I1023" s="39">
        <v>0.126</v>
      </c>
      <c r="J1023" s="41" t="str">
        <f t="shared" si="15"/>
        <v>Casi nada popular</v>
      </c>
      <c r="K1023" s="43">
        <v>45449</v>
      </c>
    </row>
    <row r="1024" spans="1:11">
      <c r="A1024" s="34">
        <v>0.86199999999999999</v>
      </c>
      <c r="B1024" s="32">
        <v>103</v>
      </c>
      <c r="C1024" s="33">
        <v>0.498</v>
      </c>
      <c r="D1024" s="34">
        <v>0.46899999999999997</v>
      </c>
      <c r="E1024" s="32">
        <v>73</v>
      </c>
      <c r="F1024" s="32">
        <v>0</v>
      </c>
      <c r="G1024" s="32">
        <v>7</v>
      </c>
      <c r="H1024" s="35">
        <f ca="1">LEFT(Music_Data[[#This Row],[Duration_minutes]],3)/60</f>
        <v>2.9166666666666665</v>
      </c>
      <c r="I1024" s="34">
        <v>3.1300000000000002E-4</v>
      </c>
      <c r="J1024" s="36" t="str">
        <f t="shared" si="15"/>
        <v>Casi nada popular</v>
      </c>
      <c r="K1024" s="42">
        <v>45527</v>
      </c>
    </row>
    <row r="1025" spans="1:11">
      <c r="A1025" s="39">
        <v>0.85699999999999998</v>
      </c>
      <c r="B1025" s="37">
        <v>142</v>
      </c>
      <c r="C1025" s="38">
        <v>0.56000000000000005</v>
      </c>
      <c r="D1025" s="39">
        <v>0.432</v>
      </c>
      <c r="E1025" s="37">
        <v>73</v>
      </c>
      <c r="F1025" s="37">
        <v>0</v>
      </c>
      <c r="G1025" s="37">
        <v>4</v>
      </c>
      <c r="H1025" s="40">
        <f ca="1">LEFT(Music_Data[[#This Row],[Duration_minutes]],3)/60</f>
        <v>14.483333333333333</v>
      </c>
      <c r="I1025" s="39">
        <v>5.9400000000000001E-2</v>
      </c>
      <c r="J1025" s="41" t="str">
        <f t="shared" si="15"/>
        <v>Casi nada popular</v>
      </c>
      <c r="K1025" s="43">
        <v>45240</v>
      </c>
    </row>
    <row r="1026" spans="1:11">
      <c r="A1026" s="34">
        <v>0.495</v>
      </c>
      <c r="B1026" s="32">
        <v>109</v>
      </c>
      <c r="C1026" s="33">
        <v>0.73699999999999999</v>
      </c>
      <c r="D1026" s="34">
        <v>0.96699999999999997</v>
      </c>
      <c r="E1026" s="32">
        <v>73</v>
      </c>
      <c r="F1026" s="32">
        <v>1</v>
      </c>
      <c r="G1026" s="32">
        <v>1</v>
      </c>
      <c r="H1026" s="35">
        <f ca="1">LEFT(Music_Data[[#This Row],[Duration_minutes]],3)/60</f>
        <v>2.5666666666666669</v>
      </c>
      <c r="I1026" s="34">
        <v>5.8799999999999998E-2</v>
      </c>
      <c r="J1026" s="36" t="str">
        <f t="shared" si="15"/>
        <v>Casi nada popular</v>
      </c>
      <c r="K1026" s="42">
        <v>45526</v>
      </c>
    </row>
    <row r="1027" spans="1:11">
      <c r="A1027" s="39">
        <v>0.69899999999999995</v>
      </c>
      <c r="B1027" s="37">
        <v>800</v>
      </c>
      <c r="C1027" s="38">
        <v>0.81100000000000005</v>
      </c>
      <c r="D1027" s="39">
        <v>0.73299999999999998</v>
      </c>
      <c r="E1027" s="37">
        <v>73</v>
      </c>
      <c r="F1027" s="37">
        <v>1</v>
      </c>
      <c r="G1027" s="37">
        <v>7</v>
      </c>
      <c r="H1027" s="40">
        <f ca="1">LEFT(Music_Data[[#This Row],[Duration_minutes]],3)/60</f>
        <v>4.25</v>
      </c>
      <c r="I1027" s="39">
        <v>7.2599999999999998E-2</v>
      </c>
      <c r="J1027" s="41" t="str">
        <f t="shared" si="15"/>
        <v>Casi nada popular</v>
      </c>
      <c r="K1027" s="43">
        <v>45593</v>
      </c>
    </row>
    <row r="1028" spans="1:11">
      <c r="A1028" s="34">
        <v>0.95399999999999996</v>
      </c>
      <c r="B1028" s="32">
        <v>800</v>
      </c>
      <c r="C1028" s="33">
        <v>0.42499999999999999</v>
      </c>
      <c r="D1028" s="34">
        <v>0.93300000000000005</v>
      </c>
      <c r="E1028" s="32">
        <v>73</v>
      </c>
      <c r="F1028" s="32">
        <v>0</v>
      </c>
      <c r="G1028" s="32">
        <v>1</v>
      </c>
      <c r="H1028" s="35">
        <f ca="1">LEFT(Music_Data[[#This Row],[Duration_minutes]],3)/60</f>
        <v>4.25</v>
      </c>
      <c r="I1028" s="34">
        <v>4.1399999999999996E-3</v>
      </c>
      <c r="J1028" s="36" t="str">
        <f t="shared" ref="J1028:J1091" si="16">IF(E1028&gt;=94,"Muy Popular",IF(E1028&gt;=86,"Popular",IF(E1028&gt;=78,"No muy popular","Casi nada popular")))</f>
        <v>Casi nada popular</v>
      </c>
      <c r="K1028" s="42">
        <v>45593</v>
      </c>
    </row>
    <row r="1029" spans="1:11">
      <c r="A1029" s="39">
        <v>0.59899999999999998</v>
      </c>
      <c r="B1029" s="37">
        <v>727</v>
      </c>
      <c r="C1029" s="38">
        <v>0.85299999999999998</v>
      </c>
      <c r="D1029" s="39">
        <v>0.84299999999999997</v>
      </c>
      <c r="E1029" s="37">
        <v>73</v>
      </c>
      <c r="F1029" s="37">
        <v>1</v>
      </c>
      <c r="G1029" s="37">
        <v>7</v>
      </c>
      <c r="H1029" s="40">
        <f ca="1">LEFT(Music_Data[[#This Row],[Duration_minutes]],3)/60</f>
        <v>3.55</v>
      </c>
      <c r="I1029" s="39">
        <v>3.3400000000000001E-3</v>
      </c>
      <c r="J1029" s="41" t="str">
        <f t="shared" si="16"/>
        <v>Casi nada popular</v>
      </c>
      <c r="K1029" s="43">
        <v>41250</v>
      </c>
    </row>
    <row r="1030" spans="1:11">
      <c r="A1030" s="34">
        <v>0.93100000000000005</v>
      </c>
      <c r="B1030" s="32">
        <v>150</v>
      </c>
      <c r="C1030" s="33">
        <v>0.753</v>
      </c>
      <c r="D1030" s="34">
        <v>0.76700000000000002</v>
      </c>
      <c r="E1030" s="32">
        <v>73</v>
      </c>
      <c r="F1030" s="32">
        <v>1</v>
      </c>
      <c r="G1030" s="32">
        <v>2</v>
      </c>
      <c r="H1030" s="35">
        <f ca="1">LEFT(Music_Data[[#This Row],[Duration_minutes]],3)/60</f>
        <v>4.0166666666666666</v>
      </c>
      <c r="I1030" s="34">
        <v>9.9399999999999992E-3</v>
      </c>
      <c r="J1030" s="36" t="str">
        <f t="shared" si="16"/>
        <v>Casi nada popular</v>
      </c>
      <c r="K1030" s="42">
        <v>34635</v>
      </c>
    </row>
    <row r="1031" spans="1:11">
      <c r="A1031" s="39">
        <v>0.83699999999999997</v>
      </c>
      <c r="B1031" s="37">
        <v>114</v>
      </c>
      <c r="C1031" s="38">
        <v>0.59699999999999998</v>
      </c>
      <c r="D1031" s="39">
        <v>0.44700000000000001</v>
      </c>
      <c r="E1031" s="37">
        <v>73</v>
      </c>
      <c r="F1031" s="37">
        <v>1</v>
      </c>
      <c r="G1031" s="37">
        <v>10</v>
      </c>
      <c r="H1031" s="40">
        <f ca="1">LEFT(Music_Data[[#This Row],[Duration_minutes]],3)/60</f>
        <v>1.7333333333333334</v>
      </c>
      <c r="I1031" s="39">
        <v>4.2700000000000004E-3</v>
      </c>
      <c r="J1031" s="41" t="str">
        <f t="shared" si="16"/>
        <v>Casi nada popular</v>
      </c>
      <c r="K1031" s="43">
        <v>45527</v>
      </c>
    </row>
    <row r="1032" spans="1:11">
      <c r="A1032" s="34">
        <v>0.71299999999999997</v>
      </c>
      <c r="B1032" s="32">
        <v>117</v>
      </c>
      <c r="C1032" s="33">
        <v>0.78400000000000003</v>
      </c>
      <c r="D1032" s="34">
        <v>0.97</v>
      </c>
      <c r="E1032" s="32">
        <v>73</v>
      </c>
      <c r="F1032" s="32">
        <v>1</v>
      </c>
      <c r="G1032" s="32">
        <v>0</v>
      </c>
      <c r="H1032" s="35">
        <f ca="1">LEFT(Music_Data[[#This Row],[Duration_minutes]],3)/60</f>
        <v>3.0333333333333332</v>
      </c>
      <c r="I1032" s="34">
        <v>0.44700000000000001</v>
      </c>
      <c r="J1032" s="36" t="str">
        <f t="shared" si="16"/>
        <v>Casi nada popular</v>
      </c>
      <c r="K1032" s="42">
        <v>44848</v>
      </c>
    </row>
    <row r="1033" spans="1:11">
      <c r="A1033" s="39">
        <v>0.27100000000000002</v>
      </c>
      <c r="B1033" s="37">
        <v>107</v>
      </c>
      <c r="C1033" s="38">
        <v>0.89800000000000002</v>
      </c>
      <c r="D1033" s="39">
        <v>0.74199999999999999</v>
      </c>
      <c r="E1033" s="37">
        <v>73</v>
      </c>
      <c r="F1033" s="37">
        <v>1</v>
      </c>
      <c r="G1033" s="37">
        <v>7</v>
      </c>
      <c r="H1033" s="40">
        <f ca="1">LEFT(Music_Data[[#This Row],[Duration_minutes]],3)/60</f>
        <v>3.1</v>
      </c>
      <c r="I1033" s="39">
        <v>1.35E-2</v>
      </c>
      <c r="J1033" s="41" t="str">
        <f t="shared" si="16"/>
        <v>Casi nada popular</v>
      </c>
      <c r="K1033" s="43">
        <v>45527</v>
      </c>
    </row>
    <row r="1034" spans="1:11">
      <c r="A1034" s="34">
        <v>8.6699999999999999E-2</v>
      </c>
      <c r="B1034" s="32">
        <v>130</v>
      </c>
      <c r="C1034" s="33">
        <v>0.69599999999999995</v>
      </c>
      <c r="D1034" s="34">
        <v>0.34899999999999998</v>
      </c>
      <c r="E1034" s="32">
        <v>73</v>
      </c>
      <c r="F1034" s="32">
        <v>1</v>
      </c>
      <c r="G1034" s="32">
        <v>7</v>
      </c>
      <c r="H1034" s="35">
        <f ca="1">LEFT(Music_Data[[#This Row],[Duration_minutes]],3)/60</f>
        <v>3.7166666666666668</v>
      </c>
      <c r="I1034" s="34">
        <v>0.98799999999999999</v>
      </c>
      <c r="J1034" s="36" t="str">
        <f t="shared" si="16"/>
        <v>Casi nada popular</v>
      </c>
      <c r="K1034" s="42">
        <v>45527</v>
      </c>
    </row>
    <row r="1035" spans="1:11">
      <c r="A1035" s="39">
        <v>0.58499999999999996</v>
      </c>
      <c r="B1035" s="37">
        <v>155</v>
      </c>
      <c r="C1035" s="38">
        <v>0.75</v>
      </c>
      <c r="D1035" s="39">
        <v>0.58399999999999996</v>
      </c>
      <c r="E1035" s="37">
        <v>73</v>
      </c>
      <c r="F1035" s="37">
        <v>0</v>
      </c>
      <c r="G1035" s="37">
        <v>9</v>
      </c>
      <c r="H1035" s="40">
        <f ca="1">LEFT(Music_Data[[#This Row],[Duration_minutes]],3)/60</f>
        <v>4.8166666666666664</v>
      </c>
      <c r="I1035" s="39">
        <v>4.9000000000000002E-2</v>
      </c>
      <c r="J1035" s="41" t="str">
        <f t="shared" si="16"/>
        <v>Casi nada popular</v>
      </c>
      <c r="K1035" s="43">
        <v>1998</v>
      </c>
    </row>
    <row r="1036" spans="1:11">
      <c r="A1036" s="34">
        <v>0.38200000000000001</v>
      </c>
      <c r="B1036" s="32">
        <v>155</v>
      </c>
      <c r="C1036" s="33">
        <v>0.54100000000000004</v>
      </c>
      <c r="D1036" s="34">
        <v>0.34300000000000003</v>
      </c>
      <c r="E1036" s="32">
        <v>73</v>
      </c>
      <c r="F1036" s="32">
        <v>1</v>
      </c>
      <c r="G1036" s="32">
        <v>7</v>
      </c>
      <c r="H1036" s="35">
        <f ca="1">LEFT(Music_Data[[#This Row],[Duration_minutes]],3)/60</f>
        <v>4.8166666666666664</v>
      </c>
      <c r="I1036" s="34">
        <v>2.1499999999999998E-2</v>
      </c>
      <c r="J1036" s="36" t="str">
        <f t="shared" si="16"/>
        <v>Casi nada popular</v>
      </c>
      <c r="K1036" s="42">
        <v>1998</v>
      </c>
    </row>
    <row r="1037" spans="1:11">
      <c r="A1037" s="39">
        <v>0.83899999999999997</v>
      </c>
      <c r="B1037" s="37">
        <v>186</v>
      </c>
      <c r="C1037" s="38">
        <v>0.51700000000000002</v>
      </c>
      <c r="D1037" s="39">
        <v>0.41599999999999998</v>
      </c>
      <c r="E1037" s="37">
        <v>73</v>
      </c>
      <c r="F1037" s="37">
        <v>1</v>
      </c>
      <c r="G1037" s="37">
        <v>0</v>
      </c>
      <c r="H1037" s="40">
        <f ca="1">LEFT(Music_Data[[#This Row],[Duration_minutes]],3)/60</f>
        <v>3.8333333333333335</v>
      </c>
      <c r="I1037" s="39">
        <v>1.4E-3</v>
      </c>
      <c r="J1037" s="41" t="str">
        <f t="shared" si="16"/>
        <v>Casi nada popular</v>
      </c>
      <c r="K1037" s="43">
        <v>42699</v>
      </c>
    </row>
    <row r="1038" spans="1:11">
      <c r="A1038" s="34">
        <v>0.68400000000000005</v>
      </c>
      <c r="B1038" s="32">
        <v>960</v>
      </c>
      <c r="C1038" s="33">
        <v>0.36</v>
      </c>
      <c r="D1038" s="34">
        <v>0.2</v>
      </c>
      <c r="E1038" s="32">
        <v>73</v>
      </c>
      <c r="F1038" s="32">
        <v>0</v>
      </c>
      <c r="G1038" s="32">
        <v>4</v>
      </c>
      <c r="H1038" s="35">
        <f ca="1">LEFT(Music_Data[[#This Row],[Duration_minutes]],3)/60</f>
        <v>4.6333333333333337</v>
      </c>
      <c r="I1038" s="34">
        <v>0.32300000000000001</v>
      </c>
      <c r="J1038" s="36" t="str">
        <f t="shared" si="16"/>
        <v>Casi nada popular</v>
      </c>
      <c r="K1038" s="42">
        <v>45593</v>
      </c>
    </row>
    <row r="1039" spans="1:11">
      <c r="A1039" s="39">
        <v>0.83899999999999997</v>
      </c>
      <c r="B1039" s="37">
        <v>119</v>
      </c>
      <c r="C1039" s="38">
        <v>0.57199999999999995</v>
      </c>
      <c r="D1039" s="39">
        <v>0.46500000000000002</v>
      </c>
      <c r="E1039" s="37">
        <v>73</v>
      </c>
      <c r="F1039" s="37">
        <v>0</v>
      </c>
      <c r="G1039" s="37">
        <v>4</v>
      </c>
      <c r="H1039" s="40">
        <f ca="1">LEFT(Music_Data[[#This Row],[Duration_minutes]],3)/60</f>
        <v>2.95</v>
      </c>
      <c r="I1039" s="39">
        <v>1.2999999999999999E-2</v>
      </c>
      <c r="J1039" s="41" t="str">
        <f t="shared" si="16"/>
        <v>Casi nada popular</v>
      </c>
      <c r="K1039" s="43">
        <v>45450</v>
      </c>
    </row>
    <row r="1040" spans="1:11">
      <c r="A1040" s="34">
        <v>0.94</v>
      </c>
      <c r="B1040" s="32">
        <v>115</v>
      </c>
      <c r="C1040" s="33">
        <v>0.437</v>
      </c>
      <c r="D1040" s="34">
        <v>0.48</v>
      </c>
      <c r="E1040" s="32">
        <v>73</v>
      </c>
      <c r="F1040" s="32">
        <v>1</v>
      </c>
      <c r="G1040" s="32">
        <v>9</v>
      </c>
      <c r="H1040" s="35">
        <f ca="1">LEFT(Music_Data[[#This Row],[Duration_minutes]],3)/60</f>
        <v>3.8</v>
      </c>
      <c r="I1040" s="34">
        <v>5.2400000000000002E-2</v>
      </c>
      <c r="J1040" s="36" t="str">
        <f t="shared" si="16"/>
        <v>Casi nada popular</v>
      </c>
      <c r="K1040" s="42">
        <v>45359</v>
      </c>
    </row>
    <row r="1041" spans="1:11">
      <c r="A1041" s="39">
        <v>0.70399999999999996</v>
      </c>
      <c r="B1041" s="37">
        <v>115</v>
      </c>
      <c r="C1041" s="38">
        <v>0.43</v>
      </c>
      <c r="D1041" s="39">
        <v>0.70299999999999996</v>
      </c>
      <c r="E1041" s="37">
        <v>73</v>
      </c>
      <c r="F1041" s="37">
        <v>0</v>
      </c>
      <c r="G1041" s="37">
        <v>1</v>
      </c>
      <c r="H1041" s="40">
        <f ca="1">LEFT(Music_Data[[#This Row],[Duration_minutes]],3)/60</f>
        <v>3.3333333333333335</v>
      </c>
      <c r="I1041" s="39">
        <v>1.55E-4</v>
      </c>
      <c r="J1041" s="41" t="str">
        <f t="shared" si="16"/>
        <v>Casi nada popular</v>
      </c>
      <c r="K1041" s="43">
        <v>43209</v>
      </c>
    </row>
    <row r="1042" spans="1:11">
      <c r="A1042" s="34">
        <v>0.90600000000000003</v>
      </c>
      <c r="B1042" s="32">
        <v>959</v>
      </c>
      <c r="C1042" s="33">
        <v>0.51700000000000002</v>
      </c>
      <c r="D1042" s="34">
        <v>0.73099999999999998</v>
      </c>
      <c r="E1042" s="32">
        <v>73</v>
      </c>
      <c r="F1042" s="32">
        <v>1</v>
      </c>
      <c r="G1042" s="32">
        <v>1</v>
      </c>
      <c r="H1042" s="35">
        <f ca="1">LEFT(Music_Data[[#This Row],[Duration_minutes]],3)/60</f>
        <v>3.8833333333333333</v>
      </c>
      <c r="I1042" s="34">
        <v>2.7200000000000002E-3</v>
      </c>
      <c r="J1042" s="36" t="str">
        <f t="shared" si="16"/>
        <v>Casi nada popular</v>
      </c>
      <c r="K1042" s="42">
        <v>42797</v>
      </c>
    </row>
    <row r="1043" spans="1:11">
      <c r="A1043" s="39">
        <v>0.40600000000000003</v>
      </c>
      <c r="B1043" s="37">
        <v>950</v>
      </c>
      <c r="C1043" s="38">
        <v>0.45700000000000002</v>
      </c>
      <c r="D1043" s="39">
        <v>0.20799999999999999</v>
      </c>
      <c r="E1043" s="37">
        <v>73</v>
      </c>
      <c r="F1043" s="37">
        <v>1</v>
      </c>
      <c r="G1043" s="37">
        <v>9</v>
      </c>
      <c r="H1043" s="40">
        <f ca="1">LEFT(Music_Data[[#This Row],[Duration_minutes]],3)/60</f>
        <v>4.3833333333333337</v>
      </c>
      <c r="I1043" s="39">
        <v>0.08</v>
      </c>
      <c r="J1043" s="41" t="str">
        <f t="shared" si="16"/>
        <v>Casi nada popular</v>
      </c>
      <c r="K1043" s="43">
        <v>42797</v>
      </c>
    </row>
    <row r="1044" spans="1:11">
      <c r="A1044" s="34">
        <v>0.91400000000000003</v>
      </c>
      <c r="B1044" s="32">
        <v>959</v>
      </c>
      <c r="C1044" s="33">
        <v>0.40300000000000002</v>
      </c>
      <c r="D1044" s="34">
        <v>0.626</v>
      </c>
      <c r="E1044" s="32">
        <v>73</v>
      </c>
      <c r="F1044" s="32">
        <v>1</v>
      </c>
      <c r="G1044" s="32">
        <v>9</v>
      </c>
      <c r="H1044" s="35">
        <f ca="1">LEFT(Music_Data[[#This Row],[Duration_minutes]],3)/60</f>
        <v>3.8833333333333333</v>
      </c>
      <c r="I1044" s="34">
        <v>5.7899999999999998E-4</v>
      </c>
      <c r="J1044" s="36" t="str">
        <f t="shared" si="16"/>
        <v>Casi nada popular</v>
      </c>
      <c r="K1044" s="42">
        <v>42797</v>
      </c>
    </row>
    <row r="1045" spans="1:11">
      <c r="A1045" s="39">
        <v>0.81799999999999995</v>
      </c>
      <c r="B1045" s="37">
        <v>112</v>
      </c>
      <c r="C1045" s="38">
        <v>0.69499999999999995</v>
      </c>
      <c r="D1045" s="39">
        <v>0.91600000000000004</v>
      </c>
      <c r="E1045" s="37">
        <v>73</v>
      </c>
      <c r="F1045" s="37">
        <v>0</v>
      </c>
      <c r="G1045" s="37">
        <v>5</v>
      </c>
      <c r="H1045" s="40">
        <f ca="1">LEFT(Music_Data[[#This Row],[Duration_minutes]],3)/60</f>
        <v>4.833333333333333</v>
      </c>
      <c r="I1045" s="39">
        <v>6.4700000000000001E-3</v>
      </c>
      <c r="J1045" s="41" t="str">
        <f t="shared" si="16"/>
        <v>Casi nada popular</v>
      </c>
      <c r="K1045" s="43">
        <v>37402</v>
      </c>
    </row>
    <row r="1046" spans="1:11">
      <c r="A1046" s="34">
        <v>0.60199999999999998</v>
      </c>
      <c r="B1046" s="32">
        <v>100</v>
      </c>
      <c r="C1046" s="33">
        <v>0.80500000000000005</v>
      </c>
      <c r="D1046" s="34">
        <v>0.74399999999999999</v>
      </c>
      <c r="E1046" s="32">
        <v>73</v>
      </c>
      <c r="F1046" s="32">
        <v>0</v>
      </c>
      <c r="G1046" s="32">
        <v>0</v>
      </c>
      <c r="H1046" s="35">
        <f ca="1">LEFT(Music_Data[[#This Row],[Duration_minutes]],3)/60</f>
        <v>3.8166666666666669</v>
      </c>
      <c r="I1046" s="34">
        <v>0.11899999999999999</v>
      </c>
      <c r="J1046" s="36" t="str">
        <f t="shared" si="16"/>
        <v>Casi nada popular</v>
      </c>
      <c r="K1046" s="42">
        <v>45590</v>
      </c>
    </row>
    <row r="1047" spans="1:11">
      <c r="A1047" s="39">
        <v>0.752</v>
      </c>
      <c r="B1047" s="37">
        <v>122</v>
      </c>
      <c r="C1047" s="38">
        <v>0.42199999999999999</v>
      </c>
      <c r="D1047" s="39">
        <v>0.40400000000000003</v>
      </c>
      <c r="E1047" s="37">
        <v>73</v>
      </c>
      <c r="F1047" s="37">
        <v>1</v>
      </c>
      <c r="G1047" s="37">
        <v>6</v>
      </c>
      <c r="H1047" s="40">
        <f ca="1">LEFT(Music_Data[[#This Row],[Duration_minutes]],3)/60</f>
        <v>3.4</v>
      </c>
      <c r="I1047" s="39">
        <v>3.6600000000000001E-2</v>
      </c>
      <c r="J1047" s="41" t="str">
        <f t="shared" si="16"/>
        <v>Casi nada popular</v>
      </c>
      <c r="K1047" s="43">
        <v>45583</v>
      </c>
    </row>
    <row r="1048" spans="1:11">
      <c r="A1048" s="34">
        <v>0.48499999999999999</v>
      </c>
      <c r="B1048" s="32">
        <v>121</v>
      </c>
      <c r="C1048" s="33">
        <v>0.753</v>
      </c>
      <c r="D1048" s="34">
        <v>0.54700000000000004</v>
      </c>
      <c r="E1048" s="32">
        <v>73</v>
      </c>
      <c r="F1048" s="32">
        <v>1</v>
      </c>
      <c r="G1048" s="32">
        <v>11</v>
      </c>
      <c r="H1048" s="35">
        <f ca="1">LEFT(Music_Data[[#This Row],[Duration_minutes]],3)/60</f>
        <v>4.083333333333333</v>
      </c>
      <c r="I1048" s="34">
        <v>0.34499999999999997</v>
      </c>
      <c r="J1048" s="36" t="str">
        <f t="shared" si="16"/>
        <v>Casi nada popular</v>
      </c>
      <c r="K1048" s="42">
        <v>41603</v>
      </c>
    </row>
    <row r="1049" spans="1:11">
      <c r="A1049" s="39">
        <v>0.378</v>
      </c>
      <c r="B1049" s="37">
        <v>138</v>
      </c>
      <c r="C1049" s="38">
        <v>0.66200000000000003</v>
      </c>
      <c r="D1049" s="39">
        <v>0.20699999999999999</v>
      </c>
      <c r="E1049" s="37">
        <v>73</v>
      </c>
      <c r="F1049" s="37">
        <v>1</v>
      </c>
      <c r="G1049" s="37">
        <v>9</v>
      </c>
      <c r="H1049" s="40">
        <f ca="1">LEFT(Music_Data[[#This Row],[Duration_minutes]],3)/60</f>
        <v>2.7166666666666668</v>
      </c>
      <c r="I1049" s="39">
        <v>0.47499999999999998</v>
      </c>
      <c r="J1049" s="41" t="str">
        <f t="shared" si="16"/>
        <v>Casi nada popular</v>
      </c>
      <c r="K1049" s="43">
        <v>44757</v>
      </c>
    </row>
    <row r="1050" spans="1:11">
      <c r="A1050" s="34">
        <v>0.439</v>
      </c>
      <c r="B1050" s="32">
        <v>810</v>
      </c>
      <c r="C1050" s="33">
        <v>0.58599999999999997</v>
      </c>
      <c r="D1050" s="34">
        <v>0.36499999999999999</v>
      </c>
      <c r="E1050" s="32">
        <v>73</v>
      </c>
      <c r="F1050" s="32">
        <v>1</v>
      </c>
      <c r="G1050" s="32">
        <v>0</v>
      </c>
      <c r="H1050" s="35">
        <f ca="1">LEFT(Music_Data[[#This Row],[Duration_minutes]],3)/60</f>
        <v>2.85</v>
      </c>
      <c r="I1050" s="34">
        <v>0.71499999999999997</v>
      </c>
      <c r="J1050" s="36" t="str">
        <f t="shared" si="16"/>
        <v>Casi nada popular</v>
      </c>
      <c r="K1050" s="42">
        <v>45394</v>
      </c>
    </row>
    <row r="1051" spans="1:11">
      <c r="A1051" s="39">
        <v>0.33100000000000002</v>
      </c>
      <c r="B1051" s="37">
        <v>103</v>
      </c>
      <c r="C1051" s="38">
        <v>0.61099999999999999</v>
      </c>
      <c r="D1051" s="39">
        <v>0.55900000000000005</v>
      </c>
      <c r="E1051" s="37">
        <v>73</v>
      </c>
      <c r="F1051" s="37">
        <v>1</v>
      </c>
      <c r="G1051" s="37">
        <v>4</v>
      </c>
      <c r="H1051" s="40">
        <f ca="1">LEFT(Music_Data[[#This Row],[Duration_minutes]],3)/60</f>
        <v>4.1166666666666663</v>
      </c>
      <c r="I1051" s="39">
        <v>0.93</v>
      </c>
      <c r="J1051" s="41" t="str">
        <f t="shared" si="16"/>
        <v>Casi nada popular</v>
      </c>
      <c r="K1051" s="43">
        <v>42832</v>
      </c>
    </row>
    <row r="1052" spans="1:11">
      <c r="A1052" s="34">
        <v>0.33100000000000002</v>
      </c>
      <c r="B1052" s="32">
        <v>122</v>
      </c>
      <c r="C1052" s="33">
        <v>0.61099999999999999</v>
      </c>
      <c r="D1052" s="34">
        <v>0.55900000000000005</v>
      </c>
      <c r="E1052" s="32">
        <v>73</v>
      </c>
      <c r="F1052" s="32">
        <v>1</v>
      </c>
      <c r="G1052" s="32">
        <v>4</v>
      </c>
      <c r="H1052" s="35">
        <f ca="1">LEFT(Music_Data[[#This Row],[Duration_minutes]],3)/60</f>
        <v>4.0666666666666664</v>
      </c>
      <c r="I1052" s="34">
        <v>0.93</v>
      </c>
      <c r="J1052" s="36" t="str">
        <f t="shared" si="16"/>
        <v>Casi nada popular</v>
      </c>
      <c r="K1052" s="42">
        <v>41449</v>
      </c>
    </row>
    <row r="1053" spans="1:11">
      <c r="A1053" s="39">
        <v>0.748</v>
      </c>
      <c r="B1053" s="37">
        <v>105</v>
      </c>
      <c r="C1053" s="38">
        <v>0.86799999999999999</v>
      </c>
      <c r="D1053" s="39">
        <v>0.82899999999999996</v>
      </c>
      <c r="E1053" s="37">
        <v>73</v>
      </c>
      <c r="F1053" s="37">
        <v>0</v>
      </c>
      <c r="G1053" s="37">
        <v>1</v>
      </c>
      <c r="H1053" s="40">
        <f ca="1">LEFT(Music_Data[[#This Row],[Duration_minutes]],3)/60</f>
        <v>3</v>
      </c>
      <c r="I1053" s="39">
        <v>0.28999999999999998</v>
      </c>
      <c r="J1053" s="41" t="str">
        <f t="shared" si="16"/>
        <v>Casi nada popular</v>
      </c>
      <c r="K1053" s="43">
        <v>45309</v>
      </c>
    </row>
    <row r="1054" spans="1:11">
      <c r="A1054" s="34">
        <v>0.23499999999999999</v>
      </c>
      <c r="B1054" s="32">
        <v>109</v>
      </c>
      <c r="C1054" s="33">
        <v>0.498</v>
      </c>
      <c r="D1054" s="34">
        <v>8.9499999999999996E-2</v>
      </c>
      <c r="E1054" s="32">
        <v>73</v>
      </c>
      <c r="F1054" s="32">
        <v>0</v>
      </c>
      <c r="G1054" s="32">
        <v>1</v>
      </c>
      <c r="H1054" s="35">
        <f ca="1">LEFT(Music_Data[[#This Row],[Duration_minutes]],3)/60</f>
        <v>3.6666666666666665</v>
      </c>
      <c r="I1054" s="34">
        <v>0.72</v>
      </c>
      <c r="J1054" s="36" t="str">
        <f t="shared" si="16"/>
        <v>Casi nada popular</v>
      </c>
      <c r="K1054" s="42">
        <v>40309</v>
      </c>
    </row>
    <row r="1055" spans="1:11">
      <c r="A1055" s="39">
        <v>0.64700000000000002</v>
      </c>
      <c r="B1055" s="37">
        <v>109</v>
      </c>
      <c r="C1055" s="38">
        <v>0.58099999999999996</v>
      </c>
      <c r="D1055" s="39">
        <v>0.25700000000000001</v>
      </c>
      <c r="E1055" s="37">
        <v>73</v>
      </c>
      <c r="F1055" s="37">
        <v>0</v>
      </c>
      <c r="G1055" s="37">
        <v>11</v>
      </c>
      <c r="H1055" s="40">
        <f ca="1">LEFT(Music_Data[[#This Row],[Duration_minutes]],3)/60</f>
        <v>3.6666666666666665</v>
      </c>
      <c r="I1055" s="39">
        <v>7.7799999999999994E-2</v>
      </c>
      <c r="J1055" s="41" t="str">
        <f t="shared" si="16"/>
        <v>Casi nada popular</v>
      </c>
      <c r="K1055" s="43">
        <v>40309</v>
      </c>
    </row>
    <row r="1056" spans="1:11">
      <c r="A1056" s="34">
        <v>0.78500000000000003</v>
      </c>
      <c r="B1056" s="32">
        <v>130</v>
      </c>
      <c r="C1056" s="33">
        <v>0.621</v>
      </c>
      <c r="D1056" s="34">
        <v>0.77900000000000003</v>
      </c>
      <c r="E1056" s="32">
        <v>73</v>
      </c>
      <c r="F1056" s="32">
        <v>1</v>
      </c>
      <c r="G1056" s="32">
        <v>6</v>
      </c>
      <c r="H1056" s="35">
        <f ca="1">LEFT(Music_Data[[#This Row],[Duration_minutes]],3)/60</f>
        <v>2.4166666666666665</v>
      </c>
      <c r="I1056" s="34">
        <v>1.6500000000000001E-2</v>
      </c>
      <c r="J1056" s="36" t="str">
        <f t="shared" si="16"/>
        <v>Casi nada popular</v>
      </c>
      <c r="K1056" s="42">
        <v>45505</v>
      </c>
    </row>
    <row r="1057" spans="1:11">
      <c r="A1057" s="39">
        <v>0.53800000000000003</v>
      </c>
      <c r="B1057" s="37">
        <v>119</v>
      </c>
      <c r="C1057" s="38">
        <v>0.72</v>
      </c>
      <c r="D1057" s="39">
        <v>0.80500000000000005</v>
      </c>
      <c r="E1057" s="37">
        <v>73</v>
      </c>
      <c r="F1057" s="37">
        <v>1</v>
      </c>
      <c r="G1057" s="37">
        <v>10</v>
      </c>
      <c r="H1057" s="40">
        <f ca="1">LEFT(Music_Data[[#This Row],[Duration_minutes]],3)/60</f>
        <v>3.6166666666666667</v>
      </c>
      <c r="I1057" s="39">
        <v>0.34799999999999998</v>
      </c>
      <c r="J1057" s="41" t="str">
        <f t="shared" si="16"/>
        <v>Casi nada popular</v>
      </c>
      <c r="K1057" s="43">
        <v>45457</v>
      </c>
    </row>
    <row r="1058" spans="1:11">
      <c r="A1058" s="34">
        <v>0.68100000000000005</v>
      </c>
      <c r="B1058" s="32">
        <v>850</v>
      </c>
      <c r="C1058" s="33">
        <v>0.72499999999999998</v>
      </c>
      <c r="D1058" s="34">
        <v>0.76200000000000001</v>
      </c>
      <c r="E1058" s="32">
        <v>73</v>
      </c>
      <c r="F1058" s="32">
        <v>0</v>
      </c>
      <c r="G1058" s="32">
        <v>8</v>
      </c>
      <c r="H1058" s="35">
        <f ca="1">LEFT(Music_Data[[#This Row],[Duration_minutes]],3)/60</f>
        <v>3.5166666666666666</v>
      </c>
      <c r="I1058" s="34">
        <v>0.318</v>
      </c>
      <c r="J1058" s="36" t="str">
        <f t="shared" si="16"/>
        <v>Casi nada popular</v>
      </c>
      <c r="K1058" s="42">
        <v>42671</v>
      </c>
    </row>
    <row r="1059" spans="1:11">
      <c r="A1059" s="39">
        <v>0.72399999999999998</v>
      </c>
      <c r="B1059" s="37">
        <v>146</v>
      </c>
      <c r="C1059" s="38">
        <v>0.84699999999999998</v>
      </c>
      <c r="D1059" s="39">
        <v>0.39600000000000002</v>
      </c>
      <c r="E1059" s="37">
        <v>73</v>
      </c>
      <c r="F1059" s="37">
        <v>1</v>
      </c>
      <c r="G1059" s="37">
        <v>1</v>
      </c>
      <c r="H1059" s="40">
        <f ca="1">LEFT(Music_Data[[#This Row],[Duration_minutes]],3)/60</f>
        <v>2.5166666666666666</v>
      </c>
      <c r="I1059" s="39">
        <v>8.6900000000000005E-2</v>
      </c>
      <c r="J1059" s="41" t="str">
        <f t="shared" si="16"/>
        <v>Casi nada popular</v>
      </c>
      <c r="K1059" s="43">
        <v>45611</v>
      </c>
    </row>
    <row r="1060" spans="1:11">
      <c r="A1060" s="34">
        <v>0.70599999999999996</v>
      </c>
      <c r="B1060" s="32">
        <v>167</v>
      </c>
      <c r="C1060" s="33">
        <v>0.86299999999999999</v>
      </c>
      <c r="D1060" s="34">
        <v>0.68600000000000005</v>
      </c>
      <c r="E1060" s="32">
        <v>73</v>
      </c>
      <c r="F1060" s="32">
        <v>0</v>
      </c>
      <c r="G1060" s="32">
        <v>3</v>
      </c>
      <c r="H1060" s="35">
        <f ca="1">LEFT(Music_Data[[#This Row],[Duration_minutes]],3)/60</f>
        <v>2.15</v>
      </c>
      <c r="I1060" s="34">
        <v>0.14299999999999999</v>
      </c>
      <c r="J1060" s="36" t="str">
        <f t="shared" si="16"/>
        <v>Casi nada popular</v>
      </c>
      <c r="K1060" s="42">
        <v>45499</v>
      </c>
    </row>
    <row r="1061" spans="1:11">
      <c r="A1061" s="39">
        <v>0.78600000000000003</v>
      </c>
      <c r="B1061" s="37">
        <v>810</v>
      </c>
      <c r="C1061" s="38">
        <v>0.66300000000000003</v>
      </c>
      <c r="D1061" s="39">
        <v>0.57899999999999996</v>
      </c>
      <c r="E1061" s="37">
        <v>73</v>
      </c>
      <c r="F1061" s="37">
        <v>0</v>
      </c>
      <c r="G1061" s="37">
        <v>11</v>
      </c>
      <c r="H1061" s="40">
        <f ca="1">LEFT(Music_Data[[#This Row],[Duration_minutes]],3)/60</f>
        <v>3.25</v>
      </c>
      <c r="I1061" s="39">
        <v>0.22900000000000001</v>
      </c>
      <c r="J1061" s="41" t="str">
        <f t="shared" si="16"/>
        <v>Casi nada popular</v>
      </c>
      <c r="K1061" s="43">
        <v>40508</v>
      </c>
    </row>
    <row r="1062" spans="1:11">
      <c r="A1062" s="34">
        <v>0.70699999999999996</v>
      </c>
      <c r="B1062" s="32">
        <v>101</v>
      </c>
      <c r="C1062" s="33">
        <v>0.77100000000000002</v>
      </c>
      <c r="D1062" s="34">
        <v>0.317</v>
      </c>
      <c r="E1062" s="32">
        <v>73</v>
      </c>
      <c r="F1062" s="32">
        <v>0</v>
      </c>
      <c r="G1062" s="32">
        <v>2</v>
      </c>
      <c r="H1062" s="35">
        <f ca="1">LEFT(Music_Data[[#This Row],[Duration_minutes]],3)/60</f>
        <v>3.4</v>
      </c>
      <c r="I1062" s="34">
        <v>0.38900000000000001</v>
      </c>
      <c r="J1062" s="36" t="str">
        <f t="shared" si="16"/>
        <v>Casi nada popular</v>
      </c>
      <c r="K1062" s="42">
        <v>41856</v>
      </c>
    </row>
    <row r="1063" spans="1:11">
      <c r="A1063" s="39">
        <v>0.68799999999999994</v>
      </c>
      <c r="B1063" s="37">
        <v>175</v>
      </c>
      <c r="C1063" s="38">
        <v>0.65900000000000003</v>
      </c>
      <c r="D1063" s="39">
        <v>0.63200000000000001</v>
      </c>
      <c r="E1063" s="37">
        <v>73</v>
      </c>
      <c r="F1063" s="37">
        <v>1</v>
      </c>
      <c r="G1063" s="37">
        <v>6</v>
      </c>
      <c r="H1063" s="40">
        <f ca="1">LEFT(Music_Data[[#This Row],[Duration_minutes]],3)/60</f>
        <v>3.8</v>
      </c>
      <c r="I1063" s="39">
        <v>0.20699999999999999</v>
      </c>
      <c r="J1063" s="41" t="str">
        <f t="shared" si="16"/>
        <v>Casi nada popular</v>
      </c>
      <c r="K1063" s="43">
        <v>44673</v>
      </c>
    </row>
    <row r="1064" spans="1:11">
      <c r="A1064" s="34">
        <v>0.79100000000000004</v>
      </c>
      <c r="B1064" s="32">
        <v>844</v>
      </c>
      <c r="C1064" s="33">
        <v>0.86</v>
      </c>
      <c r="D1064" s="34">
        <v>0.88700000000000001</v>
      </c>
      <c r="E1064" s="32">
        <v>73</v>
      </c>
      <c r="F1064" s="32">
        <v>1</v>
      </c>
      <c r="G1064" s="32">
        <v>0</v>
      </c>
      <c r="H1064" s="35">
        <f ca="1">LEFT(Music_Data[[#This Row],[Duration_minutes]],3)/60</f>
        <v>3.75</v>
      </c>
      <c r="I1064" s="34">
        <v>0.16900000000000001</v>
      </c>
      <c r="J1064" s="36" t="str">
        <f t="shared" si="16"/>
        <v>Casi nada popular</v>
      </c>
      <c r="K1064" s="42">
        <v>31199</v>
      </c>
    </row>
    <row r="1065" spans="1:11">
      <c r="A1065" s="39">
        <v>0.59899999999999998</v>
      </c>
      <c r="B1065" s="37">
        <v>758</v>
      </c>
      <c r="C1065" s="38">
        <v>0.82799999999999996</v>
      </c>
      <c r="D1065" s="39">
        <v>0.47799999999999998</v>
      </c>
      <c r="E1065" s="37">
        <v>73</v>
      </c>
      <c r="F1065" s="37">
        <v>1</v>
      </c>
      <c r="G1065" s="37">
        <v>11</v>
      </c>
      <c r="H1065" s="40">
        <f ca="1">LEFT(Music_Data[[#This Row],[Duration_minutes]],3)/60</f>
        <v>4.7666666666666666</v>
      </c>
      <c r="I1065" s="39">
        <v>0.38100000000000001</v>
      </c>
      <c r="J1065" s="41" t="str">
        <f t="shared" si="16"/>
        <v>Casi nada popular</v>
      </c>
      <c r="K1065" s="43">
        <v>41186</v>
      </c>
    </row>
    <row r="1066" spans="1:11">
      <c r="A1066" s="34">
        <v>0.53800000000000003</v>
      </c>
      <c r="B1066" s="32">
        <v>146</v>
      </c>
      <c r="C1066" s="33">
        <v>0.52</v>
      </c>
      <c r="D1066" s="34">
        <v>0.17699999999999999</v>
      </c>
      <c r="E1066" s="32">
        <v>73</v>
      </c>
      <c r="F1066" s="32">
        <v>1</v>
      </c>
      <c r="G1066" s="32">
        <v>1</v>
      </c>
      <c r="H1066" s="35">
        <f ca="1">LEFT(Music_Data[[#This Row],[Duration_minutes]],3)/60</f>
        <v>5.15</v>
      </c>
      <c r="I1066" s="34">
        <v>0.36699999999999999</v>
      </c>
      <c r="J1066" s="36" t="str">
        <f t="shared" si="16"/>
        <v>Casi nada popular</v>
      </c>
      <c r="K1066" s="42">
        <v>37495</v>
      </c>
    </row>
    <row r="1067" spans="1:11">
      <c r="A1067" s="39">
        <v>0.63800000000000001</v>
      </c>
      <c r="B1067" s="37">
        <v>107</v>
      </c>
      <c r="C1067" s="38">
        <v>0.67700000000000005</v>
      </c>
      <c r="D1067" s="39">
        <v>0.435</v>
      </c>
      <c r="E1067" s="37">
        <v>73</v>
      </c>
      <c r="F1067" s="37">
        <v>1</v>
      </c>
      <c r="G1067" s="37">
        <v>8</v>
      </c>
      <c r="H1067" s="40">
        <f ca="1">LEFT(Music_Data[[#This Row],[Duration_minutes]],3)/60</f>
        <v>4.3</v>
      </c>
      <c r="I1067" s="39">
        <v>0.58899999999999997</v>
      </c>
      <c r="J1067" s="41" t="str">
        <f t="shared" si="16"/>
        <v>Casi nada popular</v>
      </c>
      <c r="K1067" s="43">
        <v>41811</v>
      </c>
    </row>
    <row r="1068" spans="1:11">
      <c r="A1068" s="34">
        <v>0.42099999999999999</v>
      </c>
      <c r="B1068" s="32">
        <v>117</v>
      </c>
      <c r="C1068" s="33">
        <v>0.85199999999999998</v>
      </c>
      <c r="D1068" s="34">
        <v>0.45700000000000002</v>
      </c>
      <c r="E1068" s="32">
        <v>73</v>
      </c>
      <c r="F1068" s="32">
        <v>0</v>
      </c>
      <c r="G1068" s="32">
        <v>10</v>
      </c>
      <c r="H1068" s="35">
        <f ca="1">LEFT(Music_Data[[#This Row],[Duration_minutes]],3)/60</f>
        <v>4.1833333333333336</v>
      </c>
      <c r="I1068" s="34">
        <v>0.42799999999999999</v>
      </c>
      <c r="J1068" s="36" t="str">
        <f t="shared" si="16"/>
        <v>Casi nada popular</v>
      </c>
      <c r="K1068" s="42">
        <v>45523</v>
      </c>
    </row>
    <row r="1069" spans="1:11">
      <c r="A1069" s="39">
        <v>0.65300000000000002</v>
      </c>
      <c r="B1069" s="37">
        <v>167</v>
      </c>
      <c r="C1069" s="38">
        <v>0.49299999999999999</v>
      </c>
      <c r="D1069" s="39">
        <v>0.85199999999999998</v>
      </c>
      <c r="E1069" s="37">
        <v>73</v>
      </c>
      <c r="F1069" s="37">
        <v>0</v>
      </c>
      <c r="G1069" s="37">
        <v>0</v>
      </c>
      <c r="H1069" s="40">
        <f ca="1">LEFT(Music_Data[[#This Row],[Duration_minutes]],3)/60</f>
        <v>3.1166666666666667</v>
      </c>
      <c r="I1069" s="39">
        <v>0.26900000000000002</v>
      </c>
      <c r="J1069" s="41" t="str">
        <f t="shared" si="16"/>
        <v>Casi nada popular</v>
      </c>
      <c r="K1069" s="43">
        <v>42909</v>
      </c>
    </row>
    <row r="1070" spans="1:11">
      <c r="A1070" s="34">
        <v>0.496</v>
      </c>
      <c r="B1070" s="32">
        <v>919</v>
      </c>
      <c r="C1070" s="33">
        <v>0.81200000000000006</v>
      </c>
      <c r="D1070" s="34">
        <v>0.55000000000000004</v>
      </c>
      <c r="E1070" s="32">
        <v>73</v>
      </c>
      <c r="F1070" s="32">
        <v>0</v>
      </c>
      <c r="G1070" s="32">
        <v>9</v>
      </c>
      <c r="H1070" s="35">
        <f ca="1">LEFT(Music_Data[[#This Row],[Duration_minutes]],3)/60</f>
        <v>4.9666666666666668</v>
      </c>
      <c r="I1070" s="34">
        <v>0.27100000000000002</v>
      </c>
      <c r="J1070" s="36" t="str">
        <f t="shared" si="16"/>
        <v>Casi nada popular</v>
      </c>
      <c r="K1070" s="42">
        <v>45604</v>
      </c>
    </row>
    <row r="1071" spans="1:11">
      <c r="A1071" s="39">
        <v>0.11899999999999999</v>
      </c>
      <c r="B1071" s="37">
        <v>194</v>
      </c>
      <c r="C1071" s="38">
        <v>0.46700000000000003</v>
      </c>
      <c r="D1071" s="39">
        <v>0.156</v>
      </c>
      <c r="E1071" s="37">
        <v>73</v>
      </c>
      <c r="F1071" s="37">
        <v>1</v>
      </c>
      <c r="G1071" s="37">
        <v>2</v>
      </c>
      <c r="H1071" s="40">
        <f ca="1">LEFT(Music_Data[[#This Row],[Duration_minutes]],3)/60</f>
        <v>2.1666666666666665</v>
      </c>
      <c r="I1071" s="39">
        <v>0.96899999999999997</v>
      </c>
      <c r="J1071" s="41" t="str">
        <f t="shared" si="16"/>
        <v>Casi nada popular</v>
      </c>
      <c r="K1071" s="43">
        <v>45582</v>
      </c>
    </row>
    <row r="1072" spans="1:11">
      <c r="A1072" s="34">
        <v>0.31</v>
      </c>
      <c r="B1072" s="32">
        <v>129</v>
      </c>
      <c r="C1072" s="33">
        <v>0.50900000000000001</v>
      </c>
      <c r="D1072" s="34">
        <v>0.151</v>
      </c>
      <c r="E1072" s="32">
        <v>73</v>
      </c>
      <c r="F1072" s="32">
        <v>1</v>
      </c>
      <c r="G1072" s="32">
        <v>9</v>
      </c>
      <c r="H1072" s="35">
        <f ca="1">LEFT(Music_Data[[#This Row],[Duration_minutes]],3)/60</f>
        <v>4.2</v>
      </c>
      <c r="I1072" s="34">
        <v>0.95899999999999996</v>
      </c>
      <c r="J1072" s="36" t="str">
        <f t="shared" si="16"/>
        <v>Casi nada popular</v>
      </c>
      <c r="K1072" s="42">
        <v>40711</v>
      </c>
    </row>
    <row r="1073" spans="1:11">
      <c r="A1073" s="39">
        <v>0.48299999999999998</v>
      </c>
      <c r="B1073" s="37">
        <v>127</v>
      </c>
      <c r="C1073" s="38">
        <v>0.61699999999999999</v>
      </c>
      <c r="D1073" s="39">
        <v>0.17599999999999999</v>
      </c>
      <c r="E1073" s="37">
        <v>73</v>
      </c>
      <c r="F1073" s="37">
        <v>1</v>
      </c>
      <c r="G1073" s="37">
        <v>11</v>
      </c>
      <c r="H1073" s="40">
        <f ca="1">LEFT(Music_Data[[#This Row],[Duration_minutes]],3)/60</f>
        <v>2.9666666666666668</v>
      </c>
      <c r="I1073" s="39">
        <v>0.70199999999999996</v>
      </c>
      <c r="J1073" s="41" t="str">
        <f t="shared" si="16"/>
        <v>Casi nada popular</v>
      </c>
      <c r="K1073" s="43">
        <v>45422</v>
      </c>
    </row>
    <row r="1074" spans="1:11">
      <c r="A1074" s="34">
        <v>0.51500000000000001</v>
      </c>
      <c r="B1074" s="32">
        <v>809</v>
      </c>
      <c r="C1074" s="33">
        <v>0.56699999999999995</v>
      </c>
      <c r="D1074" s="34">
        <v>0.32100000000000001</v>
      </c>
      <c r="E1074" s="32">
        <v>73</v>
      </c>
      <c r="F1074" s="32">
        <v>0</v>
      </c>
      <c r="G1074" s="32">
        <v>6</v>
      </c>
      <c r="H1074" s="35">
        <f ca="1">LEFT(Music_Data[[#This Row],[Duration_minutes]],3)/60</f>
        <v>2.85</v>
      </c>
      <c r="I1074" s="34">
        <v>0.35399999999999998</v>
      </c>
      <c r="J1074" s="36" t="str">
        <f t="shared" si="16"/>
        <v>Casi nada popular</v>
      </c>
      <c r="K1074" s="42">
        <v>45443</v>
      </c>
    </row>
    <row r="1075" spans="1:11">
      <c r="A1075" s="39">
        <v>0.67100000000000004</v>
      </c>
      <c r="B1075" s="37">
        <v>100</v>
      </c>
      <c r="C1075" s="38">
        <v>0.68400000000000005</v>
      </c>
      <c r="D1075" s="39">
        <v>0.45</v>
      </c>
      <c r="E1075" s="37">
        <v>73</v>
      </c>
      <c r="F1075" s="37">
        <v>0</v>
      </c>
      <c r="G1075" s="37">
        <v>2</v>
      </c>
      <c r="H1075" s="40">
        <f ca="1">LEFT(Music_Data[[#This Row],[Duration_minutes]],3)/60</f>
        <v>3.6333333333333333</v>
      </c>
      <c r="I1075" s="39">
        <v>1.1900000000000001E-2</v>
      </c>
      <c r="J1075" s="41" t="str">
        <f t="shared" si="16"/>
        <v>Casi nada popular</v>
      </c>
      <c r="K1075" s="43">
        <v>38684</v>
      </c>
    </row>
    <row r="1076" spans="1:11">
      <c r="A1076" s="34">
        <v>0.8</v>
      </c>
      <c r="B1076" s="32">
        <v>685</v>
      </c>
      <c r="C1076" s="33">
        <v>0.498</v>
      </c>
      <c r="D1076" s="34">
        <v>0.27200000000000002</v>
      </c>
      <c r="E1076" s="32">
        <v>73</v>
      </c>
      <c r="F1076" s="32">
        <v>0</v>
      </c>
      <c r="G1076" s="32">
        <v>1</v>
      </c>
      <c r="H1076" s="35">
        <f ca="1">LEFT(Music_Data[[#This Row],[Duration_minutes]],3)/60</f>
        <v>3.6833333333333331</v>
      </c>
      <c r="I1076" s="34">
        <v>9.0300000000000005E-2</v>
      </c>
      <c r="J1076" s="36" t="str">
        <f t="shared" si="16"/>
        <v>Casi nada popular</v>
      </c>
      <c r="K1076" s="42">
        <v>43700</v>
      </c>
    </row>
    <row r="1077" spans="1:11">
      <c r="A1077" s="39">
        <v>0.54500000000000004</v>
      </c>
      <c r="B1077" s="37">
        <v>192</v>
      </c>
      <c r="C1077" s="38">
        <v>0.80900000000000005</v>
      </c>
      <c r="D1077" s="39">
        <v>0.24399999999999999</v>
      </c>
      <c r="E1077" s="37">
        <v>73</v>
      </c>
      <c r="F1077" s="37">
        <v>1</v>
      </c>
      <c r="G1077" s="37">
        <v>7</v>
      </c>
      <c r="H1077" s="40">
        <f ca="1">LEFT(Music_Data[[#This Row],[Duration_minutes]],3)/60</f>
        <v>3.8</v>
      </c>
      <c r="I1077" s="39">
        <v>0.39200000000000002</v>
      </c>
      <c r="J1077" s="41" t="str">
        <f t="shared" si="16"/>
        <v>Casi nada popular</v>
      </c>
      <c r="K1077" s="43">
        <v>45400</v>
      </c>
    </row>
    <row r="1078" spans="1:11">
      <c r="A1078" s="34">
        <v>0.36899999999999999</v>
      </c>
      <c r="B1078" s="32">
        <v>979</v>
      </c>
      <c r="C1078" s="33">
        <v>0.73499999999999999</v>
      </c>
      <c r="D1078" s="34">
        <v>0.23499999999999999</v>
      </c>
      <c r="E1078" s="32">
        <v>73</v>
      </c>
      <c r="F1078" s="32">
        <v>0</v>
      </c>
      <c r="G1078" s="32">
        <v>9</v>
      </c>
      <c r="H1078" s="35">
        <f ca="1">LEFT(Music_Data[[#This Row],[Duration_minutes]],3)/60</f>
        <v>3.9333333333333331</v>
      </c>
      <c r="I1078" s="34">
        <v>0.33400000000000002</v>
      </c>
      <c r="J1078" s="36" t="str">
        <f t="shared" si="16"/>
        <v>Casi nada popular</v>
      </c>
      <c r="K1078" s="42">
        <v>45443</v>
      </c>
    </row>
    <row r="1079" spans="1:11">
      <c r="A1079" s="39">
        <v>0.64600000000000002</v>
      </c>
      <c r="B1079" s="37">
        <v>105</v>
      </c>
      <c r="C1079" s="38">
        <v>0.94599999999999995</v>
      </c>
      <c r="D1079" s="39">
        <v>0.96099999999999997</v>
      </c>
      <c r="E1079" s="37">
        <v>73</v>
      </c>
      <c r="F1079" s="37">
        <v>1</v>
      </c>
      <c r="G1079" s="37">
        <v>5</v>
      </c>
      <c r="H1079" s="40">
        <f ca="1">LEFT(Music_Data[[#This Row],[Duration_minutes]],3)/60</f>
        <v>4.166666666666667</v>
      </c>
      <c r="I1079" s="39">
        <v>0.219</v>
      </c>
      <c r="J1079" s="41" t="str">
        <f t="shared" si="16"/>
        <v>Casi nada popular</v>
      </c>
      <c r="K1079" s="43">
        <v>38069</v>
      </c>
    </row>
    <row r="1080" spans="1:11">
      <c r="A1080" s="34">
        <v>0.45500000000000002</v>
      </c>
      <c r="B1080" s="32">
        <v>124</v>
      </c>
      <c r="C1080" s="33">
        <v>0.79600000000000004</v>
      </c>
      <c r="D1080" s="34">
        <v>0.35199999999999998</v>
      </c>
      <c r="E1080" s="32">
        <v>73</v>
      </c>
      <c r="F1080" s="32">
        <v>0</v>
      </c>
      <c r="G1080" s="32">
        <v>1</v>
      </c>
      <c r="H1080" s="35">
        <f ca="1">LEFT(Music_Data[[#This Row],[Duration_minutes]],3)/60</f>
        <v>4.1166666666666663</v>
      </c>
      <c r="I1080" s="34">
        <v>0.63700000000000001</v>
      </c>
      <c r="J1080" s="36" t="str">
        <f t="shared" si="16"/>
        <v>Casi nada popular</v>
      </c>
      <c r="K1080" s="42">
        <v>41275</v>
      </c>
    </row>
    <row r="1081" spans="1:11">
      <c r="A1081" s="39">
        <v>0.71799999999999997</v>
      </c>
      <c r="B1081" s="37">
        <v>122</v>
      </c>
      <c r="C1081" s="38">
        <v>0.71599999999999997</v>
      </c>
      <c r="D1081" s="39">
        <v>0.91</v>
      </c>
      <c r="E1081" s="37">
        <v>73</v>
      </c>
      <c r="F1081" s="37">
        <v>0</v>
      </c>
      <c r="G1081" s="37">
        <v>6</v>
      </c>
      <c r="H1081" s="40">
        <f ca="1">LEFT(Music_Data[[#This Row],[Duration_minutes]],3)/60</f>
        <v>4.1500000000000004</v>
      </c>
      <c r="I1081" s="39">
        <v>4.5199999999999997E-2</v>
      </c>
      <c r="J1081" s="41" t="str">
        <f t="shared" si="16"/>
        <v>Casi nada popular</v>
      </c>
      <c r="K1081" s="43">
        <v>31640</v>
      </c>
    </row>
    <row r="1082" spans="1:11">
      <c r="A1082" s="34">
        <v>0.874</v>
      </c>
      <c r="B1082" s="32">
        <v>670</v>
      </c>
      <c r="C1082" s="33">
        <v>0.53200000000000003</v>
      </c>
      <c r="D1082" s="34">
        <v>0.36099999999999999</v>
      </c>
      <c r="E1082" s="32">
        <v>73</v>
      </c>
      <c r="F1082" s="32">
        <v>0</v>
      </c>
      <c r="G1082" s="32">
        <v>9</v>
      </c>
      <c r="H1082" s="35">
        <f ca="1">LEFT(Music_Data[[#This Row],[Duration_minutes]],3)/60</f>
        <v>2.1</v>
      </c>
      <c r="I1082" s="34">
        <v>8.4200000000000004E-3</v>
      </c>
      <c r="J1082" s="36" t="str">
        <f t="shared" si="16"/>
        <v>Casi nada popular</v>
      </c>
      <c r="K1082" s="42">
        <v>23669</v>
      </c>
    </row>
    <row r="1083" spans="1:11">
      <c r="A1083" s="39">
        <v>0.91</v>
      </c>
      <c r="B1083" s="37">
        <v>143</v>
      </c>
      <c r="C1083" s="38">
        <v>0.52800000000000002</v>
      </c>
      <c r="D1083" s="39">
        <v>0.13700000000000001</v>
      </c>
      <c r="E1083" s="37">
        <v>73</v>
      </c>
      <c r="F1083" s="37">
        <v>0</v>
      </c>
      <c r="G1083" s="37">
        <v>9</v>
      </c>
      <c r="H1083" s="40">
        <f ca="1">LEFT(Music_Data[[#This Row],[Duration_minutes]],3)/60</f>
        <v>3.3</v>
      </c>
      <c r="I1083" s="39">
        <v>0.34599999999999997</v>
      </c>
      <c r="J1083" s="41" t="str">
        <f t="shared" si="16"/>
        <v>Casi nada popular</v>
      </c>
      <c r="K1083" s="43">
        <v>37938</v>
      </c>
    </row>
    <row r="1084" spans="1:11">
      <c r="A1084" s="34">
        <v>0.55300000000000005</v>
      </c>
      <c r="B1084" s="32">
        <v>102</v>
      </c>
      <c r="C1084" s="33">
        <v>0.48699999999999999</v>
      </c>
      <c r="D1084" s="34">
        <v>0.69899999999999995</v>
      </c>
      <c r="E1084" s="32">
        <v>73</v>
      </c>
      <c r="F1084" s="32">
        <v>0</v>
      </c>
      <c r="G1084" s="32">
        <v>6</v>
      </c>
      <c r="H1084" s="35">
        <f ca="1">LEFT(Music_Data[[#This Row],[Duration_minutes]],3)/60</f>
        <v>3.3</v>
      </c>
      <c r="I1084" s="34">
        <v>0.20899999999999999</v>
      </c>
      <c r="J1084" s="36" t="str">
        <f t="shared" si="16"/>
        <v>Casi nada popular</v>
      </c>
      <c r="K1084" s="42">
        <v>43910</v>
      </c>
    </row>
    <row r="1085" spans="1:11">
      <c r="A1085" s="39">
        <v>0.68100000000000005</v>
      </c>
      <c r="B1085" s="37">
        <v>125</v>
      </c>
      <c r="C1085" s="38">
        <v>0.79800000000000004</v>
      </c>
      <c r="D1085" s="39">
        <v>0.434</v>
      </c>
      <c r="E1085" s="37">
        <v>73</v>
      </c>
      <c r="F1085" s="37">
        <v>0</v>
      </c>
      <c r="G1085" s="37">
        <v>10</v>
      </c>
      <c r="H1085" s="40">
        <f ca="1">LEFT(Music_Data[[#This Row],[Duration_minutes]],3)/60</f>
        <v>3.6</v>
      </c>
      <c r="I1085" s="39">
        <v>0.219</v>
      </c>
      <c r="J1085" s="41" t="str">
        <f t="shared" si="16"/>
        <v>Casi nada popular</v>
      </c>
      <c r="K1085" s="43">
        <v>30320</v>
      </c>
    </row>
    <row r="1086" spans="1:11">
      <c r="A1086" s="34">
        <v>0.89900000000000002</v>
      </c>
      <c r="B1086" s="32">
        <v>119</v>
      </c>
      <c r="C1086" s="33">
        <v>0.47499999999999998</v>
      </c>
      <c r="D1086" s="34">
        <v>0.60299999999999998</v>
      </c>
      <c r="E1086" s="32">
        <v>72</v>
      </c>
      <c r="F1086" s="32">
        <v>0</v>
      </c>
      <c r="G1086" s="32">
        <v>9</v>
      </c>
      <c r="H1086" s="35">
        <f ca="1">LEFT(Music_Data[[#This Row],[Duration_minutes]],3)/60</f>
        <v>4.4833333333333334</v>
      </c>
      <c r="I1086" s="34">
        <v>3.7499999999999999E-3</v>
      </c>
      <c r="J1086" s="36" t="str">
        <f t="shared" si="16"/>
        <v>Casi nada popular</v>
      </c>
      <c r="K1086" s="42">
        <v>41516</v>
      </c>
    </row>
    <row r="1087" spans="1:11">
      <c r="A1087" s="39">
        <v>0.90200000000000002</v>
      </c>
      <c r="B1087" s="37">
        <v>153</v>
      </c>
      <c r="C1087" s="38">
        <v>0.41199999999999998</v>
      </c>
      <c r="D1087" s="39">
        <v>0.42199999999999999</v>
      </c>
      <c r="E1087" s="37">
        <v>72</v>
      </c>
      <c r="F1087" s="37">
        <v>1</v>
      </c>
      <c r="G1087" s="37">
        <v>9</v>
      </c>
      <c r="H1087" s="40">
        <f ca="1">LEFT(Music_Data[[#This Row],[Duration_minutes]],3)/60</f>
        <v>2.5499999999999998</v>
      </c>
      <c r="I1087" s="39">
        <v>4.8399999999999999E-2</v>
      </c>
      <c r="J1087" s="41" t="str">
        <f t="shared" si="16"/>
        <v>Casi nada popular</v>
      </c>
      <c r="K1087" s="43">
        <v>44274</v>
      </c>
    </row>
    <row r="1088" spans="1:11">
      <c r="A1088" s="34">
        <v>0.95199999999999996</v>
      </c>
      <c r="B1088" s="32">
        <v>999</v>
      </c>
      <c r="C1088" s="33">
        <v>0.39800000000000002</v>
      </c>
      <c r="D1088" s="34">
        <v>0.58399999999999996</v>
      </c>
      <c r="E1088" s="32">
        <v>72</v>
      </c>
      <c r="F1088" s="32">
        <v>1</v>
      </c>
      <c r="G1088" s="32">
        <v>4</v>
      </c>
      <c r="H1088" s="35">
        <f ca="1">LEFT(Music_Data[[#This Row],[Duration_minutes]],3)/60</f>
        <v>3.3333333333333335</v>
      </c>
      <c r="I1088" s="34">
        <v>3.7300000000000001E-4</v>
      </c>
      <c r="J1088" s="36" t="str">
        <f t="shared" si="16"/>
        <v>Casi nada popular</v>
      </c>
      <c r="K1088" s="42">
        <v>42321</v>
      </c>
    </row>
    <row r="1089" spans="1:11">
      <c r="A1089" s="39">
        <v>0.80500000000000005</v>
      </c>
      <c r="B1089" s="37">
        <v>120</v>
      </c>
      <c r="C1089" s="38">
        <v>0.438</v>
      </c>
      <c r="D1089" s="39">
        <v>0.56399999999999995</v>
      </c>
      <c r="E1089" s="37">
        <v>72</v>
      </c>
      <c r="F1089" s="37">
        <v>1</v>
      </c>
      <c r="G1089" s="37">
        <v>8</v>
      </c>
      <c r="H1089" s="40">
        <f ca="1">LEFT(Music_Data[[#This Row],[Duration_minutes]],3)/60</f>
        <v>3.3166666666666669</v>
      </c>
      <c r="I1089" s="39">
        <v>2.5500000000000002E-3</v>
      </c>
      <c r="J1089" s="41" t="str">
        <f t="shared" si="16"/>
        <v>Casi nada popular</v>
      </c>
      <c r="K1089" s="43">
        <v>40179</v>
      </c>
    </row>
    <row r="1090" spans="1:11">
      <c r="A1090" s="34">
        <v>0.75800000000000001</v>
      </c>
      <c r="B1090" s="32">
        <v>120</v>
      </c>
      <c r="C1090" s="33">
        <v>0.48899999999999999</v>
      </c>
      <c r="D1090" s="34">
        <v>0.435</v>
      </c>
      <c r="E1090" s="32">
        <v>72</v>
      </c>
      <c r="F1090" s="32">
        <v>1</v>
      </c>
      <c r="G1090" s="32">
        <v>7</v>
      </c>
      <c r="H1090" s="35">
        <f ca="1">LEFT(Music_Data[[#This Row],[Duration_minutes]],3)/60</f>
        <v>3.15</v>
      </c>
      <c r="I1090" s="34">
        <v>6.78E-4</v>
      </c>
      <c r="J1090" s="36" t="str">
        <f t="shared" si="16"/>
        <v>Casi nada popular</v>
      </c>
      <c r="K1090" s="42">
        <v>41884</v>
      </c>
    </row>
    <row r="1091" spans="1:11">
      <c r="A1091" s="39">
        <v>0.93600000000000005</v>
      </c>
      <c r="B1091" s="37">
        <v>950</v>
      </c>
      <c r="C1091" s="38">
        <v>0.66600000000000004</v>
      </c>
      <c r="D1091" s="39">
        <v>0.77600000000000002</v>
      </c>
      <c r="E1091" s="37">
        <v>72</v>
      </c>
      <c r="F1091" s="37">
        <v>1</v>
      </c>
      <c r="G1091" s="37">
        <v>7</v>
      </c>
      <c r="H1091" s="40">
        <f ca="1">LEFT(Music_Data[[#This Row],[Duration_minutes]],3)/60</f>
        <v>4.0333333333333332</v>
      </c>
      <c r="I1091" s="39">
        <v>2.4399999999999999E-3</v>
      </c>
      <c r="J1091" s="41" t="str">
        <f t="shared" si="16"/>
        <v>Casi nada popular</v>
      </c>
      <c r="K1091" s="43">
        <v>41170</v>
      </c>
    </row>
    <row r="1092" spans="1:11">
      <c r="A1092" s="34">
        <v>0.751</v>
      </c>
      <c r="B1092" s="32">
        <v>120</v>
      </c>
      <c r="C1092" s="33">
        <v>0.42099999999999999</v>
      </c>
      <c r="D1092" s="34">
        <v>0.78900000000000003</v>
      </c>
      <c r="E1092" s="32">
        <v>72</v>
      </c>
      <c r="F1092" s="32">
        <v>1</v>
      </c>
      <c r="G1092" s="32">
        <v>9</v>
      </c>
      <c r="H1092" s="35">
        <f ca="1">LEFT(Music_Data[[#This Row],[Duration_minutes]],3)/60</f>
        <v>3.5833333333333335</v>
      </c>
      <c r="I1092" s="34">
        <v>0.2</v>
      </c>
      <c r="J1092" s="36" t="str">
        <f t="shared" ref="J1092:J1155" si="17">IF(E1092&gt;=94,"Muy Popular",IF(E1092&gt;=86,"Popular",IF(E1092&gt;=78,"No muy popular","Casi nada popular")))</f>
        <v>Casi nada popular</v>
      </c>
      <c r="K1092" s="42">
        <v>43714</v>
      </c>
    </row>
    <row r="1093" spans="1:11">
      <c r="A1093" s="39">
        <v>0.95299999999999996</v>
      </c>
      <c r="B1093" s="37">
        <v>128</v>
      </c>
      <c r="C1093" s="38">
        <v>0.26700000000000002</v>
      </c>
      <c r="D1093" s="39">
        <v>0.56799999999999995</v>
      </c>
      <c r="E1093" s="37">
        <v>72</v>
      </c>
      <c r="F1093" s="37">
        <v>0</v>
      </c>
      <c r="G1093" s="37">
        <v>1</v>
      </c>
      <c r="H1093" s="40">
        <f ca="1">LEFT(Music_Data[[#This Row],[Duration_minutes]],3)/60</f>
        <v>3.3166666666666669</v>
      </c>
      <c r="I1093" s="39">
        <v>2.1099999999999999E-3</v>
      </c>
      <c r="J1093" s="41" t="str">
        <f t="shared" si="17"/>
        <v>Casi nada popular</v>
      </c>
      <c r="K1093" s="43">
        <v>41975</v>
      </c>
    </row>
    <row r="1094" spans="1:11">
      <c r="A1094" s="34">
        <v>0.92700000000000005</v>
      </c>
      <c r="B1094" s="32">
        <v>100</v>
      </c>
      <c r="C1094" s="33">
        <v>0.215</v>
      </c>
      <c r="D1094" s="34">
        <v>0.49</v>
      </c>
      <c r="E1094" s="32">
        <v>72</v>
      </c>
      <c r="F1094" s="32">
        <v>1</v>
      </c>
      <c r="G1094" s="32">
        <v>9</v>
      </c>
      <c r="H1094" s="35">
        <f ca="1">LEFT(Music_Data[[#This Row],[Duration_minutes]],3)/60</f>
        <v>3.8333333333333335</v>
      </c>
      <c r="I1094" s="34">
        <v>2.7300000000000002E-4</v>
      </c>
      <c r="J1094" s="36" t="str">
        <f t="shared" si="17"/>
        <v>Casi nada popular</v>
      </c>
      <c r="K1094" s="42">
        <v>1976</v>
      </c>
    </row>
    <row r="1095" spans="1:11">
      <c r="A1095" s="39">
        <v>0.97799999999999998</v>
      </c>
      <c r="B1095" s="37">
        <v>191</v>
      </c>
      <c r="C1095" s="38">
        <v>0.52600000000000002</v>
      </c>
      <c r="D1095" s="39">
        <v>0.45100000000000001</v>
      </c>
      <c r="E1095" s="37">
        <v>72</v>
      </c>
      <c r="F1095" s="37">
        <v>1</v>
      </c>
      <c r="G1095" s="37">
        <v>8</v>
      </c>
      <c r="H1095" s="40">
        <f ca="1">LEFT(Music_Data[[#This Row],[Duration_minutes]],3)/60</f>
        <v>3.4</v>
      </c>
      <c r="I1095" s="39">
        <v>1.2199999999999999E-3</v>
      </c>
      <c r="J1095" s="41" t="str">
        <f t="shared" si="17"/>
        <v>Casi nada popular</v>
      </c>
      <c r="K1095" s="43">
        <v>41967</v>
      </c>
    </row>
    <row r="1096" spans="1:11">
      <c r="A1096" s="34">
        <v>0.84199999999999997</v>
      </c>
      <c r="B1096" s="32">
        <v>125</v>
      </c>
      <c r="C1096" s="33">
        <v>0.29699999999999999</v>
      </c>
      <c r="D1096" s="34">
        <v>0.58599999999999997</v>
      </c>
      <c r="E1096" s="32">
        <v>72</v>
      </c>
      <c r="F1096" s="32">
        <v>1</v>
      </c>
      <c r="G1096" s="32">
        <v>6</v>
      </c>
      <c r="H1096" s="35">
        <f ca="1">LEFT(Music_Data[[#This Row],[Duration_minutes]],3)/60</f>
        <v>2.9333333333333331</v>
      </c>
      <c r="I1096" s="34">
        <v>2.8600000000000001E-4</v>
      </c>
      <c r="J1096" s="36" t="str">
        <f t="shared" si="17"/>
        <v>Casi nada popular</v>
      </c>
      <c r="K1096" s="42">
        <v>41640</v>
      </c>
    </row>
    <row r="1097" spans="1:11">
      <c r="A1097" s="39">
        <v>0.69899999999999995</v>
      </c>
      <c r="B1097" s="37">
        <v>128</v>
      </c>
      <c r="C1097" s="38">
        <v>0.92</v>
      </c>
      <c r="D1097" s="39">
        <v>0.48399999999999999</v>
      </c>
      <c r="E1097" s="37">
        <v>72</v>
      </c>
      <c r="F1097" s="37">
        <v>1</v>
      </c>
      <c r="G1097" s="37">
        <v>11</v>
      </c>
      <c r="H1097" s="40">
        <f ca="1">LEFT(Music_Data[[#This Row],[Duration_minutes]],3)/60</f>
        <v>3.7833333333333332</v>
      </c>
      <c r="I1097" s="39">
        <v>7.6800000000000002E-3</v>
      </c>
      <c r="J1097" s="41" t="str">
        <f t="shared" si="17"/>
        <v>Casi nada popular</v>
      </c>
      <c r="K1097" s="43">
        <v>41943</v>
      </c>
    </row>
    <row r="1098" spans="1:11">
      <c r="A1098" s="34">
        <v>0.68500000000000005</v>
      </c>
      <c r="B1098" s="32">
        <v>138</v>
      </c>
      <c r="C1098" s="33">
        <v>0.73099999999999998</v>
      </c>
      <c r="D1098" s="34">
        <v>0.45800000000000002</v>
      </c>
      <c r="E1098" s="32">
        <v>72</v>
      </c>
      <c r="F1098" s="32">
        <v>0</v>
      </c>
      <c r="G1098" s="32">
        <v>11</v>
      </c>
      <c r="H1098" s="35">
        <f ca="1">LEFT(Music_Data[[#This Row],[Duration_minutes]],3)/60</f>
        <v>2.2000000000000002</v>
      </c>
      <c r="I1098" s="34">
        <v>5.3999999999999999E-2</v>
      </c>
      <c r="J1098" s="36" t="str">
        <f t="shared" si="17"/>
        <v>Casi nada popular</v>
      </c>
      <c r="K1098" s="42">
        <v>45258</v>
      </c>
    </row>
    <row r="1099" spans="1:11">
      <c r="A1099" s="39">
        <v>0.71099999999999997</v>
      </c>
      <c r="B1099" s="37">
        <v>138</v>
      </c>
      <c r="C1099" s="38">
        <v>0.97399999999999998</v>
      </c>
      <c r="D1099" s="39">
        <v>0.32800000000000001</v>
      </c>
      <c r="E1099" s="37">
        <v>72</v>
      </c>
      <c r="F1099" s="37">
        <v>0</v>
      </c>
      <c r="G1099" s="37">
        <v>11</v>
      </c>
      <c r="H1099" s="40">
        <f ca="1">LEFT(Music_Data[[#This Row],[Duration_minutes]],3)/60</f>
        <v>4.916666666666667</v>
      </c>
      <c r="I1099" s="39">
        <v>9.8799999999999999E-2</v>
      </c>
      <c r="J1099" s="41" t="str">
        <f t="shared" si="17"/>
        <v>Casi nada popular</v>
      </c>
      <c r="K1099" s="43">
        <v>38510</v>
      </c>
    </row>
    <row r="1100" spans="1:11">
      <c r="A1100" s="34">
        <v>0.752</v>
      </c>
      <c r="B1100" s="32">
        <v>109</v>
      </c>
      <c r="C1100" s="33">
        <v>0.63800000000000001</v>
      </c>
      <c r="D1100" s="34">
        <v>0.24199999999999999</v>
      </c>
      <c r="E1100" s="32">
        <v>72</v>
      </c>
      <c r="F1100" s="32">
        <v>0</v>
      </c>
      <c r="G1100" s="32">
        <v>1</v>
      </c>
      <c r="H1100" s="35">
        <f ca="1">LEFT(Music_Data[[#This Row],[Duration_minutes]],3)/60</f>
        <v>2.5833333333333335</v>
      </c>
      <c r="I1100" s="34">
        <v>6.6E-3</v>
      </c>
      <c r="J1100" s="36" t="str">
        <f t="shared" si="17"/>
        <v>Casi nada popular</v>
      </c>
      <c r="K1100" s="42">
        <v>45573</v>
      </c>
    </row>
    <row r="1101" spans="1:11">
      <c r="A1101" s="39">
        <v>0.59199999999999997</v>
      </c>
      <c r="B1101" s="37">
        <v>979</v>
      </c>
      <c r="C1101" s="38">
        <v>0.69599999999999995</v>
      </c>
      <c r="D1101" s="39">
        <v>0.23200000000000001</v>
      </c>
      <c r="E1101" s="37">
        <v>72</v>
      </c>
      <c r="F1101" s="37">
        <v>1</v>
      </c>
      <c r="G1101" s="37">
        <v>1</v>
      </c>
      <c r="H1101" s="40">
        <f ca="1">LEFT(Music_Data[[#This Row],[Duration_minutes]],3)/60</f>
        <v>4.416666666666667</v>
      </c>
      <c r="I1101" s="39">
        <v>0.152</v>
      </c>
      <c r="J1101" s="41" t="str">
        <f t="shared" si="17"/>
        <v>Casi nada popular</v>
      </c>
      <c r="K1101" s="43">
        <v>45009</v>
      </c>
    </row>
    <row r="1102" spans="1:11">
      <c r="A1102" s="34">
        <v>0.57699999999999996</v>
      </c>
      <c r="B1102" s="32">
        <v>909</v>
      </c>
      <c r="C1102" s="33">
        <v>0.79700000000000004</v>
      </c>
      <c r="D1102" s="34">
        <v>0.17</v>
      </c>
      <c r="E1102" s="32">
        <v>72</v>
      </c>
      <c r="F1102" s="32">
        <v>1</v>
      </c>
      <c r="G1102" s="32">
        <v>1</v>
      </c>
      <c r="H1102" s="35">
        <f ca="1">LEFT(Music_Data[[#This Row],[Duration_minutes]],3)/60</f>
        <v>2.4666666666666668</v>
      </c>
      <c r="I1102" s="34">
        <v>1.7399999999999999E-2</v>
      </c>
      <c r="J1102" s="36" t="str">
        <f t="shared" si="17"/>
        <v>Casi nada popular</v>
      </c>
      <c r="K1102" s="42">
        <v>45338</v>
      </c>
    </row>
    <row r="1103" spans="1:11">
      <c r="A1103" s="39">
        <v>0.57499999999999996</v>
      </c>
      <c r="B1103" s="37">
        <v>910</v>
      </c>
      <c r="C1103" s="38">
        <v>0.71299999999999997</v>
      </c>
      <c r="D1103" s="39">
        <v>0.189</v>
      </c>
      <c r="E1103" s="37">
        <v>72</v>
      </c>
      <c r="F1103" s="37">
        <v>1</v>
      </c>
      <c r="G1103" s="37">
        <v>1</v>
      </c>
      <c r="H1103" s="40">
        <f ca="1">LEFT(Music_Data[[#This Row],[Duration_minutes]],3)/60</f>
        <v>3.15</v>
      </c>
      <c r="I1103" s="39">
        <v>6.6899999999999998E-3</v>
      </c>
      <c r="J1103" s="41" t="str">
        <f t="shared" si="17"/>
        <v>Casi nada popular</v>
      </c>
      <c r="K1103" s="43">
        <v>44358</v>
      </c>
    </row>
    <row r="1104" spans="1:11">
      <c r="A1104" s="34">
        <v>0.71799999999999997</v>
      </c>
      <c r="B1104" s="32">
        <v>950</v>
      </c>
      <c r="C1104" s="33">
        <v>0.76</v>
      </c>
      <c r="D1104" s="34">
        <v>0.55700000000000005</v>
      </c>
      <c r="E1104" s="32">
        <v>72</v>
      </c>
      <c r="F1104" s="32">
        <v>1</v>
      </c>
      <c r="G1104" s="32">
        <v>1</v>
      </c>
      <c r="H1104" s="35">
        <f ca="1">LEFT(Music_Data[[#This Row],[Duration_minutes]],3)/60</f>
        <v>3.4333333333333331</v>
      </c>
      <c r="I1104" s="34">
        <v>0.34799999999999998</v>
      </c>
      <c r="J1104" s="36" t="str">
        <f t="shared" si="17"/>
        <v>Casi nada popular</v>
      </c>
      <c r="K1104" s="42">
        <v>2002</v>
      </c>
    </row>
    <row r="1105" spans="1:11">
      <c r="A1105" s="39">
        <v>0.6</v>
      </c>
      <c r="B1105" s="37">
        <v>129</v>
      </c>
      <c r="C1105" s="38">
        <v>0.88300000000000001</v>
      </c>
      <c r="D1105" s="39">
        <v>0.69099999999999995</v>
      </c>
      <c r="E1105" s="37">
        <v>72</v>
      </c>
      <c r="F1105" s="37">
        <v>1</v>
      </c>
      <c r="G1105" s="37">
        <v>7</v>
      </c>
      <c r="H1105" s="40">
        <f ca="1">LEFT(Music_Data[[#This Row],[Duration_minutes]],3)/60</f>
        <v>3.4</v>
      </c>
      <c r="I1105" s="39">
        <v>0.114</v>
      </c>
      <c r="J1105" s="41" t="str">
        <f t="shared" si="17"/>
        <v>Casi nada popular</v>
      </c>
      <c r="K1105" s="43">
        <v>2012</v>
      </c>
    </row>
    <row r="1106" spans="1:11">
      <c r="A1106" s="34">
        <v>0.63400000000000001</v>
      </c>
      <c r="B1106" s="32">
        <v>124</v>
      </c>
      <c r="C1106" s="33">
        <v>0.502</v>
      </c>
      <c r="D1106" s="34">
        <v>0.64500000000000002</v>
      </c>
      <c r="E1106" s="32">
        <v>72</v>
      </c>
      <c r="F1106" s="32">
        <v>0</v>
      </c>
      <c r="G1106" s="32">
        <v>8</v>
      </c>
      <c r="H1106" s="35">
        <f ca="1">LEFT(Music_Data[[#This Row],[Duration_minutes]],3)/60</f>
        <v>3.8166666666666669</v>
      </c>
      <c r="I1106" s="34">
        <v>0.67700000000000005</v>
      </c>
      <c r="J1106" s="36" t="str">
        <f t="shared" si="17"/>
        <v>Casi nada popular</v>
      </c>
      <c r="K1106" s="42">
        <v>41964</v>
      </c>
    </row>
    <row r="1107" spans="1:11">
      <c r="A1107" s="39">
        <v>0.66200000000000003</v>
      </c>
      <c r="B1107" s="37">
        <v>105</v>
      </c>
      <c r="C1107" s="38">
        <v>0.86299999999999999</v>
      </c>
      <c r="D1107" s="39">
        <v>0.307</v>
      </c>
      <c r="E1107" s="37">
        <v>72</v>
      </c>
      <c r="F1107" s="37">
        <v>0</v>
      </c>
      <c r="G1107" s="37">
        <v>4</v>
      </c>
      <c r="H1107" s="40">
        <f ca="1">LEFT(Music_Data[[#This Row],[Duration_minutes]],3)/60</f>
        <v>3.0333333333333332</v>
      </c>
      <c r="I1107" s="39">
        <v>8.43E-2</v>
      </c>
      <c r="J1107" s="41" t="str">
        <f t="shared" si="17"/>
        <v>Casi nada popular</v>
      </c>
      <c r="K1107" s="43">
        <v>45611</v>
      </c>
    </row>
    <row r="1108" spans="1:11">
      <c r="A1108" s="34">
        <v>0.76200000000000001</v>
      </c>
      <c r="B1108" s="32">
        <v>105</v>
      </c>
      <c r="C1108" s="33">
        <v>0.81599999999999995</v>
      </c>
      <c r="D1108" s="34">
        <v>0.78200000000000003</v>
      </c>
      <c r="E1108" s="32">
        <v>72</v>
      </c>
      <c r="F1108" s="32">
        <v>1</v>
      </c>
      <c r="G1108" s="32">
        <v>0</v>
      </c>
      <c r="H1108" s="35">
        <f ca="1">LEFT(Music_Data[[#This Row],[Duration_minutes]],3)/60</f>
        <v>3.0333333333333332</v>
      </c>
      <c r="I1108" s="34">
        <v>0.53400000000000003</v>
      </c>
      <c r="J1108" s="36" t="str">
        <f t="shared" si="17"/>
        <v>Casi nada popular</v>
      </c>
      <c r="K1108" s="42">
        <v>45611</v>
      </c>
    </row>
    <row r="1109" spans="1:11">
      <c r="A1109" s="39">
        <v>0.48299999999999998</v>
      </c>
      <c r="B1109" s="37">
        <v>149</v>
      </c>
      <c r="C1109" s="38">
        <v>0.753</v>
      </c>
      <c r="D1109" s="39">
        <v>0.82599999999999996</v>
      </c>
      <c r="E1109" s="37">
        <v>72</v>
      </c>
      <c r="F1109" s="37">
        <v>0</v>
      </c>
      <c r="G1109" s="37">
        <v>3</v>
      </c>
      <c r="H1109" s="40">
        <f ca="1">LEFT(Music_Data[[#This Row],[Duration_minutes]],3)/60</f>
        <v>3.4333333333333331</v>
      </c>
      <c r="I1109" s="39">
        <v>1.89E-2</v>
      </c>
      <c r="J1109" s="41" t="str">
        <f t="shared" si="17"/>
        <v>Casi nada popular</v>
      </c>
      <c r="K1109" s="43">
        <v>42108</v>
      </c>
    </row>
    <row r="1110" spans="1:11">
      <c r="A1110" s="34">
        <v>0.61599999999999999</v>
      </c>
      <c r="B1110" s="32">
        <v>114</v>
      </c>
      <c r="C1110" s="33">
        <v>0.77300000000000002</v>
      </c>
      <c r="D1110" s="34">
        <v>0.25</v>
      </c>
      <c r="E1110" s="32">
        <v>72</v>
      </c>
      <c r="F1110" s="32">
        <v>1</v>
      </c>
      <c r="G1110" s="32">
        <v>0</v>
      </c>
      <c r="H1110" s="35">
        <f ca="1">LEFT(Music_Data[[#This Row],[Duration_minutes]],3)/60</f>
        <v>2.9833333333333334</v>
      </c>
      <c r="I1110" s="34">
        <v>5.6500000000000002E-2</v>
      </c>
      <c r="J1110" s="36" t="str">
        <f t="shared" si="17"/>
        <v>Casi nada popular</v>
      </c>
      <c r="K1110" s="42">
        <v>39083</v>
      </c>
    </row>
    <row r="1111" spans="1:11">
      <c r="A1111" s="39">
        <v>0.95699999999999996</v>
      </c>
      <c r="B1111" s="37">
        <v>115</v>
      </c>
      <c r="C1111" s="38">
        <v>0.60599999999999998</v>
      </c>
      <c r="D1111" s="39">
        <v>0.60299999999999998</v>
      </c>
      <c r="E1111" s="37">
        <v>72</v>
      </c>
      <c r="F1111" s="37">
        <v>1</v>
      </c>
      <c r="G1111" s="37">
        <v>2</v>
      </c>
      <c r="H1111" s="40">
        <f ca="1">LEFT(Music_Data[[#This Row],[Duration_minutes]],3)/60</f>
        <v>3.8</v>
      </c>
      <c r="I1111" s="39">
        <v>1.17E-3</v>
      </c>
      <c r="J1111" s="41" t="str">
        <f t="shared" si="17"/>
        <v>Casi nada popular</v>
      </c>
      <c r="K1111" s="43">
        <v>45359</v>
      </c>
    </row>
    <row r="1112" spans="1:11">
      <c r="A1112" s="34">
        <v>0.79800000000000004</v>
      </c>
      <c r="B1112" s="32">
        <v>779</v>
      </c>
      <c r="C1112" s="33">
        <v>0.502</v>
      </c>
      <c r="D1112" s="34">
        <v>0.307</v>
      </c>
      <c r="E1112" s="32">
        <v>72</v>
      </c>
      <c r="F1112" s="32">
        <v>1</v>
      </c>
      <c r="G1112" s="32">
        <v>1</v>
      </c>
      <c r="H1112" s="35">
        <f ca="1">LEFT(Music_Data[[#This Row],[Duration_minutes]],3)/60</f>
        <v>4.0666666666666664</v>
      </c>
      <c r="I1112" s="34">
        <v>2.9099999999999998E-3</v>
      </c>
      <c r="J1112" s="36" t="str">
        <f t="shared" si="17"/>
        <v>Casi nada popular</v>
      </c>
      <c r="K1112" s="42">
        <v>37411</v>
      </c>
    </row>
    <row r="1113" spans="1:11">
      <c r="A1113" s="39">
        <v>0.69499999999999995</v>
      </c>
      <c r="B1113" s="37">
        <v>929</v>
      </c>
      <c r="C1113" s="38">
        <v>0.66500000000000004</v>
      </c>
      <c r="D1113" s="39">
        <v>0.70699999999999996</v>
      </c>
      <c r="E1113" s="37">
        <v>72</v>
      </c>
      <c r="F1113" s="37">
        <v>1</v>
      </c>
      <c r="G1113" s="37">
        <v>0</v>
      </c>
      <c r="H1113" s="40">
        <f ca="1">LEFT(Music_Data[[#This Row],[Duration_minutes]],3)/60</f>
        <v>3.5166666666666666</v>
      </c>
      <c r="I1113" s="39">
        <v>0.34699999999999998</v>
      </c>
      <c r="J1113" s="41" t="str">
        <f t="shared" si="17"/>
        <v>Casi nada popular</v>
      </c>
      <c r="K1113" s="43">
        <v>36172</v>
      </c>
    </row>
    <row r="1114" spans="1:11">
      <c r="A1114" s="34">
        <v>0.70499999999999996</v>
      </c>
      <c r="B1114" s="32">
        <v>127</v>
      </c>
      <c r="C1114" s="33">
        <v>0.83799999999999997</v>
      </c>
      <c r="D1114" s="34">
        <v>0.83699999999999997</v>
      </c>
      <c r="E1114" s="32">
        <v>72</v>
      </c>
      <c r="F1114" s="32">
        <v>0</v>
      </c>
      <c r="G1114" s="32">
        <v>5</v>
      </c>
      <c r="H1114" s="35">
        <f ca="1">LEFT(Music_Data[[#This Row],[Duration_minutes]],3)/60</f>
        <v>3.7</v>
      </c>
      <c r="I1114" s="34">
        <v>0.19500000000000001</v>
      </c>
      <c r="J1114" s="36" t="str">
        <f t="shared" si="17"/>
        <v>Casi nada popular</v>
      </c>
      <c r="K1114" s="42">
        <v>41943</v>
      </c>
    </row>
    <row r="1115" spans="1:11">
      <c r="A1115" s="39">
        <v>0.61799999999999999</v>
      </c>
      <c r="B1115" s="37">
        <v>139</v>
      </c>
      <c r="C1115" s="38">
        <v>0.70699999999999996</v>
      </c>
      <c r="D1115" s="39">
        <v>0.51700000000000002</v>
      </c>
      <c r="E1115" s="37">
        <v>72</v>
      </c>
      <c r="F1115" s="37">
        <v>0</v>
      </c>
      <c r="G1115" s="37">
        <v>1</v>
      </c>
      <c r="H1115" s="40">
        <f ca="1">LEFT(Music_Data[[#This Row],[Duration_minutes]],3)/60</f>
        <v>4.6333333333333337</v>
      </c>
      <c r="I1115" s="39">
        <v>0.17</v>
      </c>
      <c r="J1115" s="41" t="str">
        <f t="shared" si="17"/>
        <v>Casi nada popular</v>
      </c>
      <c r="K1115" s="43">
        <v>40840</v>
      </c>
    </row>
    <row r="1116" spans="1:11">
      <c r="A1116" s="34">
        <v>0.81</v>
      </c>
      <c r="B1116" s="32">
        <v>789</v>
      </c>
      <c r="C1116" s="33">
        <v>0.57199999999999995</v>
      </c>
      <c r="D1116" s="34">
        <v>0.11</v>
      </c>
      <c r="E1116" s="32">
        <v>72</v>
      </c>
      <c r="F1116" s="32">
        <v>0</v>
      </c>
      <c r="G1116" s="32">
        <v>1</v>
      </c>
      <c r="H1116" s="35">
        <f ca="1">LEFT(Music_Data[[#This Row],[Duration_minutes]],3)/60</f>
        <v>4.6833333333333336</v>
      </c>
      <c r="I1116" s="34">
        <v>1.5699999999999999E-2</v>
      </c>
      <c r="J1116" s="36" t="str">
        <f t="shared" si="17"/>
        <v>Casi nada popular</v>
      </c>
      <c r="K1116" s="42">
        <v>41811</v>
      </c>
    </row>
    <row r="1117" spans="1:11">
      <c r="A1117" s="39">
        <v>0.78100000000000003</v>
      </c>
      <c r="B1117" s="37">
        <v>119</v>
      </c>
      <c r="C1117" s="38">
        <v>0.751</v>
      </c>
      <c r="D1117" s="39">
        <v>0.81399999999999995</v>
      </c>
      <c r="E1117" s="37">
        <v>72</v>
      </c>
      <c r="F1117" s="37">
        <v>1</v>
      </c>
      <c r="G1117" s="37">
        <v>4</v>
      </c>
      <c r="H1117" s="40">
        <f ca="1">LEFT(Music_Data[[#This Row],[Duration_minutes]],3)/60</f>
        <v>3.95</v>
      </c>
      <c r="I1117" s="39">
        <v>3.8999999999999998E-3</v>
      </c>
      <c r="J1117" s="41" t="str">
        <f t="shared" si="17"/>
        <v>Casi nada popular</v>
      </c>
      <c r="K1117" s="43">
        <v>39448</v>
      </c>
    </row>
    <row r="1118" spans="1:11">
      <c r="A1118" s="34">
        <v>0.58599999999999997</v>
      </c>
      <c r="B1118" s="32">
        <v>111</v>
      </c>
      <c r="C1118" s="33">
        <v>0.79900000000000004</v>
      </c>
      <c r="D1118" s="34">
        <v>0.54900000000000004</v>
      </c>
      <c r="E1118" s="32">
        <v>72</v>
      </c>
      <c r="F1118" s="32">
        <v>1</v>
      </c>
      <c r="G1118" s="32">
        <v>11</v>
      </c>
      <c r="H1118" s="35">
        <f ca="1">LEFT(Music_Data[[#This Row],[Duration_minutes]],3)/60</f>
        <v>3.5833333333333335</v>
      </c>
      <c r="I1118" s="34">
        <v>0.16200000000000001</v>
      </c>
      <c r="J1118" s="36" t="str">
        <f t="shared" si="17"/>
        <v>Casi nada popular</v>
      </c>
      <c r="K1118" s="42">
        <v>43791</v>
      </c>
    </row>
    <row r="1119" spans="1:11">
      <c r="A1119" s="39">
        <v>0.72</v>
      </c>
      <c r="B1119" s="37">
        <v>949</v>
      </c>
      <c r="C1119" s="38">
        <v>0.78900000000000003</v>
      </c>
      <c r="D1119" s="39">
        <v>0.66400000000000003</v>
      </c>
      <c r="E1119" s="37">
        <v>72</v>
      </c>
      <c r="F1119" s="37">
        <v>0</v>
      </c>
      <c r="G1119" s="37">
        <v>8</v>
      </c>
      <c r="H1119" s="40">
        <f ca="1">LEFT(Music_Data[[#This Row],[Duration_minutes]],3)/60</f>
        <v>4.5</v>
      </c>
      <c r="I1119" s="39">
        <v>0.223</v>
      </c>
      <c r="J1119" s="41" t="str">
        <f t="shared" si="17"/>
        <v>Casi nada popular</v>
      </c>
      <c r="K1119" s="43">
        <v>36830</v>
      </c>
    </row>
    <row r="1120" spans="1:11">
      <c r="A1120" s="34">
        <v>0.62</v>
      </c>
      <c r="B1120" s="32">
        <v>112</v>
      </c>
      <c r="C1120" s="33">
        <v>0.79800000000000004</v>
      </c>
      <c r="D1120" s="34">
        <v>0.23499999999999999</v>
      </c>
      <c r="E1120" s="32">
        <v>72</v>
      </c>
      <c r="F1120" s="32">
        <v>0</v>
      </c>
      <c r="G1120" s="32">
        <v>8</v>
      </c>
      <c r="H1120" s="35">
        <f ca="1">LEFT(Music_Data[[#This Row],[Duration_minutes]],3)/60</f>
        <v>2.6166666666666667</v>
      </c>
      <c r="I1120" s="34">
        <v>0.41399999999999998</v>
      </c>
      <c r="J1120" s="36" t="str">
        <f t="shared" si="17"/>
        <v>Casi nada popular</v>
      </c>
      <c r="K1120" s="42">
        <v>45527</v>
      </c>
    </row>
    <row r="1121" spans="1:11">
      <c r="A1121" s="39">
        <v>0.73599999999999999</v>
      </c>
      <c r="B1121" s="37">
        <v>968</v>
      </c>
      <c r="C1121" s="38">
        <v>0.75</v>
      </c>
      <c r="D1121" s="39">
        <v>0.35499999999999998</v>
      </c>
      <c r="E1121" s="37">
        <v>72</v>
      </c>
      <c r="F1121" s="37">
        <v>0</v>
      </c>
      <c r="G1121" s="37">
        <v>5</v>
      </c>
      <c r="H1121" s="40">
        <f ca="1">LEFT(Music_Data[[#This Row],[Duration_minutes]],3)/60</f>
        <v>3.3333333333333335</v>
      </c>
      <c r="I1121" s="39">
        <v>2.0199999999999999E-2</v>
      </c>
      <c r="J1121" s="41" t="str">
        <f t="shared" si="17"/>
        <v>Casi nada popular</v>
      </c>
      <c r="K1121" s="43">
        <v>44855</v>
      </c>
    </row>
    <row r="1122" spans="1:11">
      <c r="A1122" s="34">
        <v>0.63400000000000001</v>
      </c>
      <c r="B1122" s="32">
        <v>119</v>
      </c>
      <c r="C1122" s="33">
        <v>0.502</v>
      </c>
      <c r="D1122" s="34">
        <v>0.64500000000000002</v>
      </c>
      <c r="E1122" s="32">
        <v>72</v>
      </c>
      <c r="F1122" s="32">
        <v>0</v>
      </c>
      <c r="G1122" s="32">
        <v>8</v>
      </c>
      <c r="H1122" s="35">
        <f ca="1">LEFT(Music_Data[[#This Row],[Duration_minutes]],3)/60</f>
        <v>3.6666666666666665</v>
      </c>
      <c r="I1122" s="34">
        <v>0.67700000000000005</v>
      </c>
      <c r="J1122" s="36" t="str">
        <f t="shared" si="17"/>
        <v>Casi nada popular</v>
      </c>
      <c r="K1122" s="42">
        <v>40267</v>
      </c>
    </row>
    <row r="1123" spans="1:11">
      <c r="A1123" s="39">
        <v>0.93500000000000005</v>
      </c>
      <c r="B1123" s="37">
        <v>118</v>
      </c>
      <c r="C1123" s="38">
        <v>0.57399999999999995</v>
      </c>
      <c r="D1123" s="39">
        <v>0.83599999999999997</v>
      </c>
      <c r="E1123" s="37">
        <v>72</v>
      </c>
      <c r="F1123" s="37">
        <v>1</v>
      </c>
      <c r="G1123" s="37">
        <v>1</v>
      </c>
      <c r="H1123" s="40">
        <f ca="1">LEFT(Music_Data[[#This Row],[Duration_minutes]],3)/60</f>
        <v>4.8499999999999996</v>
      </c>
      <c r="I1123" s="39">
        <v>0.112</v>
      </c>
      <c r="J1123" s="41" t="str">
        <f t="shared" si="17"/>
        <v>Casi nada popular</v>
      </c>
      <c r="K1123" s="43">
        <v>31930</v>
      </c>
    </row>
    <row r="1124" spans="1:11">
      <c r="A1124" s="34">
        <v>0.94099999999999995</v>
      </c>
      <c r="B1124" s="32">
        <v>146</v>
      </c>
      <c r="C1124" s="33">
        <v>0.57699999999999996</v>
      </c>
      <c r="D1124" s="34">
        <v>0.29199999999999998</v>
      </c>
      <c r="E1124" s="32">
        <v>72</v>
      </c>
      <c r="F1124" s="32">
        <v>1</v>
      </c>
      <c r="G1124" s="32">
        <v>1</v>
      </c>
      <c r="H1124" s="35">
        <f ca="1">LEFT(Music_Data[[#This Row],[Duration_minutes]],3)/60</f>
        <v>2.95</v>
      </c>
      <c r="I1124" s="34">
        <v>2.0699999999999998E-3</v>
      </c>
      <c r="J1124" s="36" t="str">
        <f t="shared" si="17"/>
        <v>Casi nada popular</v>
      </c>
      <c r="K1124" s="42">
        <v>44757</v>
      </c>
    </row>
    <row r="1125" spans="1:11">
      <c r="A1125" s="39">
        <v>0.69499999999999995</v>
      </c>
      <c r="B1125" s="37">
        <v>127</v>
      </c>
      <c r="C1125" s="38">
        <v>0.437</v>
      </c>
      <c r="D1125" s="39">
        <v>0.41299999999999998</v>
      </c>
      <c r="E1125" s="37">
        <v>72</v>
      </c>
      <c r="F1125" s="37">
        <v>1</v>
      </c>
      <c r="G1125" s="37">
        <v>7</v>
      </c>
      <c r="H1125" s="40">
        <f ca="1">LEFT(Music_Data[[#This Row],[Duration_minutes]],3)/60</f>
        <v>4.8166666666666664</v>
      </c>
      <c r="I1125" s="39">
        <v>1.1100000000000001E-3</v>
      </c>
      <c r="J1125" s="41" t="str">
        <f t="shared" si="17"/>
        <v>Casi nada popular</v>
      </c>
      <c r="K1125" s="43">
        <v>39814</v>
      </c>
    </row>
    <row r="1126" spans="1:11">
      <c r="A1126" s="34">
        <v>0.62</v>
      </c>
      <c r="B1126" s="32">
        <v>119</v>
      </c>
      <c r="C1126" s="33">
        <v>0.9</v>
      </c>
      <c r="D1126" s="34">
        <v>0.86699999999999999</v>
      </c>
      <c r="E1126" s="32">
        <v>72</v>
      </c>
      <c r="F1126" s="32">
        <v>0</v>
      </c>
      <c r="G1126" s="32">
        <v>4</v>
      </c>
      <c r="H1126" s="35">
        <f ca="1">LEFT(Music_Data[[#This Row],[Duration_minutes]],3)/60</f>
        <v>2.1666666666666665</v>
      </c>
      <c r="I1126" s="34">
        <v>0.2</v>
      </c>
      <c r="J1126" s="36" t="str">
        <f t="shared" si="17"/>
        <v>Casi nada popular</v>
      </c>
      <c r="K1126" s="42">
        <v>21156</v>
      </c>
    </row>
    <row r="1127" spans="1:11">
      <c r="A1127" s="39">
        <v>0.51400000000000001</v>
      </c>
      <c r="B1127" s="37">
        <v>113</v>
      </c>
      <c r="C1127" s="38">
        <v>0.51200000000000001</v>
      </c>
      <c r="D1127" s="39">
        <v>0.56499999999999995</v>
      </c>
      <c r="E1127" s="37">
        <v>72</v>
      </c>
      <c r="F1127" s="37">
        <v>0</v>
      </c>
      <c r="G1127" s="37">
        <v>11</v>
      </c>
      <c r="H1127" s="40">
        <f ca="1">LEFT(Music_Data[[#This Row],[Duration_minutes]],3)/60</f>
        <v>4.1833333333333336</v>
      </c>
      <c r="I1127" s="39">
        <v>0.55500000000000005</v>
      </c>
      <c r="J1127" s="41" t="str">
        <f t="shared" si="17"/>
        <v>Casi nada popular</v>
      </c>
      <c r="K1127" s="43">
        <v>39380</v>
      </c>
    </row>
    <row r="1128" spans="1:11">
      <c r="A1128" s="34">
        <v>0.88400000000000001</v>
      </c>
      <c r="B1128" s="32">
        <v>106</v>
      </c>
      <c r="C1128" s="33">
        <v>0.84499999999999997</v>
      </c>
      <c r="D1128" s="34">
        <v>0.90400000000000003</v>
      </c>
      <c r="E1128" s="32">
        <v>72</v>
      </c>
      <c r="F1128" s="32">
        <v>0</v>
      </c>
      <c r="G1128" s="32">
        <v>6</v>
      </c>
      <c r="H1128" s="35">
        <f ca="1">LEFT(Music_Data[[#This Row],[Duration_minutes]],3)/60</f>
        <v>3.75</v>
      </c>
      <c r="I1128" s="34">
        <v>1.2800000000000001E-2</v>
      </c>
      <c r="J1128" s="36" t="str">
        <f t="shared" si="17"/>
        <v>Casi nada popular</v>
      </c>
      <c r="K1128" s="42">
        <v>42691</v>
      </c>
    </row>
    <row r="1129" spans="1:11">
      <c r="A1129" s="39">
        <v>0.80200000000000005</v>
      </c>
      <c r="B1129" s="37">
        <v>139</v>
      </c>
      <c r="C1129" s="38">
        <v>0.49099999999999999</v>
      </c>
      <c r="D1129" s="39">
        <v>0.47199999999999998</v>
      </c>
      <c r="E1129" s="37">
        <v>72</v>
      </c>
      <c r="F1129" s="37">
        <v>1</v>
      </c>
      <c r="G1129" s="37">
        <v>4</v>
      </c>
      <c r="H1129" s="40">
        <f ca="1">LEFT(Music_Data[[#This Row],[Duration_minutes]],3)/60</f>
        <v>3.6</v>
      </c>
      <c r="I1129" s="39">
        <v>0.25</v>
      </c>
      <c r="J1129" s="41" t="str">
        <f t="shared" si="17"/>
        <v>Casi nada popular</v>
      </c>
      <c r="K1129" s="43">
        <v>30991</v>
      </c>
    </row>
    <row r="1130" spans="1:11">
      <c r="A1130" s="34">
        <v>0.75800000000000001</v>
      </c>
      <c r="B1130" s="32">
        <v>120</v>
      </c>
      <c r="C1130" s="33">
        <v>0.48899999999999999</v>
      </c>
      <c r="D1130" s="34">
        <v>0.435</v>
      </c>
      <c r="E1130" s="32">
        <v>72</v>
      </c>
      <c r="F1130" s="32">
        <v>1</v>
      </c>
      <c r="G1130" s="32">
        <v>7</v>
      </c>
      <c r="H1130" s="35">
        <f ca="1">LEFT(Music_Data[[#This Row],[Duration_minutes]],3)/60</f>
        <v>3.2166666666666668</v>
      </c>
      <c r="I1130" s="34">
        <v>6.78E-4</v>
      </c>
      <c r="J1130" s="36" t="str">
        <f t="shared" si="17"/>
        <v>Casi nada popular</v>
      </c>
      <c r="K1130" s="42">
        <v>40909</v>
      </c>
    </row>
    <row r="1131" spans="1:11">
      <c r="A1131" s="39">
        <v>0.95199999999999996</v>
      </c>
      <c r="B1131" s="37">
        <v>120</v>
      </c>
      <c r="C1131" s="38">
        <v>0.39800000000000002</v>
      </c>
      <c r="D1131" s="39">
        <v>0.58399999999999996</v>
      </c>
      <c r="E1131" s="37">
        <v>72</v>
      </c>
      <c r="F1131" s="37">
        <v>1</v>
      </c>
      <c r="G1131" s="37">
        <v>4</v>
      </c>
      <c r="H1131" s="40">
        <f ca="1">LEFT(Music_Data[[#This Row],[Duration_minutes]],3)/60</f>
        <v>3.9666666666666668</v>
      </c>
      <c r="I1131" s="39">
        <v>3.7300000000000001E-4</v>
      </c>
      <c r="J1131" s="41" t="str">
        <f t="shared" si="17"/>
        <v>Casi nada popular</v>
      </c>
      <c r="K1131" s="43">
        <v>30603</v>
      </c>
    </row>
    <row r="1132" spans="1:11">
      <c r="A1132" s="34">
        <v>0.95299999999999996</v>
      </c>
      <c r="B1132" s="32">
        <v>126</v>
      </c>
      <c r="C1132" s="33">
        <v>0.26700000000000002</v>
      </c>
      <c r="D1132" s="34">
        <v>0.56799999999999995</v>
      </c>
      <c r="E1132" s="32">
        <v>72</v>
      </c>
      <c r="F1132" s="32">
        <v>0</v>
      </c>
      <c r="G1132" s="32">
        <v>1</v>
      </c>
      <c r="H1132" s="35">
        <f ca="1">LEFT(Music_Data[[#This Row],[Duration_minutes]],3)/60</f>
        <v>4.083333333333333</v>
      </c>
      <c r="I1132" s="34">
        <v>2.1099999999999999E-3</v>
      </c>
      <c r="J1132" s="36" t="str">
        <f t="shared" si="17"/>
        <v>Casi nada popular</v>
      </c>
      <c r="K1132" s="42">
        <v>41250</v>
      </c>
    </row>
    <row r="1133" spans="1:11">
      <c r="A1133" s="39">
        <v>0.80300000000000005</v>
      </c>
      <c r="B1133" s="37">
        <v>110</v>
      </c>
      <c r="C1133" s="38">
        <v>0.253</v>
      </c>
      <c r="D1133" s="39">
        <v>0.25800000000000001</v>
      </c>
      <c r="E1133" s="37">
        <v>72</v>
      </c>
      <c r="F1133" s="37">
        <v>1</v>
      </c>
      <c r="G1133" s="37">
        <v>7</v>
      </c>
      <c r="H1133" s="40">
        <f ca="1">LEFT(Music_Data[[#This Row],[Duration_minutes]],3)/60</f>
        <v>2.9333333333333331</v>
      </c>
      <c r="I1133" s="39">
        <v>0.129</v>
      </c>
      <c r="J1133" s="41" t="str">
        <f t="shared" si="17"/>
        <v>Casi nada popular</v>
      </c>
      <c r="K1133" s="43">
        <v>45071</v>
      </c>
    </row>
    <row r="1134" spans="1:11">
      <c r="A1134" s="34">
        <v>0.97799999999999998</v>
      </c>
      <c r="B1134" s="32">
        <v>899</v>
      </c>
      <c r="C1134" s="33">
        <v>0.52600000000000002</v>
      </c>
      <c r="D1134" s="34">
        <v>0.45100000000000001</v>
      </c>
      <c r="E1134" s="32">
        <v>72</v>
      </c>
      <c r="F1134" s="32">
        <v>1</v>
      </c>
      <c r="G1134" s="32">
        <v>8</v>
      </c>
      <c r="H1134" s="35">
        <f ca="1">LEFT(Music_Data[[#This Row],[Duration_minutes]],3)/60</f>
        <v>3.5</v>
      </c>
      <c r="I1134" s="34">
        <v>1.2199999999999999E-3</v>
      </c>
      <c r="J1134" s="36" t="str">
        <f t="shared" si="17"/>
        <v>Casi nada popular</v>
      </c>
      <c r="K1134" s="42">
        <v>40858</v>
      </c>
    </row>
    <row r="1135" spans="1:11">
      <c r="A1135" s="39">
        <v>0.89900000000000002</v>
      </c>
      <c r="B1135" s="37">
        <v>117</v>
      </c>
      <c r="C1135" s="38">
        <v>0.47499999999999998</v>
      </c>
      <c r="D1135" s="39">
        <v>0.60299999999999998</v>
      </c>
      <c r="E1135" s="37">
        <v>72</v>
      </c>
      <c r="F1135" s="37">
        <v>0</v>
      </c>
      <c r="G1135" s="37">
        <v>9</v>
      </c>
      <c r="H1135" s="40">
        <f ca="1">LEFT(Music_Data[[#This Row],[Duration_minutes]],3)/60</f>
        <v>4.0333333333333332</v>
      </c>
      <c r="I1135" s="39">
        <v>3.7499999999999999E-3</v>
      </c>
      <c r="J1135" s="41" t="str">
        <f t="shared" si="17"/>
        <v>Casi nada popular</v>
      </c>
      <c r="K1135" s="43">
        <v>38972</v>
      </c>
    </row>
    <row r="1136" spans="1:11">
      <c r="A1136" s="34">
        <v>0.747</v>
      </c>
      <c r="B1136" s="32">
        <v>755</v>
      </c>
      <c r="C1136" s="33">
        <v>0.745</v>
      </c>
      <c r="D1136" s="34">
        <v>0.36299999999999999</v>
      </c>
      <c r="E1136" s="32">
        <v>72</v>
      </c>
      <c r="F1136" s="32">
        <v>0</v>
      </c>
      <c r="G1136" s="32">
        <v>11</v>
      </c>
      <c r="H1136" s="35">
        <f ca="1">LEFT(Music_Data[[#This Row],[Duration_minutes]],3)/60</f>
        <v>3.0333333333333332</v>
      </c>
      <c r="I1136" s="34">
        <v>7.3000000000000001E-3</v>
      </c>
      <c r="J1136" s="36" t="str">
        <f t="shared" si="17"/>
        <v>Casi nada popular</v>
      </c>
      <c r="K1136" s="42">
        <v>42860</v>
      </c>
    </row>
    <row r="1137" spans="1:11">
      <c r="A1137" s="39">
        <v>0.59699999999999998</v>
      </c>
      <c r="B1137" s="37">
        <v>102</v>
      </c>
      <c r="C1137" s="38">
        <v>0.77</v>
      </c>
      <c r="D1137" s="39">
        <v>0.875</v>
      </c>
      <c r="E1137" s="37">
        <v>72</v>
      </c>
      <c r="F1137" s="37">
        <v>1</v>
      </c>
      <c r="G1137" s="37">
        <v>1</v>
      </c>
      <c r="H1137" s="40">
        <f ca="1">LEFT(Music_Data[[#This Row],[Duration_minutes]],3)/60</f>
        <v>4.3166666666666664</v>
      </c>
      <c r="I1137" s="39">
        <v>0.53</v>
      </c>
      <c r="J1137" s="41" t="str">
        <f t="shared" si="17"/>
        <v>Casi nada popular</v>
      </c>
      <c r="K1137" s="43">
        <v>2002</v>
      </c>
    </row>
    <row r="1138" spans="1:11">
      <c r="A1138" s="34">
        <v>0.59799999999999998</v>
      </c>
      <c r="B1138" s="32">
        <v>102</v>
      </c>
      <c r="C1138" s="33">
        <v>0.73299999999999998</v>
      </c>
      <c r="D1138" s="34">
        <v>0.93500000000000005</v>
      </c>
      <c r="E1138" s="32">
        <v>72</v>
      </c>
      <c r="F1138" s="32">
        <v>1</v>
      </c>
      <c r="G1138" s="32">
        <v>2</v>
      </c>
      <c r="H1138" s="35">
        <f ca="1">LEFT(Music_Data[[#This Row],[Duration_minutes]],3)/60</f>
        <v>3.6833333333333331</v>
      </c>
      <c r="I1138" s="34">
        <v>0.21199999999999999</v>
      </c>
      <c r="J1138" s="36" t="str">
        <f t="shared" si="17"/>
        <v>Casi nada popular</v>
      </c>
      <c r="K1138" s="42">
        <v>43280</v>
      </c>
    </row>
    <row r="1139" spans="1:11">
      <c r="A1139" s="39">
        <v>0.88800000000000001</v>
      </c>
      <c r="B1139" s="37">
        <v>159</v>
      </c>
      <c r="C1139" s="38">
        <v>0.61699999999999999</v>
      </c>
      <c r="D1139" s="39">
        <v>0.77100000000000002</v>
      </c>
      <c r="E1139" s="37">
        <v>72</v>
      </c>
      <c r="F1139" s="37">
        <v>1</v>
      </c>
      <c r="G1139" s="37">
        <v>4</v>
      </c>
      <c r="H1139" s="40">
        <f ca="1">LEFT(Music_Data[[#This Row],[Duration_minutes]],3)/60</f>
        <v>3.4666666666666668</v>
      </c>
      <c r="I1139" s="39">
        <v>7.0499999999999993E-2</v>
      </c>
      <c r="J1139" s="41" t="str">
        <f t="shared" si="17"/>
        <v>Casi nada popular</v>
      </c>
      <c r="K1139" s="43">
        <v>42405</v>
      </c>
    </row>
    <row r="1140" spans="1:11">
      <c r="A1140" s="34">
        <v>0.34699999999999998</v>
      </c>
      <c r="B1140" s="32">
        <v>790</v>
      </c>
      <c r="C1140" s="33">
        <v>0.88400000000000001</v>
      </c>
      <c r="D1140" s="34">
        <v>0.376</v>
      </c>
      <c r="E1140" s="32">
        <v>72</v>
      </c>
      <c r="F1140" s="32">
        <v>0</v>
      </c>
      <c r="G1140" s="32">
        <v>8</v>
      </c>
      <c r="H1140" s="35">
        <f ca="1">LEFT(Music_Data[[#This Row],[Duration_minutes]],3)/60</f>
        <v>4.3166666666666664</v>
      </c>
      <c r="I1140" s="34">
        <v>1.4999999999999999E-2</v>
      </c>
      <c r="J1140" s="36" t="str">
        <f t="shared" si="17"/>
        <v>Casi nada popular</v>
      </c>
      <c r="K1140" s="42">
        <v>36977</v>
      </c>
    </row>
    <row r="1141" spans="1:11">
      <c r="A1141" s="39">
        <v>0.61899999999999999</v>
      </c>
      <c r="B1141" s="37">
        <v>950</v>
      </c>
      <c r="C1141" s="38">
        <v>0.96199999999999997</v>
      </c>
      <c r="D1141" s="39">
        <v>0.154</v>
      </c>
      <c r="E1141" s="37">
        <v>72</v>
      </c>
      <c r="F1141" s="37">
        <v>0</v>
      </c>
      <c r="G1141" s="37">
        <v>10</v>
      </c>
      <c r="H1141" s="40">
        <f ca="1">LEFT(Music_Data[[#This Row],[Duration_minutes]],3)/60</f>
        <v>3.5166666666666666</v>
      </c>
      <c r="I1141" s="39">
        <v>3.5400000000000001E-2</v>
      </c>
      <c r="J1141" s="41" t="str">
        <f t="shared" si="17"/>
        <v>Casi nada popular</v>
      </c>
      <c r="K1141" s="43">
        <v>36662</v>
      </c>
    </row>
    <row r="1142" spans="1:11">
      <c r="A1142" s="34">
        <v>0.46300000000000002</v>
      </c>
      <c r="B1142" s="32">
        <v>128</v>
      </c>
      <c r="C1142" s="33">
        <v>0.97</v>
      </c>
      <c r="D1142" s="34">
        <v>0.46</v>
      </c>
      <c r="E1142" s="32">
        <v>72</v>
      </c>
      <c r="F1142" s="32">
        <v>1</v>
      </c>
      <c r="G1142" s="32">
        <v>10</v>
      </c>
      <c r="H1142" s="35">
        <f ca="1">LEFT(Music_Data[[#This Row],[Duration_minutes]],3)/60</f>
        <v>3.5333333333333332</v>
      </c>
      <c r="I1142" s="34">
        <v>9.5699999999999993E-2</v>
      </c>
      <c r="J1142" s="36" t="str">
        <f t="shared" si="17"/>
        <v>Casi nada popular</v>
      </c>
      <c r="K1142" s="42">
        <v>41943</v>
      </c>
    </row>
    <row r="1143" spans="1:11">
      <c r="A1143" s="39">
        <v>0.63400000000000001</v>
      </c>
      <c r="B1143" s="37">
        <v>116</v>
      </c>
      <c r="C1143" s="38">
        <v>0.502</v>
      </c>
      <c r="D1143" s="39">
        <v>0.64500000000000002</v>
      </c>
      <c r="E1143" s="37">
        <v>72</v>
      </c>
      <c r="F1143" s="37">
        <v>0</v>
      </c>
      <c r="G1143" s="37">
        <v>8</v>
      </c>
      <c r="H1143" s="40">
        <f ca="1">LEFT(Music_Data[[#This Row],[Duration_minutes]],3)/60</f>
        <v>3.3666666666666667</v>
      </c>
      <c r="I1143" s="39">
        <v>0.67700000000000005</v>
      </c>
      <c r="J1143" s="41" t="str">
        <f t="shared" si="17"/>
        <v>Casi nada popular</v>
      </c>
      <c r="K1143" s="43">
        <v>44421</v>
      </c>
    </row>
    <row r="1144" spans="1:11">
      <c r="A1144" s="34">
        <v>0.54100000000000004</v>
      </c>
      <c r="B1144" s="32">
        <v>890</v>
      </c>
      <c r="C1144" s="33">
        <v>0.71599999999999997</v>
      </c>
      <c r="D1144" s="34">
        <v>0.38700000000000001</v>
      </c>
      <c r="E1144" s="32">
        <v>72</v>
      </c>
      <c r="F1144" s="32">
        <v>1</v>
      </c>
      <c r="G1144" s="32">
        <v>1</v>
      </c>
      <c r="H1144" s="35">
        <f ca="1">LEFT(Music_Data[[#This Row],[Duration_minutes]],3)/60</f>
        <v>3.3</v>
      </c>
      <c r="I1144" s="34">
        <v>2.0999999999999999E-3</v>
      </c>
      <c r="J1144" s="36" t="str">
        <f t="shared" si="17"/>
        <v>Casi nada popular</v>
      </c>
      <c r="K1144" s="42">
        <v>43917</v>
      </c>
    </row>
    <row r="1145" spans="1:11">
      <c r="A1145" s="39">
        <v>0.58799999999999997</v>
      </c>
      <c r="B1145" s="37">
        <v>125</v>
      </c>
      <c r="C1145" s="38">
        <v>0.49099999999999999</v>
      </c>
      <c r="D1145" s="39">
        <v>0.193</v>
      </c>
      <c r="E1145" s="37">
        <v>72</v>
      </c>
      <c r="F1145" s="37">
        <v>1</v>
      </c>
      <c r="G1145" s="37">
        <v>1</v>
      </c>
      <c r="H1145" s="40">
        <f ca="1">LEFT(Music_Data[[#This Row],[Duration_minutes]],3)/60</f>
        <v>3.4166666666666665</v>
      </c>
      <c r="I1145" s="39">
        <v>2.81E-2</v>
      </c>
      <c r="J1145" s="41" t="str">
        <f t="shared" si="17"/>
        <v>Casi nada popular</v>
      </c>
      <c r="K1145" s="43">
        <v>42321</v>
      </c>
    </row>
    <row r="1146" spans="1:11">
      <c r="A1146" s="34">
        <v>0.71</v>
      </c>
      <c r="B1146" s="32">
        <v>118</v>
      </c>
      <c r="C1146" s="33">
        <v>0.5</v>
      </c>
      <c r="D1146" s="34">
        <v>0.41899999999999998</v>
      </c>
      <c r="E1146" s="32">
        <v>72</v>
      </c>
      <c r="F1146" s="32">
        <v>1</v>
      </c>
      <c r="G1146" s="32">
        <v>3</v>
      </c>
      <c r="H1146" s="35">
        <f ca="1">LEFT(Music_Data[[#This Row],[Duration_minutes]],3)/60</f>
        <v>4.0166666666666666</v>
      </c>
      <c r="I1146" s="34">
        <v>0.19</v>
      </c>
      <c r="J1146" s="36" t="str">
        <f t="shared" si="17"/>
        <v>Casi nada popular</v>
      </c>
      <c r="K1146" s="42">
        <v>39448</v>
      </c>
    </row>
    <row r="1147" spans="1:11">
      <c r="A1147" s="39">
        <v>0.44500000000000001</v>
      </c>
      <c r="B1147" s="37">
        <v>184</v>
      </c>
      <c r="C1147" s="38">
        <v>0.28599999999999998</v>
      </c>
      <c r="D1147" s="39">
        <v>0.27800000000000002</v>
      </c>
      <c r="E1147" s="37">
        <v>72</v>
      </c>
      <c r="F1147" s="37">
        <v>1</v>
      </c>
      <c r="G1147" s="37">
        <v>6</v>
      </c>
      <c r="H1147" s="40">
        <f ca="1">LEFT(Music_Data[[#This Row],[Duration_minutes]],3)/60</f>
        <v>3.1666666666666665</v>
      </c>
      <c r="I1147" s="39">
        <v>0.35499999999999998</v>
      </c>
      <c r="J1147" s="41" t="str">
        <f t="shared" si="17"/>
        <v>Casi nada popular</v>
      </c>
      <c r="K1147" s="43">
        <v>45611</v>
      </c>
    </row>
    <row r="1148" spans="1:11">
      <c r="A1148" s="34">
        <v>0.41499999999999998</v>
      </c>
      <c r="B1148" s="32">
        <v>119</v>
      </c>
      <c r="C1148" s="33">
        <v>0.72799999999999998</v>
      </c>
      <c r="D1148" s="34">
        <v>0.45500000000000002</v>
      </c>
      <c r="E1148" s="32">
        <v>72</v>
      </c>
      <c r="F1148" s="32">
        <v>1</v>
      </c>
      <c r="G1148" s="32">
        <v>8</v>
      </c>
      <c r="H1148" s="35">
        <f ca="1">LEFT(Music_Data[[#This Row],[Duration_minutes]],3)/60</f>
        <v>3.95</v>
      </c>
      <c r="I1148" s="34">
        <v>0.40100000000000002</v>
      </c>
      <c r="J1148" s="36" t="str">
        <f t="shared" si="17"/>
        <v>Casi nada popular</v>
      </c>
      <c r="K1148" s="42">
        <v>42461</v>
      </c>
    </row>
    <row r="1149" spans="1:11">
      <c r="A1149" s="39">
        <v>0.63200000000000001</v>
      </c>
      <c r="B1149" s="37">
        <v>128</v>
      </c>
      <c r="C1149" s="38">
        <v>0.49399999999999999</v>
      </c>
      <c r="D1149" s="39">
        <v>7.9699999999999993E-2</v>
      </c>
      <c r="E1149" s="37">
        <v>72</v>
      </c>
      <c r="F1149" s="37">
        <v>1</v>
      </c>
      <c r="G1149" s="37">
        <v>5</v>
      </c>
      <c r="H1149" s="40">
        <f ca="1">LEFT(Music_Data[[#This Row],[Duration_minutes]],3)/60</f>
        <v>3.35</v>
      </c>
      <c r="I1149" s="39">
        <v>0.68200000000000005</v>
      </c>
      <c r="J1149" s="41" t="str">
        <f t="shared" si="17"/>
        <v>Casi nada popular</v>
      </c>
      <c r="K1149" s="43">
        <v>2010</v>
      </c>
    </row>
    <row r="1150" spans="1:11">
      <c r="A1150" s="34">
        <v>0.47299999999999998</v>
      </c>
      <c r="B1150" s="32">
        <v>139</v>
      </c>
      <c r="C1150" s="33">
        <v>0.46400000000000002</v>
      </c>
      <c r="D1150" s="34">
        <v>0.60399999999999998</v>
      </c>
      <c r="E1150" s="32">
        <v>72</v>
      </c>
      <c r="F1150" s="32">
        <v>1</v>
      </c>
      <c r="G1150" s="32">
        <v>1</v>
      </c>
      <c r="H1150" s="35">
        <f ca="1">LEFT(Music_Data[[#This Row],[Duration_minutes]],3)/60</f>
        <v>2.4666666666666668</v>
      </c>
      <c r="I1150" s="34">
        <v>0.86599999999999999</v>
      </c>
      <c r="J1150" s="36" t="str">
        <f t="shared" si="17"/>
        <v>Casi nada popular</v>
      </c>
      <c r="K1150" s="42">
        <v>44694</v>
      </c>
    </row>
    <row r="1151" spans="1:11">
      <c r="A1151" s="39">
        <v>0.98499999999999999</v>
      </c>
      <c r="B1151" s="37">
        <v>103</v>
      </c>
      <c r="C1151" s="38">
        <v>0.80100000000000005</v>
      </c>
      <c r="D1151" s="39">
        <v>0.72</v>
      </c>
      <c r="E1151" s="37">
        <v>72</v>
      </c>
      <c r="F1151" s="37">
        <v>1</v>
      </c>
      <c r="G1151" s="37">
        <v>7</v>
      </c>
      <c r="H1151" s="40">
        <f ca="1">LEFT(Music_Data[[#This Row],[Duration_minutes]],3)/60</f>
        <v>4.1166666666666663</v>
      </c>
      <c r="I1151" s="39">
        <v>2.0500000000000001E-2</v>
      </c>
      <c r="J1151" s="41" t="str">
        <f t="shared" si="17"/>
        <v>Casi nada popular</v>
      </c>
      <c r="K1151" s="43">
        <v>41170</v>
      </c>
    </row>
    <row r="1152" spans="1:11">
      <c r="A1152" s="34">
        <v>0.876</v>
      </c>
      <c r="B1152" s="32">
        <v>122</v>
      </c>
      <c r="C1152" s="33">
        <v>0.66600000000000004</v>
      </c>
      <c r="D1152" s="34">
        <v>0.55200000000000005</v>
      </c>
      <c r="E1152" s="32">
        <v>72</v>
      </c>
      <c r="F1152" s="32">
        <v>1</v>
      </c>
      <c r="G1152" s="32">
        <v>3</v>
      </c>
      <c r="H1152" s="35">
        <f ca="1">LEFT(Music_Data[[#This Row],[Duration_minutes]],3)/60</f>
        <v>4.45</v>
      </c>
      <c r="I1152" s="34">
        <v>5.5E-2</v>
      </c>
      <c r="J1152" s="36" t="str">
        <f t="shared" si="17"/>
        <v>Casi nada popular</v>
      </c>
      <c r="K1152" s="42">
        <v>39601</v>
      </c>
    </row>
    <row r="1153" spans="1:11">
      <c r="A1153" s="39">
        <v>0.76</v>
      </c>
      <c r="B1153" s="37">
        <v>144</v>
      </c>
      <c r="C1153" s="38">
        <v>0.70199999999999996</v>
      </c>
      <c r="D1153" s="39">
        <v>0.69599999999999995</v>
      </c>
      <c r="E1153" s="37">
        <v>72</v>
      </c>
      <c r="F1153" s="37">
        <v>1</v>
      </c>
      <c r="G1153" s="37">
        <v>5</v>
      </c>
      <c r="H1153" s="40">
        <f ca="1">LEFT(Music_Data[[#This Row],[Duration_minutes]],3)/60</f>
        <v>2.5499999999999998</v>
      </c>
      <c r="I1153" s="39">
        <v>2.2599999999999999E-3</v>
      </c>
      <c r="J1153" s="41" t="str">
        <f t="shared" si="17"/>
        <v>Casi nada popular</v>
      </c>
      <c r="K1153" s="43">
        <v>1981</v>
      </c>
    </row>
    <row r="1154" spans="1:11">
      <c r="A1154" s="34">
        <v>0.81</v>
      </c>
      <c r="B1154" s="32">
        <v>110</v>
      </c>
      <c r="C1154" s="33">
        <v>0.57199999999999995</v>
      </c>
      <c r="D1154" s="34">
        <v>0.11</v>
      </c>
      <c r="E1154" s="32">
        <v>72</v>
      </c>
      <c r="F1154" s="32">
        <v>0</v>
      </c>
      <c r="G1154" s="32">
        <v>1</v>
      </c>
      <c r="H1154" s="35">
        <f ca="1">LEFT(Music_Data[[#This Row],[Duration_minutes]],3)/60</f>
        <v>2.8833333333333333</v>
      </c>
      <c r="I1154" s="34">
        <v>1.5699999999999999E-2</v>
      </c>
      <c r="J1154" s="36" t="str">
        <f t="shared" si="17"/>
        <v>Casi nada popular</v>
      </c>
      <c r="K1154" s="42">
        <v>35065</v>
      </c>
    </row>
    <row r="1155" spans="1:11">
      <c r="A1155" s="39">
        <v>0.78100000000000003</v>
      </c>
      <c r="B1155" s="37">
        <v>104</v>
      </c>
      <c r="C1155" s="38">
        <v>0.751</v>
      </c>
      <c r="D1155" s="39">
        <v>0.81399999999999995</v>
      </c>
      <c r="E1155" s="37">
        <v>72</v>
      </c>
      <c r="F1155" s="37">
        <v>1</v>
      </c>
      <c r="G1155" s="37">
        <v>4</v>
      </c>
      <c r="H1155" s="40">
        <f ca="1">LEFT(Music_Data[[#This Row],[Duration_minutes]],3)/60</f>
        <v>3.0166666666666666</v>
      </c>
      <c r="I1155" s="39">
        <v>3.8999999999999998E-3</v>
      </c>
      <c r="J1155" s="41" t="str">
        <f t="shared" si="17"/>
        <v>Casi nada popular</v>
      </c>
      <c r="K1155" s="43">
        <v>45610</v>
      </c>
    </row>
    <row r="1156" spans="1:11">
      <c r="A1156" s="34">
        <v>0.95199999999999996</v>
      </c>
      <c r="B1156" s="32">
        <v>125</v>
      </c>
      <c r="C1156" s="33">
        <v>0.39800000000000002</v>
      </c>
      <c r="D1156" s="34">
        <v>0.58399999999999996</v>
      </c>
      <c r="E1156" s="32">
        <v>72</v>
      </c>
      <c r="F1156" s="32">
        <v>1</v>
      </c>
      <c r="G1156" s="32">
        <v>4</v>
      </c>
      <c r="H1156" s="35">
        <f ca="1">LEFT(Music_Data[[#This Row],[Duration_minutes]],3)/60</f>
        <v>3.4833333333333334</v>
      </c>
      <c r="I1156" s="34">
        <v>3.7300000000000001E-4</v>
      </c>
      <c r="J1156" s="36" t="str">
        <f t="shared" ref="J1156:J1219" si="18">IF(E1156&gt;=94,"Muy Popular",IF(E1156&gt;=86,"Popular",IF(E1156&gt;=78,"No muy popular","Casi nada popular")))</f>
        <v>Casi nada popular</v>
      </c>
      <c r="K1156" s="42">
        <v>38414</v>
      </c>
    </row>
    <row r="1157" spans="1:11">
      <c r="A1157" s="39">
        <v>0.53400000000000003</v>
      </c>
      <c r="B1157" s="37">
        <v>119</v>
      </c>
      <c r="C1157" s="38">
        <v>0.877</v>
      </c>
      <c r="D1157" s="39">
        <v>0.89</v>
      </c>
      <c r="E1157" s="37">
        <v>72</v>
      </c>
      <c r="F1157" s="37">
        <v>1</v>
      </c>
      <c r="G1157" s="37">
        <v>1</v>
      </c>
      <c r="H1157" s="40">
        <f ca="1">LEFT(Music_Data[[#This Row],[Duration_minutes]],3)/60</f>
        <v>4.8666666666666663</v>
      </c>
      <c r="I1157" s="39">
        <v>3.39E-2</v>
      </c>
      <c r="J1157" s="41" t="str">
        <f t="shared" si="18"/>
        <v>Casi nada popular</v>
      </c>
      <c r="K1157" s="43">
        <v>1979</v>
      </c>
    </row>
    <row r="1158" spans="1:11">
      <c r="A1158" s="34">
        <v>0.83799999999999997</v>
      </c>
      <c r="B1158" s="32">
        <v>178</v>
      </c>
      <c r="C1158" s="33">
        <v>0.83199999999999996</v>
      </c>
      <c r="D1158" s="34">
        <v>0.96499999999999997</v>
      </c>
      <c r="E1158" s="32">
        <v>72</v>
      </c>
      <c r="F1158" s="32">
        <v>0</v>
      </c>
      <c r="G1158" s="32">
        <v>1</v>
      </c>
      <c r="H1158" s="35">
        <f ca="1">LEFT(Music_Data[[#This Row],[Duration_minutes]],3)/60</f>
        <v>3.8</v>
      </c>
      <c r="I1158" s="34">
        <v>7.9100000000000004E-2</v>
      </c>
      <c r="J1158" s="36" t="str">
        <f t="shared" si="18"/>
        <v>Casi nada popular</v>
      </c>
      <c r="K1158" s="42">
        <v>43959</v>
      </c>
    </row>
    <row r="1159" spans="1:11">
      <c r="A1159" s="39">
        <v>0.86799999999999999</v>
      </c>
      <c r="B1159" s="37">
        <v>127</v>
      </c>
      <c r="C1159" s="38">
        <v>0.70399999999999996</v>
      </c>
      <c r="D1159" s="39">
        <v>0.80800000000000005</v>
      </c>
      <c r="E1159" s="37">
        <v>72</v>
      </c>
      <c r="F1159" s="37">
        <v>1</v>
      </c>
      <c r="G1159" s="37">
        <v>2</v>
      </c>
      <c r="H1159" s="40">
        <f ca="1">LEFT(Music_Data[[#This Row],[Duration_minutes]],3)/60</f>
        <v>3.8333333333333335</v>
      </c>
      <c r="I1159" s="39">
        <v>8.3400000000000002E-2</v>
      </c>
      <c r="J1159" s="41" t="str">
        <f t="shared" si="18"/>
        <v>Casi nada popular</v>
      </c>
      <c r="K1159" s="43">
        <v>42279</v>
      </c>
    </row>
    <row r="1160" spans="1:11">
      <c r="A1160" s="34">
        <v>0.66200000000000003</v>
      </c>
      <c r="B1160" s="32">
        <v>144</v>
      </c>
      <c r="C1160" s="33">
        <v>0.72899999999999998</v>
      </c>
      <c r="D1160" s="34">
        <v>0.35899999999999999</v>
      </c>
      <c r="E1160" s="32">
        <v>72</v>
      </c>
      <c r="F1160" s="32">
        <v>0</v>
      </c>
      <c r="G1160" s="32">
        <v>5</v>
      </c>
      <c r="H1160" s="35">
        <f ca="1">LEFT(Music_Data[[#This Row],[Duration_minutes]],3)/60</f>
        <v>3.8333333333333335</v>
      </c>
      <c r="I1160" s="34">
        <v>1.2800000000000001E-3</v>
      </c>
      <c r="J1160" s="36" t="str">
        <f t="shared" si="18"/>
        <v>Casi nada popular</v>
      </c>
      <c r="K1160" s="42">
        <v>40309</v>
      </c>
    </row>
    <row r="1161" spans="1:11">
      <c r="A1161" s="39">
        <v>0.93700000000000006</v>
      </c>
      <c r="B1161" s="37">
        <v>112</v>
      </c>
      <c r="C1161" s="38">
        <v>0.72699999999999998</v>
      </c>
      <c r="D1161" s="39">
        <v>0.749</v>
      </c>
      <c r="E1161" s="37">
        <v>72</v>
      </c>
      <c r="F1161" s="37">
        <v>0</v>
      </c>
      <c r="G1161" s="37">
        <v>11</v>
      </c>
      <c r="H1161" s="40">
        <f ca="1">LEFT(Music_Data[[#This Row],[Duration_minutes]],3)/60</f>
        <v>4.333333333333333</v>
      </c>
      <c r="I1161" s="39">
        <v>4.1700000000000001E-3</v>
      </c>
      <c r="J1161" s="41" t="str">
        <f t="shared" si="18"/>
        <v>Casi nada popular</v>
      </c>
      <c r="K1161" s="43">
        <v>43168</v>
      </c>
    </row>
    <row r="1162" spans="1:11">
      <c r="A1162" s="34">
        <v>0.73599999999999999</v>
      </c>
      <c r="B1162" s="32">
        <v>132</v>
      </c>
      <c r="C1162" s="33">
        <v>0.75</v>
      </c>
      <c r="D1162" s="34">
        <v>0.35499999999999998</v>
      </c>
      <c r="E1162" s="32">
        <v>72</v>
      </c>
      <c r="F1162" s="32">
        <v>0</v>
      </c>
      <c r="G1162" s="32">
        <v>5</v>
      </c>
      <c r="H1162" s="35">
        <f ca="1">LEFT(Music_Data[[#This Row],[Duration_minutes]],3)/60</f>
        <v>3.9833333333333334</v>
      </c>
      <c r="I1162" s="34">
        <v>2.0199999999999999E-2</v>
      </c>
      <c r="J1162" s="36" t="str">
        <f t="shared" si="18"/>
        <v>Casi nada popular</v>
      </c>
      <c r="K1162" s="42">
        <v>1998</v>
      </c>
    </row>
    <row r="1163" spans="1:11">
      <c r="A1163" s="39">
        <v>0.442</v>
      </c>
      <c r="B1163" s="37">
        <v>104</v>
      </c>
      <c r="C1163" s="38">
        <v>0.51300000000000001</v>
      </c>
      <c r="D1163" s="39">
        <v>0.24299999999999999</v>
      </c>
      <c r="E1163" s="37">
        <v>72</v>
      </c>
      <c r="F1163" s="37">
        <v>1</v>
      </c>
      <c r="G1163" s="37">
        <v>4</v>
      </c>
      <c r="H1163" s="40">
        <f ca="1">LEFT(Music_Data[[#This Row],[Duration_minutes]],3)/60</f>
        <v>4.333333333333333</v>
      </c>
      <c r="I1163" s="39">
        <v>7.3099999999999997E-3</v>
      </c>
      <c r="J1163" s="41" t="str">
        <f t="shared" si="18"/>
        <v>Casi nada popular</v>
      </c>
      <c r="K1163" s="43">
        <v>43679</v>
      </c>
    </row>
    <row r="1164" spans="1:11">
      <c r="A1164" s="34">
        <v>0.84199999999999997</v>
      </c>
      <c r="B1164" s="32">
        <v>121</v>
      </c>
      <c r="C1164" s="33">
        <v>0.29699999999999999</v>
      </c>
      <c r="D1164" s="34">
        <v>0.58599999999999997</v>
      </c>
      <c r="E1164" s="32">
        <v>72</v>
      </c>
      <c r="F1164" s="32">
        <v>1</v>
      </c>
      <c r="G1164" s="32">
        <v>6</v>
      </c>
      <c r="H1164" s="35">
        <f ca="1">LEFT(Music_Data[[#This Row],[Duration_minutes]],3)/60</f>
        <v>4.25</v>
      </c>
      <c r="I1164" s="34">
        <v>2.8600000000000001E-4</v>
      </c>
      <c r="J1164" s="36" t="str">
        <f t="shared" si="18"/>
        <v>Casi nada popular</v>
      </c>
      <c r="K1164" s="42">
        <v>41428</v>
      </c>
    </row>
    <row r="1165" spans="1:11">
      <c r="A1165" s="39">
        <v>0.69499999999999995</v>
      </c>
      <c r="B1165" s="37">
        <v>105</v>
      </c>
      <c r="C1165" s="38">
        <v>0.437</v>
      </c>
      <c r="D1165" s="39">
        <v>0.41299999999999998</v>
      </c>
      <c r="E1165" s="37">
        <v>72</v>
      </c>
      <c r="F1165" s="37">
        <v>1</v>
      </c>
      <c r="G1165" s="37">
        <v>7</v>
      </c>
      <c r="H1165" s="40">
        <f ca="1">LEFT(Music_Data[[#This Row],[Duration_minutes]],3)/60</f>
        <v>2.7</v>
      </c>
      <c r="I1165" s="39">
        <v>1.1100000000000001E-3</v>
      </c>
      <c r="J1165" s="41" t="str">
        <f t="shared" si="18"/>
        <v>Casi nada popular</v>
      </c>
      <c r="K1165" s="43">
        <v>1980</v>
      </c>
    </row>
    <row r="1166" spans="1:11">
      <c r="A1166" s="34">
        <v>0.75</v>
      </c>
      <c r="B1166" s="32">
        <v>131</v>
      </c>
      <c r="C1166" s="33">
        <v>0.77400000000000002</v>
      </c>
      <c r="D1166" s="34">
        <v>0.92700000000000005</v>
      </c>
      <c r="E1166" s="32">
        <v>72</v>
      </c>
      <c r="F1166" s="32">
        <v>0</v>
      </c>
      <c r="G1166" s="32">
        <v>11</v>
      </c>
      <c r="H1166" s="35">
        <f ca="1">LEFT(Music_Data[[#This Row],[Duration_minutes]],3)/60</f>
        <v>4.583333333333333</v>
      </c>
      <c r="I1166" s="34">
        <v>2.0699999999999998E-3</v>
      </c>
      <c r="J1166" s="36" t="str">
        <f t="shared" si="18"/>
        <v>Casi nada popular</v>
      </c>
      <c r="K1166" s="42">
        <v>27691</v>
      </c>
    </row>
    <row r="1167" spans="1:11">
      <c r="A1167" s="39">
        <v>0.83</v>
      </c>
      <c r="B1167" s="37">
        <v>136</v>
      </c>
      <c r="C1167" s="38">
        <v>0.56899999999999995</v>
      </c>
      <c r="D1167" s="39">
        <v>0.60899999999999999</v>
      </c>
      <c r="E1167" s="37">
        <v>72</v>
      </c>
      <c r="F1167" s="37">
        <v>0</v>
      </c>
      <c r="G1167" s="37">
        <v>9</v>
      </c>
      <c r="H1167" s="40">
        <f ca="1">LEFT(Music_Data[[#This Row],[Duration_minutes]],3)/60</f>
        <v>3.35</v>
      </c>
      <c r="I1167" s="39">
        <v>8.0699999999999994E-2</v>
      </c>
      <c r="J1167" s="41" t="str">
        <f t="shared" si="18"/>
        <v>Casi nada popular</v>
      </c>
      <c r="K1167" s="43">
        <v>43847</v>
      </c>
    </row>
    <row r="1168" spans="1:11">
      <c r="A1168" s="34">
        <v>0.88300000000000001</v>
      </c>
      <c r="B1168" s="32">
        <v>130</v>
      </c>
      <c r="C1168" s="33">
        <v>0.46700000000000003</v>
      </c>
      <c r="D1168" s="34">
        <v>0.309</v>
      </c>
      <c r="E1168" s="32">
        <v>72</v>
      </c>
      <c r="F1168" s="32">
        <v>0</v>
      </c>
      <c r="G1168" s="32">
        <v>2</v>
      </c>
      <c r="H1168" s="35">
        <f ca="1">LEFT(Music_Data[[#This Row],[Duration_minutes]],3)/60</f>
        <v>4.7333333333333334</v>
      </c>
      <c r="I1168" s="34">
        <v>3.21E-4</v>
      </c>
      <c r="J1168" s="36" t="str">
        <f t="shared" si="18"/>
        <v>Casi nada popular</v>
      </c>
      <c r="K1168" s="42">
        <v>40662</v>
      </c>
    </row>
    <row r="1169" spans="1:11">
      <c r="A1169" s="39">
        <v>0.42199999999999999</v>
      </c>
      <c r="B1169" s="37">
        <v>100</v>
      </c>
      <c r="C1169" s="38">
        <v>0.75600000000000001</v>
      </c>
      <c r="D1169" s="39">
        <v>0.48699999999999999</v>
      </c>
      <c r="E1169" s="37">
        <v>72</v>
      </c>
      <c r="F1169" s="37">
        <v>0</v>
      </c>
      <c r="G1169" s="37">
        <v>11</v>
      </c>
      <c r="H1169" s="40">
        <f ca="1">LEFT(Music_Data[[#This Row],[Duration_minutes]],3)/60</f>
        <v>4.45</v>
      </c>
      <c r="I1169" s="39">
        <v>1.6500000000000001E-2</v>
      </c>
      <c r="J1169" s="41" t="str">
        <f t="shared" si="18"/>
        <v>Casi nada popular</v>
      </c>
      <c r="K1169" s="43">
        <v>37564</v>
      </c>
    </row>
    <row r="1170" spans="1:11">
      <c r="A1170" s="34">
        <v>0.438</v>
      </c>
      <c r="B1170" s="32">
        <v>126</v>
      </c>
      <c r="C1170" s="33">
        <v>0.38400000000000001</v>
      </c>
      <c r="D1170" s="34">
        <v>0.28699999999999998</v>
      </c>
      <c r="E1170" s="32">
        <v>72</v>
      </c>
      <c r="F1170" s="32">
        <v>1</v>
      </c>
      <c r="G1170" s="32">
        <v>0</v>
      </c>
      <c r="H1170" s="35">
        <f ca="1">LEFT(Music_Data[[#This Row],[Duration_minutes]],3)/60</f>
        <v>3.8333333333333335</v>
      </c>
      <c r="I1170" s="34">
        <v>0.753</v>
      </c>
      <c r="J1170" s="36" t="str">
        <f t="shared" si="18"/>
        <v>Casi nada popular</v>
      </c>
      <c r="K1170" s="42">
        <v>37165</v>
      </c>
    </row>
    <row r="1171" spans="1:11">
      <c r="A1171" s="39">
        <v>0.42199999999999999</v>
      </c>
      <c r="B1171" s="37">
        <v>127</v>
      </c>
      <c r="C1171" s="38">
        <v>0.69199999999999995</v>
      </c>
      <c r="D1171" s="39">
        <v>0.46800000000000003</v>
      </c>
      <c r="E1171" s="37">
        <v>72</v>
      </c>
      <c r="F1171" s="37">
        <v>1</v>
      </c>
      <c r="G1171" s="37">
        <v>2</v>
      </c>
      <c r="H1171" s="40">
        <f ca="1">LEFT(Music_Data[[#This Row],[Duration_minutes]],3)/60</f>
        <v>2.7833333333333332</v>
      </c>
      <c r="I1171" s="39">
        <v>8.1100000000000005E-2</v>
      </c>
      <c r="J1171" s="41" t="str">
        <f t="shared" si="18"/>
        <v>Casi nada popular</v>
      </c>
      <c r="K1171" s="43">
        <v>45611</v>
      </c>
    </row>
    <row r="1172" spans="1:11">
      <c r="A1172" s="34">
        <v>0.247</v>
      </c>
      <c r="B1172" s="32">
        <v>120</v>
      </c>
      <c r="C1172" s="33">
        <v>0.46700000000000003</v>
      </c>
      <c r="D1172" s="34">
        <v>0.25800000000000001</v>
      </c>
      <c r="E1172" s="32">
        <v>72</v>
      </c>
      <c r="F1172" s="32">
        <v>1</v>
      </c>
      <c r="G1172" s="32">
        <v>7</v>
      </c>
      <c r="H1172" s="35">
        <f ca="1">LEFT(Music_Data[[#This Row],[Duration_minutes]],3)/60</f>
        <v>3.9166666666666665</v>
      </c>
      <c r="I1172" s="34">
        <v>0.90600000000000003</v>
      </c>
      <c r="J1172" s="36" t="str">
        <f t="shared" si="18"/>
        <v>Casi nada popular</v>
      </c>
      <c r="K1172" s="42">
        <v>41884</v>
      </c>
    </row>
    <row r="1173" spans="1:11">
      <c r="A1173" s="39">
        <v>0.122</v>
      </c>
      <c r="B1173" s="37">
        <v>928</v>
      </c>
      <c r="C1173" s="38">
        <v>0.26400000000000001</v>
      </c>
      <c r="D1173" s="39">
        <v>7.3499999999999996E-2</v>
      </c>
      <c r="E1173" s="37">
        <v>72</v>
      </c>
      <c r="F1173" s="37">
        <v>1</v>
      </c>
      <c r="G1173" s="37">
        <v>9</v>
      </c>
      <c r="H1173" s="40">
        <f ca="1">LEFT(Music_Data[[#This Row],[Duration_minutes]],3)/60</f>
        <v>4.416666666666667</v>
      </c>
      <c r="I1173" s="39">
        <v>0.88500000000000001</v>
      </c>
      <c r="J1173" s="41" t="str">
        <f t="shared" si="18"/>
        <v>Casi nada popular</v>
      </c>
      <c r="K1173" s="43">
        <v>37131</v>
      </c>
    </row>
    <row r="1174" spans="1:11">
      <c r="A1174" s="34">
        <v>0.94199999999999995</v>
      </c>
      <c r="B1174" s="32">
        <v>108</v>
      </c>
      <c r="C1174" s="33">
        <v>0.76200000000000001</v>
      </c>
      <c r="D1174" s="34">
        <v>3.7999999999999999E-2</v>
      </c>
      <c r="E1174" s="32">
        <v>72</v>
      </c>
      <c r="F1174" s="32">
        <v>0</v>
      </c>
      <c r="G1174" s="32">
        <v>9</v>
      </c>
      <c r="H1174" s="35">
        <f ca="1">LEFT(Music_Data[[#This Row],[Duration_minutes]],3)/60</f>
        <v>3.75</v>
      </c>
      <c r="I1174" s="34">
        <v>0.58599999999999997</v>
      </c>
      <c r="J1174" s="36" t="str">
        <f t="shared" si="18"/>
        <v>Casi nada popular</v>
      </c>
      <c r="K1174" s="42">
        <v>42013</v>
      </c>
    </row>
    <row r="1175" spans="1:11">
      <c r="A1175" s="39">
        <v>0.84099999999999997</v>
      </c>
      <c r="B1175" s="37">
        <v>119</v>
      </c>
      <c r="C1175" s="38">
        <v>0.71399999999999997</v>
      </c>
      <c r="D1175" s="39">
        <v>0.86499999999999999</v>
      </c>
      <c r="E1175" s="37">
        <v>72</v>
      </c>
      <c r="F1175" s="37">
        <v>0</v>
      </c>
      <c r="G1175" s="37">
        <v>5</v>
      </c>
      <c r="H1175" s="40">
        <f ca="1">LEFT(Music_Data[[#This Row],[Duration_minutes]],3)/60</f>
        <v>3.6833333333333331</v>
      </c>
      <c r="I1175" s="39">
        <v>6.2199999999999998E-2</v>
      </c>
      <c r="J1175" s="41" t="str">
        <f t="shared" si="18"/>
        <v>Casi nada popular</v>
      </c>
      <c r="K1175" s="43">
        <v>41551</v>
      </c>
    </row>
    <row r="1176" spans="1:11">
      <c r="A1176" s="34">
        <v>0.82099999999999995</v>
      </c>
      <c r="B1176" s="32">
        <v>111</v>
      </c>
      <c r="C1176" s="33">
        <v>0.84799999999999998</v>
      </c>
      <c r="D1176" s="34">
        <v>0.249</v>
      </c>
      <c r="E1176" s="32">
        <v>72</v>
      </c>
      <c r="F1176" s="32">
        <v>0</v>
      </c>
      <c r="G1176" s="32">
        <v>2</v>
      </c>
      <c r="H1176" s="35">
        <f ca="1">LEFT(Music_Data[[#This Row],[Duration_minutes]],3)/60</f>
        <v>3.8666666666666667</v>
      </c>
      <c r="I1176" s="34">
        <v>1.6899999999999998E-2</v>
      </c>
      <c r="J1176" s="36" t="str">
        <f t="shared" si="18"/>
        <v>Casi nada popular</v>
      </c>
      <c r="K1176" s="42">
        <v>43028</v>
      </c>
    </row>
    <row r="1177" spans="1:11">
      <c r="A1177" s="39">
        <v>0.85499999999999998</v>
      </c>
      <c r="B1177" s="37">
        <v>114</v>
      </c>
      <c r="C1177" s="38">
        <v>0.60499999999999998</v>
      </c>
      <c r="D1177" s="39">
        <v>0.30199999999999999</v>
      </c>
      <c r="E1177" s="37">
        <v>72</v>
      </c>
      <c r="F1177" s="37">
        <v>0</v>
      </c>
      <c r="G1177" s="37">
        <v>10</v>
      </c>
      <c r="H1177" s="40">
        <f ca="1">LEFT(Music_Data[[#This Row],[Duration_minutes]],3)/60</f>
        <v>1.9</v>
      </c>
      <c r="I1177" s="39">
        <v>0.47299999999999998</v>
      </c>
      <c r="J1177" s="41" t="str">
        <f t="shared" si="18"/>
        <v>Casi nada popular</v>
      </c>
      <c r="K1177" s="43">
        <v>45156</v>
      </c>
    </row>
    <row r="1178" spans="1:11">
      <c r="A1178" s="34">
        <v>0.94199999999999995</v>
      </c>
      <c r="B1178" s="32">
        <v>155</v>
      </c>
      <c r="C1178" s="33">
        <v>0.76200000000000001</v>
      </c>
      <c r="D1178" s="34">
        <v>3.7999999999999999E-2</v>
      </c>
      <c r="E1178" s="32">
        <v>72</v>
      </c>
      <c r="F1178" s="32">
        <v>0</v>
      </c>
      <c r="G1178" s="32">
        <v>9</v>
      </c>
      <c r="H1178" s="35">
        <f ca="1">LEFT(Music_Data[[#This Row],[Duration_minutes]],3)/60</f>
        <v>3.4333333333333331</v>
      </c>
      <c r="I1178" s="34">
        <v>0.58599999999999997</v>
      </c>
      <c r="J1178" s="36" t="str">
        <f t="shared" si="18"/>
        <v>Casi nada popular</v>
      </c>
      <c r="K1178" s="42">
        <v>45611</v>
      </c>
    </row>
    <row r="1179" spans="1:11">
      <c r="A1179" s="39">
        <v>0.61599999999999999</v>
      </c>
      <c r="B1179" s="37">
        <v>124</v>
      </c>
      <c r="C1179" s="38">
        <v>0.77300000000000002</v>
      </c>
      <c r="D1179" s="39">
        <v>0.25</v>
      </c>
      <c r="E1179" s="37">
        <v>72</v>
      </c>
      <c r="F1179" s="37">
        <v>1</v>
      </c>
      <c r="G1179" s="37">
        <v>0</v>
      </c>
      <c r="H1179" s="40">
        <f ca="1">LEFT(Music_Data[[#This Row],[Duration_minutes]],3)/60</f>
        <v>3.9666666666666668</v>
      </c>
      <c r="I1179" s="39">
        <v>5.6500000000000002E-2</v>
      </c>
      <c r="J1179" s="41" t="str">
        <f t="shared" si="18"/>
        <v>Casi nada popular</v>
      </c>
      <c r="K1179" s="43">
        <v>39601</v>
      </c>
    </row>
    <row r="1180" spans="1:11">
      <c r="A1180" s="34">
        <v>0.63700000000000001</v>
      </c>
      <c r="B1180" s="32">
        <v>990</v>
      </c>
      <c r="C1180" s="33">
        <v>0.81100000000000005</v>
      </c>
      <c r="D1180" s="34">
        <v>0.47099999999999997</v>
      </c>
      <c r="E1180" s="32">
        <v>72</v>
      </c>
      <c r="F1180" s="32">
        <v>0</v>
      </c>
      <c r="G1180" s="32">
        <v>10</v>
      </c>
      <c r="H1180" s="35">
        <f ca="1">LEFT(Music_Data[[#This Row],[Duration_minutes]],3)/60</f>
        <v>4.0999999999999996</v>
      </c>
      <c r="I1180" s="34">
        <v>0.23400000000000001</v>
      </c>
      <c r="J1180" s="36" t="str">
        <f t="shared" si="18"/>
        <v>Casi nada popular</v>
      </c>
      <c r="K1180" s="42">
        <v>38593</v>
      </c>
    </row>
    <row r="1181" spans="1:11">
      <c r="A1181" s="39">
        <v>0.82899999999999996</v>
      </c>
      <c r="B1181" s="37">
        <v>961</v>
      </c>
      <c r="C1181" s="38">
        <v>0.60699999999999998</v>
      </c>
      <c r="D1181" s="39">
        <v>0.68500000000000005</v>
      </c>
      <c r="E1181" s="37">
        <v>72</v>
      </c>
      <c r="F1181" s="37">
        <v>1</v>
      </c>
      <c r="G1181" s="37">
        <v>2</v>
      </c>
      <c r="H1181" s="40">
        <f ca="1">LEFT(Music_Data[[#This Row],[Duration_minutes]],3)/60</f>
        <v>3.5166666666666666</v>
      </c>
      <c r="I1181" s="39">
        <v>1.03E-2</v>
      </c>
      <c r="J1181" s="41" t="str">
        <f t="shared" si="18"/>
        <v>Casi nada popular</v>
      </c>
      <c r="K1181" s="43">
        <v>44827</v>
      </c>
    </row>
    <row r="1182" spans="1:11">
      <c r="A1182" s="34">
        <v>0.624</v>
      </c>
      <c r="B1182" s="32">
        <v>123</v>
      </c>
      <c r="C1182" s="33">
        <v>0.61</v>
      </c>
      <c r="D1182" s="34">
        <v>0.24399999999999999</v>
      </c>
      <c r="E1182" s="32">
        <v>72</v>
      </c>
      <c r="F1182" s="32">
        <v>1</v>
      </c>
      <c r="G1182" s="32">
        <v>2</v>
      </c>
      <c r="H1182" s="35">
        <f ca="1">LEFT(Music_Data[[#This Row],[Duration_minutes]],3)/60</f>
        <v>3.65</v>
      </c>
      <c r="I1182" s="34">
        <v>0.6</v>
      </c>
      <c r="J1182" s="36" t="str">
        <f t="shared" si="18"/>
        <v>Casi nada popular</v>
      </c>
      <c r="K1182" s="42">
        <v>42272</v>
      </c>
    </row>
    <row r="1183" spans="1:11">
      <c r="A1183" s="39">
        <v>0.71099999999999997</v>
      </c>
      <c r="B1183" s="37">
        <v>125</v>
      </c>
      <c r="C1183" s="38">
        <v>0.71799999999999997</v>
      </c>
      <c r="D1183" s="39">
        <v>0.92</v>
      </c>
      <c r="E1183" s="37">
        <v>72</v>
      </c>
      <c r="F1183" s="37">
        <v>0</v>
      </c>
      <c r="G1183" s="37">
        <v>8</v>
      </c>
      <c r="H1183" s="40">
        <f ca="1">LEFT(Music_Data[[#This Row],[Duration_minutes]],3)/60</f>
        <v>3.6333333333333333</v>
      </c>
      <c r="I1183" s="39">
        <v>0.157</v>
      </c>
      <c r="J1183" s="41" t="str">
        <f t="shared" si="18"/>
        <v>Casi nada popular</v>
      </c>
      <c r="K1183" s="43">
        <v>38621</v>
      </c>
    </row>
    <row r="1184" spans="1:11">
      <c r="A1184" s="34">
        <v>0.81200000000000006</v>
      </c>
      <c r="B1184" s="32">
        <v>101</v>
      </c>
      <c r="C1184" s="33">
        <v>0.78500000000000003</v>
      </c>
      <c r="D1184" s="34">
        <v>0.90300000000000002</v>
      </c>
      <c r="E1184" s="32">
        <v>72</v>
      </c>
      <c r="F1184" s="32">
        <v>1</v>
      </c>
      <c r="G1184" s="32">
        <v>3</v>
      </c>
      <c r="H1184" s="35">
        <f ca="1">LEFT(Music_Data[[#This Row],[Duration_minutes]],3)/60</f>
        <v>2.9333333333333331</v>
      </c>
      <c r="I1184" s="34">
        <v>0.14699999999999999</v>
      </c>
      <c r="J1184" s="36" t="str">
        <f t="shared" si="18"/>
        <v>Casi nada popular</v>
      </c>
      <c r="K1184" s="42">
        <v>44673</v>
      </c>
    </row>
    <row r="1185" spans="1:11">
      <c r="A1185" s="39">
        <v>0.67200000000000004</v>
      </c>
      <c r="B1185" s="37">
        <v>129</v>
      </c>
      <c r="C1185" s="38">
        <v>0.81699999999999995</v>
      </c>
      <c r="D1185" s="39">
        <v>0.77400000000000002</v>
      </c>
      <c r="E1185" s="37">
        <v>72</v>
      </c>
      <c r="F1185" s="37">
        <v>0</v>
      </c>
      <c r="G1185" s="37">
        <v>11</v>
      </c>
      <c r="H1185" s="40">
        <f ca="1">LEFT(Music_Data[[#This Row],[Duration_minutes]],3)/60</f>
        <v>3.5333333333333332</v>
      </c>
      <c r="I1185" s="39">
        <v>0.441</v>
      </c>
      <c r="J1185" s="41" t="str">
        <f t="shared" si="18"/>
        <v>Casi nada popular</v>
      </c>
      <c r="K1185" s="43">
        <v>41166</v>
      </c>
    </row>
    <row r="1186" spans="1:11">
      <c r="A1186" s="34">
        <v>0.99</v>
      </c>
      <c r="B1186" s="32">
        <v>160</v>
      </c>
      <c r="C1186" s="33">
        <v>0.748</v>
      </c>
      <c r="D1186" s="34">
        <v>0.38600000000000001</v>
      </c>
      <c r="E1186" s="32">
        <v>72</v>
      </c>
      <c r="F1186" s="32">
        <v>1</v>
      </c>
      <c r="G1186" s="32">
        <v>1</v>
      </c>
      <c r="H1186" s="35">
        <f ca="1">LEFT(Music_Data[[#This Row],[Duration_minutes]],3)/60</f>
        <v>3.65</v>
      </c>
      <c r="I1186" s="34">
        <v>0.30299999999999999</v>
      </c>
      <c r="J1186" s="36" t="str">
        <f t="shared" si="18"/>
        <v>Casi nada popular</v>
      </c>
      <c r="K1186" s="42">
        <v>41640</v>
      </c>
    </row>
    <row r="1187" spans="1:11">
      <c r="A1187" s="39">
        <v>0.41299999999999998</v>
      </c>
      <c r="B1187" s="37">
        <v>169</v>
      </c>
      <c r="C1187" s="38">
        <v>0.92</v>
      </c>
      <c r="D1187" s="39">
        <v>0.67900000000000005</v>
      </c>
      <c r="E1187" s="37">
        <v>72</v>
      </c>
      <c r="F1187" s="37">
        <v>0</v>
      </c>
      <c r="G1187" s="37">
        <v>7</v>
      </c>
      <c r="H1187" s="40">
        <f ca="1">LEFT(Music_Data[[#This Row],[Duration_minutes]],3)/60</f>
        <v>2.35</v>
      </c>
      <c r="I1187" s="39">
        <v>0.504</v>
      </c>
      <c r="J1187" s="41" t="str">
        <f t="shared" si="18"/>
        <v>Casi nada popular</v>
      </c>
      <c r="K1187" s="43">
        <v>44386</v>
      </c>
    </row>
    <row r="1188" spans="1:11">
      <c r="A1188" s="34">
        <v>0.90700000000000003</v>
      </c>
      <c r="B1188" s="32">
        <v>937</v>
      </c>
      <c r="C1188" s="33">
        <v>0.86299999999999999</v>
      </c>
      <c r="D1188" s="34">
        <v>0.30399999999999999</v>
      </c>
      <c r="E1188" s="32">
        <v>72</v>
      </c>
      <c r="F1188" s="32">
        <v>0</v>
      </c>
      <c r="G1188" s="32">
        <v>4</v>
      </c>
      <c r="H1188" s="35">
        <f ca="1">LEFT(Music_Data[[#This Row],[Duration_minutes]],3)/60</f>
        <v>3.5166666666666666</v>
      </c>
      <c r="I1188" s="34">
        <v>6.83E-2</v>
      </c>
      <c r="J1188" s="36" t="str">
        <f t="shared" si="18"/>
        <v>Casi nada popular</v>
      </c>
      <c r="K1188" s="42">
        <v>34327</v>
      </c>
    </row>
    <row r="1189" spans="1:11">
      <c r="A1189" s="39">
        <v>0.60599999999999998</v>
      </c>
      <c r="B1189" s="37">
        <v>141</v>
      </c>
      <c r="C1189" s="38">
        <v>0.83099999999999996</v>
      </c>
      <c r="D1189" s="39">
        <v>0.88300000000000001</v>
      </c>
      <c r="E1189" s="37">
        <v>72</v>
      </c>
      <c r="F1189" s="37">
        <v>0</v>
      </c>
      <c r="G1189" s="37">
        <v>8</v>
      </c>
      <c r="H1189" s="40">
        <f ca="1">LEFT(Music_Data[[#This Row],[Duration_minutes]],3)/60</f>
        <v>3.7333333333333334</v>
      </c>
      <c r="I1189" s="39">
        <v>0.68400000000000005</v>
      </c>
      <c r="J1189" s="41" t="str">
        <f t="shared" si="18"/>
        <v>Casi nada popular</v>
      </c>
      <c r="K1189" s="43">
        <v>44483</v>
      </c>
    </row>
    <row r="1190" spans="1:11">
      <c r="A1190" s="34">
        <v>0.84</v>
      </c>
      <c r="B1190" s="32">
        <v>100</v>
      </c>
      <c r="C1190" s="33">
        <v>0.85599999999999998</v>
      </c>
      <c r="D1190" s="34">
        <v>0.79200000000000004</v>
      </c>
      <c r="E1190" s="32">
        <v>72</v>
      </c>
      <c r="F1190" s="32">
        <v>0</v>
      </c>
      <c r="G1190" s="32">
        <v>6</v>
      </c>
      <c r="H1190" s="35">
        <f ca="1">LEFT(Music_Data[[#This Row],[Duration_minutes]],3)/60</f>
        <v>3.2333333333333334</v>
      </c>
      <c r="I1190" s="34">
        <v>9.7299999999999998E-2</v>
      </c>
      <c r="J1190" s="36" t="str">
        <f t="shared" si="18"/>
        <v>Casi nada popular</v>
      </c>
      <c r="K1190" s="42">
        <v>41640</v>
      </c>
    </row>
    <row r="1191" spans="1:11">
      <c r="A1191" s="39">
        <v>0.80300000000000005</v>
      </c>
      <c r="B1191" s="37">
        <v>126</v>
      </c>
      <c r="C1191" s="38">
        <v>0.28399999999999997</v>
      </c>
      <c r="D1191" s="39">
        <v>0.55300000000000005</v>
      </c>
      <c r="E1191" s="37">
        <v>72</v>
      </c>
      <c r="F1191" s="37">
        <v>0</v>
      </c>
      <c r="G1191" s="37">
        <v>2</v>
      </c>
      <c r="H1191" s="40">
        <f ca="1">LEFT(Music_Data[[#This Row],[Duration_minutes]],3)/60</f>
        <v>3.3166666666666669</v>
      </c>
      <c r="I1191" s="39">
        <v>0.30199999999999999</v>
      </c>
      <c r="J1191" s="41" t="str">
        <f t="shared" si="18"/>
        <v>Casi nada popular</v>
      </c>
      <c r="K1191" s="43">
        <v>40844</v>
      </c>
    </row>
    <row r="1192" spans="1:11">
      <c r="A1192" s="34">
        <v>0.86</v>
      </c>
      <c r="B1192" s="32">
        <v>991</v>
      </c>
      <c r="C1192" s="33">
        <v>0.57499999999999996</v>
      </c>
      <c r="D1192" s="34">
        <v>0.83399999999999996</v>
      </c>
      <c r="E1192" s="32">
        <v>72</v>
      </c>
      <c r="F1192" s="32">
        <v>0</v>
      </c>
      <c r="G1192" s="32">
        <v>9</v>
      </c>
      <c r="H1192" s="35">
        <f ca="1">LEFT(Music_Data[[#This Row],[Duration_minutes]],3)/60</f>
        <v>3.9333333333333331</v>
      </c>
      <c r="I1192" s="34">
        <v>0.29799999999999999</v>
      </c>
      <c r="J1192" s="36" t="str">
        <f t="shared" si="18"/>
        <v>Casi nada popular</v>
      </c>
      <c r="K1192" s="42">
        <v>37796</v>
      </c>
    </row>
    <row r="1193" spans="1:11">
      <c r="A1193" s="39">
        <v>0.498</v>
      </c>
      <c r="B1193" s="37">
        <v>123</v>
      </c>
      <c r="C1193" s="38">
        <v>0.66500000000000004</v>
      </c>
      <c r="D1193" s="39">
        <v>0.127</v>
      </c>
      <c r="E1193" s="37">
        <v>72</v>
      </c>
      <c r="F1193" s="37">
        <v>1</v>
      </c>
      <c r="G1193" s="37">
        <v>5</v>
      </c>
      <c r="H1193" s="40">
        <f ca="1">LEFT(Music_Data[[#This Row],[Duration_minutes]],3)/60</f>
        <v>3.7</v>
      </c>
      <c r="I1193" s="39">
        <v>0.23</v>
      </c>
      <c r="J1193" s="41" t="str">
        <f t="shared" si="18"/>
        <v>Casi nada popular</v>
      </c>
      <c r="K1193" s="43">
        <v>42489</v>
      </c>
    </row>
    <row r="1194" spans="1:11">
      <c r="A1194" s="34">
        <v>0.435</v>
      </c>
      <c r="B1194" s="32">
        <v>116</v>
      </c>
      <c r="C1194" s="33">
        <v>0.84299999999999997</v>
      </c>
      <c r="D1194" s="34">
        <v>0.19</v>
      </c>
      <c r="E1194" s="32">
        <v>72</v>
      </c>
      <c r="F1194" s="32">
        <v>1</v>
      </c>
      <c r="G1194" s="32">
        <v>8</v>
      </c>
      <c r="H1194" s="35">
        <f ca="1">LEFT(Music_Data[[#This Row],[Duration_minutes]],3)/60</f>
        <v>4.1333333333333337</v>
      </c>
      <c r="I1194" s="34">
        <v>0.47</v>
      </c>
      <c r="J1194" s="36" t="str">
        <f t="shared" si="18"/>
        <v>Casi nada popular</v>
      </c>
      <c r="K1194" s="42">
        <v>41383</v>
      </c>
    </row>
    <row r="1195" spans="1:11">
      <c r="A1195" s="39">
        <v>0.73099999999999998</v>
      </c>
      <c r="B1195" s="37">
        <v>127</v>
      </c>
      <c r="C1195" s="38">
        <v>0.55200000000000005</v>
      </c>
      <c r="D1195" s="39">
        <v>0.63200000000000001</v>
      </c>
      <c r="E1195" s="37">
        <v>72</v>
      </c>
      <c r="F1195" s="37">
        <v>1</v>
      </c>
      <c r="G1195" s="37">
        <v>7</v>
      </c>
      <c r="H1195" s="40">
        <f ca="1">LEFT(Music_Data[[#This Row],[Duration_minutes]],3)/60</f>
        <v>3.8666666666666667</v>
      </c>
      <c r="I1195" s="39">
        <v>5.3600000000000002E-2</v>
      </c>
      <c r="J1195" s="41" t="str">
        <f t="shared" si="18"/>
        <v>Casi nada popular</v>
      </c>
      <c r="K1195" s="43">
        <v>41082</v>
      </c>
    </row>
    <row r="1196" spans="1:11">
      <c r="A1196" s="34">
        <v>0.63400000000000001</v>
      </c>
      <c r="B1196" s="32">
        <v>117</v>
      </c>
      <c r="C1196" s="33">
        <v>0.502</v>
      </c>
      <c r="D1196" s="34">
        <v>0.64500000000000002</v>
      </c>
      <c r="E1196" s="32">
        <v>72</v>
      </c>
      <c r="F1196" s="32">
        <v>0</v>
      </c>
      <c r="G1196" s="32">
        <v>8</v>
      </c>
      <c r="H1196" s="35">
        <f ca="1">LEFT(Music_Data[[#This Row],[Duration_minutes]],3)/60</f>
        <v>4.1833333333333336</v>
      </c>
      <c r="I1196" s="34">
        <v>0.67700000000000005</v>
      </c>
      <c r="J1196" s="36" t="str">
        <f t="shared" si="18"/>
        <v>Casi nada popular</v>
      </c>
      <c r="K1196" s="42">
        <v>45373</v>
      </c>
    </row>
    <row r="1197" spans="1:11">
      <c r="A1197" s="39">
        <v>0.75600000000000001</v>
      </c>
      <c r="B1197" s="37">
        <v>943</v>
      </c>
      <c r="C1197" s="38">
        <v>0.71899999999999997</v>
      </c>
      <c r="D1197" s="39">
        <v>0.64700000000000002</v>
      </c>
      <c r="E1197" s="37">
        <v>72</v>
      </c>
      <c r="F1197" s="37">
        <v>0</v>
      </c>
      <c r="G1197" s="37">
        <v>5</v>
      </c>
      <c r="H1197" s="40">
        <f ca="1">LEFT(Music_Data[[#This Row],[Duration_minutes]],3)/60</f>
        <v>2.9166666666666665</v>
      </c>
      <c r="I1197" s="39">
        <v>5.4100000000000002E-2</v>
      </c>
      <c r="J1197" s="41" t="str">
        <f t="shared" si="18"/>
        <v>Casi nada popular</v>
      </c>
      <c r="K1197" s="43">
        <v>29908</v>
      </c>
    </row>
    <row r="1198" spans="1:11">
      <c r="A1198" s="34">
        <v>0.46300000000000002</v>
      </c>
      <c r="B1198" s="32">
        <v>119</v>
      </c>
      <c r="C1198" s="33">
        <v>0.56200000000000006</v>
      </c>
      <c r="D1198" s="34">
        <v>0.41599999999999998</v>
      </c>
      <c r="E1198" s="32">
        <v>72</v>
      </c>
      <c r="F1198" s="32">
        <v>1</v>
      </c>
      <c r="G1198" s="32">
        <v>6</v>
      </c>
      <c r="H1198" s="35">
        <f ca="1">LEFT(Music_Data[[#This Row],[Duration_minutes]],3)/60</f>
        <v>2.5666666666666669</v>
      </c>
      <c r="I1198" s="34">
        <v>0.442</v>
      </c>
      <c r="J1198" s="36" t="str">
        <f t="shared" si="18"/>
        <v>Casi nada popular</v>
      </c>
      <c r="K1198" s="42">
        <v>44337</v>
      </c>
    </row>
    <row r="1199" spans="1:11">
      <c r="A1199" s="39">
        <v>0.58099999999999996</v>
      </c>
      <c r="B1199" s="37">
        <v>117</v>
      </c>
      <c r="C1199" s="38">
        <v>0.60899999999999999</v>
      </c>
      <c r="D1199" s="39">
        <v>0.52800000000000002</v>
      </c>
      <c r="E1199" s="37">
        <v>72</v>
      </c>
      <c r="F1199" s="37">
        <v>1</v>
      </c>
      <c r="G1199" s="37">
        <v>2</v>
      </c>
      <c r="H1199" s="40">
        <f ca="1">LEFT(Music_Data[[#This Row],[Duration_minutes]],3)/60</f>
        <v>4.8833333333333337</v>
      </c>
      <c r="I1199" s="39">
        <v>0.50900000000000001</v>
      </c>
      <c r="J1199" s="41" t="str">
        <f t="shared" si="18"/>
        <v>Casi nada popular</v>
      </c>
      <c r="K1199" s="43">
        <v>39486</v>
      </c>
    </row>
    <row r="1200" spans="1:11">
      <c r="A1200" s="34">
        <v>1.6100000000000001E-3</v>
      </c>
      <c r="B1200" s="32">
        <v>126</v>
      </c>
      <c r="C1200" s="33">
        <v>0.13800000000000001</v>
      </c>
      <c r="D1200" s="34">
        <v>0.155</v>
      </c>
      <c r="E1200" s="32">
        <v>72</v>
      </c>
      <c r="F1200" s="32">
        <v>1</v>
      </c>
      <c r="G1200" s="32">
        <v>5</v>
      </c>
      <c r="H1200" s="35">
        <f ca="1">LEFT(Music_Data[[#This Row],[Duration_minutes]],3)/60</f>
        <v>5.1166666666666663</v>
      </c>
      <c r="I1200" s="34">
        <v>0.97699999999999998</v>
      </c>
      <c r="J1200" s="36" t="str">
        <f t="shared" si="18"/>
        <v>Casi nada popular</v>
      </c>
      <c r="K1200" s="42">
        <v>2001</v>
      </c>
    </row>
    <row r="1201" spans="1:11">
      <c r="A1201" s="39">
        <v>0.13500000000000001</v>
      </c>
      <c r="B1201" s="37">
        <v>120</v>
      </c>
      <c r="C1201" s="38">
        <v>0.38700000000000001</v>
      </c>
      <c r="D1201" s="39">
        <v>0.21</v>
      </c>
      <c r="E1201" s="37">
        <v>72</v>
      </c>
      <c r="F1201" s="37">
        <v>1</v>
      </c>
      <c r="G1201" s="37">
        <v>7</v>
      </c>
      <c r="H1201" s="40">
        <f ca="1">LEFT(Music_Data[[#This Row],[Duration_minutes]],3)/60</f>
        <v>3.7833333333333332</v>
      </c>
      <c r="I1201" s="39">
        <v>0.92900000000000005</v>
      </c>
      <c r="J1201" s="41" t="str">
        <f t="shared" si="18"/>
        <v>Casi nada popular</v>
      </c>
      <c r="K1201" s="43">
        <v>40711</v>
      </c>
    </row>
    <row r="1202" spans="1:11">
      <c r="A1202" s="34">
        <v>0.17899999999999999</v>
      </c>
      <c r="B1202" s="32">
        <v>135</v>
      </c>
      <c r="C1202" s="33">
        <v>0.53900000000000003</v>
      </c>
      <c r="D1202" s="34">
        <v>0.14499999999999999</v>
      </c>
      <c r="E1202" s="32">
        <v>72</v>
      </c>
      <c r="F1202" s="32">
        <v>1</v>
      </c>
      <c r="G1202" s="32">
        <v>7</v>
      </c>
      <c r="H1202" s="35">
        <f ca="1">LEFT(Music_Data[[#This Row],[Duration_minutes]],3)/60</f>
        <v>3.8166666666666669</v>
      </c>
      <c r="I1202" s="34">
        <v>0.92100000000000004</v>
      </c>
      <c r="J1202" s="36" t="str">
        <f t="shared" si="18"/>
        <v>Casi nada popular</v>
      </c>
      <c r="K1202" s="42">
        <v>2012</v>
      </c>
    </row>
    <row r="1203" spans="1:11">
      <c r="A1203" s="39">
        <v>0.34300000000000003</v>
      </c>
      <c r="B1203" s="37">
        <v>173</v>
      </c>
      <c r="C1203" s="38">
        <v>0.47399999999999998</v>
      </c>
      <c r="D1203" s="39">
        <v>0.152</v>
      </c>
      <c r="E1203" s="37">
        <v>72</v>
      </c>
      <c r="F1203" s="37">
        <v>0</v>
      </c>
      <c r="G1203" s="37">
        <v>4</v>
      </c>
      <c r="H1203" s="40">
        <f ca="1">LEFT(Music_Data[[#This Row],[Duration_minutes]],3)/60</f>
        <v>3.6166666666666667</v>
      </c>
      <c r="I1203" s="39">
        <v>0.57799999999999996</v>
      </c>
      <c r="J1203" s="41" t="str">
        <f t="shared" si="18"/>
        <v>Casi nada popular</v>
      </c>
      <c r="K1203" s="43">
        <v>42664</v>
      </c>
    </row>
    <row r="1204" spans="1:11">
      <c r="A1204" s="34">
        <v>0.22500000000000001</v>
      </c>
      <c r="B1204" s="32">
        <v>137</v>
      </c>
      <c r="C1204" s="33">
        <v>0.55400000000000005</v>
      </c>
      <c r="D1204" s="34">
        <v>0.221</v>
      </c>
      <c r="E1204" s="32">
        <v>72</v>
      </c>
      <c r="F1204" s="32">
        <v>1</v>
      </c>
      <c r="G1204" s="32">
        <v>3</v>
      </c>
      <c r="H1204" s="35">
        <f ca="1">LEFT(Music_Data[[#This Row],[Duration_minutes]],3)/60</f>
        <v>3.55</v>
      </c>
      <c r="I1204" s="34">
        <v>0.89200000000000002</v>
      </c>
      <c r="J1204" s="36" t="str">
        <f t="shared" si="18"/>
        <v>Casi nada popular</v>
      </c>
      <c r="K1204" s="42">
        <v>1975</v>
      </c>
    </row>
    <row r="1205" spans="1:11">
      <c r="A1205" s="39">
        <v>0.34699999999999998</v>
      </c>
      <c r="B1205" s="37">
        <v>886</v>
      </c>
      <c r="C1205" s="38">
        <v>0.40899999999999997</v>
      </c>
      <c r="D1205" s="39">
        <v>0.19900000000000001</v>
      </c>
      <c r="E1205" s="37">
        <v>72</v>
      </c>
      <c r="F1205" s="37">
        <v>0</v>
      </c>
      <c r="G1205" s="37">
        <v>11</v>
      </c>
      <c r="H1205" s="40">
        <f ca="1">LEFT(Music_Data[[#This Row],[Duration_minutes]],3)/60</f>
        <v>5.0666666666666664</v>
      </c>
      <c r="I1205" s="39">
        <v>0.83399999999999996</v>
      </c>
      <c r="J1205" s="41" t="str">
        <f t="shared" si="18"/>
        <v>Casi nada popular</v>
      </c>
      <c r="K1205" s="43">
        <v>35317</v>
      </c>
    </row>
    <row r="1206" spans="1:11">
      <c r="A1206" s="34">
        <v>0.56100000000000005</v>
      </c>
      <c r="B1206" s="32">
        <v>126</v>
      </c>
      <c r="C1206" s="33">
        <v>0.68600000000000005</v>
      </c>
      <c r="D1206" s="34">
        <v>0.186</v>
      </c>
      <c r="E1206" s="32">
        <v>72</v>
      </c>
      <c r="F1206" s="32">
        <v>0</v>
      </c>
      <c r="G1206" s="32">
        <v>10</v>
      </c>
      <c r="H1206" s="35">
        <f ca="1">LEFT(Music_Data[[#This Row],[Duration_minutes]],3)/60</f>
        <v>3.0666666666666669</v>
      </c>
      <c r="I1206" s="34">
        <v>0.185</v>
      </c>
      <c r="J1206" s="36" t="str">
        <f t="shared" si="18"/>
        <v>Casi nada popular</v>
      </c>
      <c r="K1206" s="42">
        <v>41943</v>
      </c>
    </row>
    <row r="1207" spans="1:11">
      <c r="A1207" s="39">
        <v>0.56599999999999995</v>
      </c>
      <c r="B1207" s="37">
        <v>939</v>
      </c>
      <c r="C1207" s="38">
        <v>0.79400000000000004</v>
      </c>
      <c r="D1207" s="39">
        <v>0.68</v>
      </c>
      <c r="E1207" s="37">
        <v>72</v>
      </c>
      <c r="F1207" s="37">
        <v>0</v>
      </c>
      <c r="G1207" s="37">
        <v>11</v>
      </c>
      <c r="H1207" s="40">
        <f ca="1">LEFT(Music_Data[[#This Row],[Duration_minutes]],3)/60</f>
        <v>3.2166666666666668</v>
      </c>
      <c r="I1207" s="39">
        <v>0.30099999999999999</v>
      </c>
      <c r="J1207" s="41" t="str">
        <f t="shared" si="18"/>
        <v>Casi nada popular</v>
      </c>
      <c r="K1207" s="43">
        <v>43489</v>
      </c>
    </row>
    <row r="1208" spans="1:11">
      <c r="A1208" s="34">
        <v>0.13800000000000001</v>
      </c>
      <c r="B1208" s="32">
        <v>131</v>
      </c>
      <c r="C1208" s="33">
        <v>0.34</v>
      </c>
      <c r="D1208" s="34">
        <v>0.32500000000000001</v>
      </c>
      <c r="E1208" s="32">
        <v>72</v>
      </c>
      <c r="F1208" s="32">
        <v>0</v>
      </c>
      <c r="G1208" s="32">
        <v>2</v>
      </c>
      <c r="H1208" s="35">
        <f ca="1">LEFT(Music_Data[[#This Row],[Duration_minutes]],3)/60</f>
        <v>4.8</v>
      </c>
      <c r="I1208" s="34">
        <v>0.98399999999999999</v>
      </c>
      <c r="J1208" s="36" t="str">
        <f t="shared" si="18"/>
        <v>Casi nada popular</v>
      </c>
      <c r="K1208" s="42">
        <v>29012</v>
      </c>
    </row>
    <row r="1209" spans="1:11">
      <c r="A1209" s="39">
        <v>0.71499999999999997</v>
      </c>
      <c r="B1209" s="37">
        <v>128</v>
      </c>
      <c r="C1209" s="38">
        <v>0.55200000000000005</v>
      </c>
      <c r="D1209" s="39">
        <v>0.85799999999999998</v>
      </c>
      <c r="E1209" s="37">
        <v>72</v>
      </c>
      <c r="F1209" s="37">
        <v>1</v>
      </c>
      <c r="G1209" s="37">
        <v>2</v>
      </c>
      <c r="H1209" s="40">
        <f ca="1">LEFT(Music_Data[[#This Row],[Duration_minutes]],3)/60</f>
        <v>4.1333333333333337</v>
      </c>
      <c r="I1209" s="39">
        <v>2.86E-2</v>
      </c>
      <c r="J1209" s="41" t="str">
        <f t="shared" si="18"/>
        <v>Casi nada popular</v>
      </c>
      <c r="K1209" s="43">
        <v>41082</v>
      </c>
    </row>
    <row r="1210" spans="1:11">
      <c r="A1210" s="34">
        <v>0.41299999999999998</v>
      </c>
      <c r="B1210" s="32">
        <v>127</v>
      </c>
      <c r="C1210" s="33">
        <v>0.747</v>
      </c>
      <c r="D1210" s="34">
        <v>0.48099999999999998</v>
      </c>
      <c r="E1210" s="32">
        <v>72</v>
      </c>
      <c r="F1210" s="32">
        <v>0</v>
      </c>
      <c r="G1210" s="32">
        <v>2</v>
      </c>
      <c r="H1210" s="35">
        <f ca="1">LEFT(Music_Data[[#This Row],[Duration_minutes]],3)/60</f>
        <v>3.9</v>
      </c>
      <c r="I1210" s="34">
        <v>0.84799999999999998</v>
      </c>
      <c r="J1210" s="36" t="str">
        <f t="shared" si="18"/>
        <v>Casi nada popular</v>
      </c>
      <c r="K1210" s="42">
        <v>40506</v>
      </c>
    </row>
    <row r="1211" spans="1:11">
      <c r="A1211" s="39">
        <v>0.73099999999999998</v>
      </c>
      <c r="B1211" s="37">
        <v>163</v>
      </c>
      <c r="C1211" s="38">
        <v>0.751</v>
      </c>
      <c r="D1211" s="39">
        <v>0.97299999999999998</v>
      </c>
      <c r="E1211" s="37">
        <v>72</v>
      </c>
      <c r="F1211" s="37">
        <v>0</v>
      </c>
      <c r="G1211" s="37">
        <v>6</v>
      </c>
      <c r="H1211" s="40">
        <f ca="1">LEFT(Music_Data[[#This Row],[Duration_minutes]],3)/60</f>
        <v>3.7333333333333334</v>
      </c>
      <c r="I1211" s="39">
        <v>8.3799999999999999E-2</v>
      </c>
      <c r="J1211" s="41" t="str">
        <f t="shared" si="18"/>
        <v>Casi nada popular</v>
      </c>
      <c r="K1211" s="43">
        <v>45097</v>
      </c>
    </row>
    <row r="1212" spans="1:11">
      <c r="A1212" s="34">
        <v>0.84</v>
      </c>
      <c r="B1212" s="32">
        <v>113</v>
      </c>
      <c r="C1212" s="33">
        <v>0.67300000000000004</v>
      </c>
      <c r="D1212" s="34">
        <v>0.94</v>
      </c>
      <c r="E1212" s="32">
        <v>72</v>
      </c>
      <c r="F1212" s="32">
        <v>1</v>
      </c>
      <c r="G1212" s="32">
        <v>7</v>
      </c>
      <c r="H1212" s="35">
        <f ca="1">LEFT(Music_Data[[#This Row],[Duration_minutes]],3)/60</f>
        <v>3.9333333333333331</v>
      </c>
      <c r="I1212" s="34">
        <v>6.83E-2</v>
      </c>
      <c r="J1212" s="36" t="str">
        <f t="shared" si="18"/>
        <v>Casi nada popular</v>
      </c>
      <c r="K1212" s="42">
        <v>42496</v>
      </c>
    </row>
    <row r="1213" spans="1:11">
      <c r="A1213" s="39">
        <v>0.47899999999999998</v>
      </c>
      <c r="B1213" s="37">
        <v>109</v>
      </c>
      <c r="C1213" s="38">
        <v>0.42499999999999999</v>
      </c>
      <c r="D1213" s="39">
        <v>0.27900000000000003</v>
      </c>
      <c r="E1213" s="37">
        <v>72</v>
      </c>
      <c r="F1213" s="37">
        <v>1</v>
      </c>
      <c r="G1213" s="37">
        <v>2</v>
      </c>
      <c r="H1213" s="40">
        <f ca="1">LEFT(Music_Data[[#This Row],[Duration_minutes]],3)/60</f>
        <v>3.9666666666666668</v>
      </c>
      <c r="I1213" s="39">
        <v>0.44</v>
      </c>
      <c r="J1213" s="41" t="str">
        <f t="shared" si="18"/>
        <v>Casi nada popular</v>
      </c>
      <c r="K1213" s="43">
        <v>1985</v>
      </c>
    </row>
    <row r="1214" spans="1:11">
      <c r="A1214" s="34">
        <v>0.879</v>
      </c>
      <c r="B1214" s="32">
        <v>848</v>
      </c>
      <c r="C1214" s="33">
        <v>0.74199999999999999</v>
      </c>
      <c r="D1214" s="34">
        <v>0.93600000000000005</v>
      </c>
      <c r="E1214" s="32">
        <v>72</v>
      </c>
      <c r="F1214" s="32">
        <v>0</v>
      </c>
      <c r="G1214" s="32">
        <v>0</v>
      </c>
      <c r="H1214" s="35">
        <f ca="1">LEFT(Music_Data[[#This Row],[Duration_minutes]],3)/60</f>
        <v>3.1666666666666665</v>
      </c>
      <c r="I1214" s="34">
        <v>6.9599999999999995E-2</v>
      </c>
      <c r="J1214" s="36" t="str">
        <f t="shared" si="18"/>
        <v>Casi nada popular</v>
      </c>
      <c r="K1214" s="42">
        <v>41544</v>
      </c>
    </row>
    <row r="1215" spans="1:11">
      <c r="A1215" s="39">
        <v>0.41599999999999998</v>
      </c>
      <c r="B1215" s="37">
        <v>146</v>
      </c>
      <c r="C1215" s="38">
        <v>0.49199999999999999</v>
      </c>
      <c r="D1215" s="39">
        <v>0.29699999999999999</v>
      </c>
      <c r="E1215" s="37">
        <v>71</v>
      </c>
      <c r="F1215" s="37">
        <v>1</v>
      </c>
      <c r="G1215" s="37">
        <v>11</v>
      </c>
      <c r="H1215" s="40">
        <f ca="1">LEFT(Music_Data[[#This Row],[Duration_minutes]],3)/60</f>
        <v>4.3</v>
      </c>
      <c r="I1215" s="39">
        <v>0.68600000000000005</v>
      </c>
      <c r="J1215" s="41" t="str">
        <f t="shared" si="18"/>
        <v>Casi nada popular</v>
      </c>
      <c r="K1215" s="43">
        <v>41191</v>
      </c>
    </row>
    <row r="1216" spans="1:11">
      <c r="A1216" s="34">
        <v>0.67</v>
      </c>
      <c r="B1216" s="32">
        <v>980</v>
      </c>
      <c r="C1216" s="33">
        <v>0.61899999999999999</v>
      </c>
      <c r="D1216" s="34">
        <v>0.77700000000000002</v>
      </c>
      <c r="E1216" s="32">
        <v>71</v>
      </c>
      <c r="F1216" s="32">
        <v>0</v>
      </c>
      <c r="G1216" s="32">
        <v>11</v>
      </c>
      <c r="H1216" s="35">
        <f ca="1">LEFT(Music_Data[[#This Row],[Duration_minutes]],3)/60</f>
        <v>2.9333333333333331</v>
      </c>
      <c r="I1216" s="34">
        <v>1.65E-3</v>
      </c>
      <c r="J1216" s="36" t="str">
        <f t="shared" si="18"/>
        <v>Casi nada popular</v>
      </c>
      <c r="K1216" s="42">
        <v>42335</v>
      </c>
    </row>
    <row r="1217" spans="1:11">
      <c r="A1217" s="39">
        <v>0.52800000000000002</v>
      </c>
      <c r="B1217" s="37">
        <v>114</v>
      </c>
      <c r="C1217" s="38">
        <v>0.93200000000000005</v>
      </c>
      <c r="D1217" s="39">
        <v>0.75700000000000001</v>
      </c>
      <c r="E1217" s="37">
        <v>71</v>
      </c>
      <c r="F1217" s="37">
        <v>0</v>
      </c>
      <c r="G1217" s="37">
        <v>5</v>
      </c>
      <c r="H1217" s="40">
        <f ca="1">LEFT(Music_Data[[#This Row],[Duration_minutes]],3)/60</f>
        <v>3.6166666666666667</v>
      </c>
      <c r="I1217" s="39">
        <v>0.115</v>
      </c>
      <c r="J1217" s="41" t="str">
        <f t="shared" si="18"/>
        <v>Casi nada popular</v>
      </c>
      <c r="K1217" s="43">
        <v>43637</v>
      </c>
    </row>
    <row r="1218" spans="1:11">
      <c r="A1218" s="34">
        <v>0.36599999999999999</v>
      </c>
      <c r="B1218" s="32">
        <v>203</v>
      </c>
      <c r="C1218" s="33">
        <v>0.47199999999999998</v>
      </c>
      <c r="D1218" s="34">
        <v>0.17100000000000001</v>
      </c>
      <c r="E1218" s="32">
        <v>71</v>
      </c>
      <c r="F1218" s="32">
        <v>0</v>
      </c>
      <c r="G1218" s="32">
        <v>11</v>
      </c>
      <c r="H1218" s="35">
        <f ca="1">LEFT(Music_Data[[#This Row],[Duration_minutes]],3)/60</f>
        <v>2.7166666666666668</v>
      </c>
      <c r="I1218" s="34">
        <v>0.15</v>
      </c>
      <c r="J1218" s="36" t="str">
        <f t="shared" si="18"/>
        <v>Casi nada popular</v>
      </c>
      <c r="K1218" s="42">
        <v>44957</v>
      </c>
    </row>
    <row r="1219" spans="1:11">
      <c r="A1219" s="39">
        <v>0.93799999999999994</v>
      </c>
      <c r="B1219" s="37">
        <v>125</v>
      </c>
      <c r="C1219" s="38">
        <v>0.32400000000000001</v>
      </c>
      <c r="D1219" s="39">
        <v>0.54300000000000004</v>
      </c>
      <c r="E1219" s="37">
        <v>71</v>
      </c>
      <c r="F1219" s="37">
        <v>0</v>
      </c>
      <c r="G1219" s="37">
        <v>6</v>
      </c>
      <c r="H1219" s="40">
        <f ca="1">LEFT(Music_Data[[#This Row],[Duration_minutes]],3)/60</f>
        <v>3.5</v>
      </c>
      <c r="I1219" s="39">
        <v>3.2000000000000001E-2</v>
      </c>
      <c r="J1219" s="41" t="str">
        <f t="shared" si="18"/>
        <v>Casi nada popular</v>
      </c>
      <c r="K1219" s="43">
        <v>40909</v>
      </c>
    </row>
    <row r="1220" spans="1:11">
      <c r="A1220" s="34">
        <v>0.80200000000000005</v>
      </c>
      <c r="B1220" s="32">
        <v>102</v>
      </c>
      <c r="C1220" s="33">
        <v>0.83499999999999996</v>
      </c>
      <c r="D1220" s="34">
        <v>0.374</v>
      </c>
      <c r="E1220" s="32">
        <v>71</v>
      </c>
      <c r="F1220" s="32">
        <v>1</v>
      </c>
      <c r="G1220" s="32">
        <v>7</v>
      </c>
      <c r="H1220" s="35">
        <f ca="1">LEFT(Music_Data[[#This Row],[Duration_minutes]],3)/60</f>
        <v>3.4333333333333331</v>
      </c>
      <c r="I1220" s="34">
        <v>3.1099999999999999E-2</v>
      </c>
      <c r="J1220" s="36" t="str">
        <f t="shared" ref="J1220:J1283" si="19">IF(E1220&gt;=94,"Muy Popular",IF(E1220&gt;=86,"Popular",IF(E1220&gt;=78,"No muy popular","Casi nada popular")))</f>
        <v>Casi nada popular</v>
      </c>
      <c r="K1220" s="42">
        <v>43840</v>
      </c>
    </row>
    <row r="1221" spans="1:11">
      <c r="A1221" s="39">
        <v>0.82599999999999996</v>
      </c>
      <c r="B1221" s="37">
        <v>117</v>
      </c>
      <c r="C1221" s="38">
        <v>0.65400000000000003</v>
      </c>
      <c r="D1221" s="39">
        <v>0.41699999999999998</v>
      </c>
      <c r="E1221" s="37">
        <v>71</v>
      </c>
      <c r="F1221" s="37">
        <v>0</v>
      </c>
      <c r="G1221" s="37">
        <v>6</v>
      </c>
      <c r="H1221" s="40">
        <f ca="1">LEFT(Music_Data[[#This Row],[Duration_minutes]],3)/60</f>
        <v>3.9333333333333331</v>
      </c>
      <c r="I1221" s="39">
        <v>1.5299999999999999E-2</v>
      </c>
      <c r="J1221" s="41" t="str">
        <f t="shared" si="19"/>
        <v>Casi nada popular</v>
      </c>
      <c r="K1221" s="43">
        <v>1981</v>
      </c>
    </row>
    <row r="1222" spans="1:11">
      <c r="A1222" s="34">
        <v>0.73199999999999998</v>
      </c>
      <c r="B1222" s="32">
        <v>126</v>
      </c>
      <c r="C1222" s="33">
        <v>0.54800000000000004</v>
      </c>
      <c r="D1222" s="34">
        <v>0.61199999999999999</v>
      </c>
      <c r="E1222" s="32">
        <v>71</v>
      </c>
      <c r="F1222" s="32">
        <v>0</v>
      </c>
      <c r="G1222" s="32">
        <v>11</v>
      </c>
      <c r="H1222" s="35">
        <f ca="1">LEFT(Music_Data[[#This Row],[Duration_minutes]],3)/60</f>
        <v>3.2833333333333332</v>
      </c>
      <c r="I1222" s="34">
        <v>0.125</v>
      </c>
      <c r="J1222" s="36" t="str">
        <f t="shared" si="19"/>
        <v>Casi nada popular</v>
      </c>
      <c r="K1222" s="42">
        <v>40544</v>
      </c>
    </row>
    <row r="1223" spans="1:11">
      <c r="A1223" s="39">
        <v>0.57499999999999996</v>
      </c>
      <c r="B1223" s="37">
        <v>107</v>
      </c>
      <c r="C1223" s="38">
        <v>0.88</v>
      </c>
      <c r="D1223" s="39">
        <v>0.67100000000000004</v>
      </c>
      <c r="E1223" s="37">
        <v>71</v>
      </c>
      <c r="F1223" s="37">
        <v>1</v>
      </c>
      <c r="G1223" s="37">
        <v>6</v>
      </c>
      <c r="H1223" s="40">
        <f ca="1">LEFT(Music_Data[[#This Row],[Duration_minutes]],3)/60</f>
        <v>3.0666666666666669</v>
      </c>
      <c r="I1223" s="39">
        <v>0.41499999999999998</v>
      </c>
      <c r="J1223" s="41" t="str">
        <f t="shared" si="19"/>
        <v>Casi nada popular</v>
      </c>
      <c r="K1223" s="43">
        <v>43123</v>
      </c>
    </row>
    <row r="1224" spans="1:11">
      <c r="A1224" s="34">
        <v>0.70799999999999996</v>
      </c>
      <c r="B1224" s="32">
        <v>129</v>
      </c>
      <c r="C1224" s="33">
        <v>0.71199999999999997</v>
      </c>
      <c r="D1224" s="34">
        <v>0.63400000000000001</v>
      </c>
      <c r="E1224" s="32">
        <v>71</v>
      </c>
      <c r="F1224" s="32">
        <v>0</v>
      </c>
      <c r="G1224" s="32">
        <v>10</v>
      </c>
      <c r="H1224" s="35">
        <f ca="1">LEFT(Music_Data[[#This Row],[Duration_minutes]],3)/60</f>
        <v>3.5666666666666669</v>
      </c>
      <c r="I1224" s="34">
        <v>0.40400000000000003</v>
      </c>
      <c r="J1224" s="36" t="str">
        <f t="shared" si="19"/>
        <v>Casi nada popular</v>
      </c>
      <c r="K1224" s="42">
        <v>41873</v>
      </c>
    </row>
    <row r="1225" spans="1:11">
      <c r="A1225" s="39">
        <v>0.60299999999999998</v>
      </c>
      <c r="B1225" s="37">
        <v>125</v>
      </c>
      <c r="C1225" s="38">
        <v>0.73499999999999999</v>
      </c>
      <c r="D1225" s="39">
        <v>0.42899999999999999</v>
      </c>
      <c r="E1225" s="37">
        <v>71</v>
      </c>
      <c r="F1225" s="37">
        <v>0</v>
      </c>
      <c r="G1225" s="37">
        <v>6</v>
      </c>
      <c r="H1225" s="40">
        <f ca="1">LEFT(Music_Data[[#This Row],[Duration_minutes]],3)/60</f>
        <v>5.65</v>
      </c>
      <c r="I1225" s="39">
        <v>0.22600000000000001</v>
      </c>
      <c r="J1225" s="41" t="str">
        <f t="shared" si="19"/>
        <v>Casi nada popular</v>
      </c>
      <c r="K1225" s="43">
        <v>29904</v>
      </c>
    </row>
    <row r="1226" spans="1:11">
      <c r="A1226" s="34">
        <v>0.68300000000000005</v>
      </c>
      <c r="B1226" s="32">
        <v>128</v>
      </c>
      <c r="C1226" s="33">
        <v>0.501</v>
      </c>
      <c r="D1226" s="34">
        <v>0.623</v>
      </c>
      <c r="E1226" s="32">
        <v>71</v>
      </c>
      <c r="F1226" s="32">
        <v>0</v>
      </c>
      <c r="G1226" s="32">
        <v>6</v>
      </c>
      <c r="H1226" s="35">
        <f ca="1">LEFT(Music_Data[[#This Row],[Duration_minutes]],3)/60</f>
        <v>3.55</v>
      </c>
      <c r="I1226" s="34">
        <v>0.109</v>
      </c>
      <c r="J1226" s="36" t="str">
        <f t="shared" si="19"/>
        <v>Casi nada popular</v>
      </c>
      <c r="K1226" s="42">
        <v>35751</v>
      </c>
    </row>
    <row r="1227" spans="1:11">
      <c r="A1227" s="39">
        <v>0.48099999999999998</v>
      </c>
      <c r="B1227" s="37">
        <v>122</v>
      </c>
      <c r="C1227" s="38">
        <v>0.53400000000000003</v>
      </c>
      <c r="D1227" s="39">
        <v>0.29299999999999998</v>
      </c>
      <c r="E1227" s="37">
        <v>71</v>
      </c>
      <c r="F1227" s="37">
        <v>0</v>
      </c>
      <c r="G1227" s="37">
        <v>0</v>
      </c>
      <c r="H1227" s="40">
        <f ca="1">LEFT(Music_Data[[#This Row],[Duration_minutes]],3)/60</f>
        <v>3.95</v>
      </c>
      <c r="I1227" s="39">
        <v>0.69699999999999995</v>
      </c>
      <c r="J1227" s="41" t="str">
        <f t="shared" si="19"/>
        <v>Casi nada popular</v>
      </c>
      <c r="K1227" s="43">
        <v>30622</v>
      </c>
    </row>
    <row r="1228" spans="1:11">
      <c r="A1228" s="34">
        <v>0.68400000000000005</v>
      </c>
      <c r="B1228" s="32">
        <v>910</v>
      </c>
      <c r="C1228" s="33">
        <v>0.63300000000000001</v>
      </c>
      <c r="D1228" s="34">
        <v>0.72499999999999998</v>
      </c>
      <c r="E1228" s="32">
        <v>71</v>
      </c>
      <c r="F1228" s="32">
        <v>0</v>
      </c>
      <c r="G1228" s="32">
        <v>10</v>
      </c>
      <c r="H1228" s="35">
        <f ca="1">LEFT(Music_Data[[#This Row],[Duration_minutes]],3)/60</f>
        <v>3.0333333333333332</v>
      </c>
      <c r="I1228" s="34">
        <v>0.314</v>
      </c>
      <c r="J1228" s="36" t="str">
        <f t="shared" si="19"/>
        <v>Casi nada popular</v>
      </c>
      <c r="K1228" s="42">
        <v>40043</v>
      </c>
    </row>
    <row r="1229" spans="1:11">
      <c r="A1229" s="39">
        <v>0.35099999999999998</v>
      </c>
      <c r="B1229" s="37">
        <v>104</v>
      </c>
      <c r="C1229" s="38">
        <v>0.66500000000000004</v>
      </c>
      <c r="D1229" s="39">
        <v>0.45100000000000001</v>
      </c>
      <c r="E1229" s="37">
        <v>71</v>
      </c>
      <c r="F1229" s="37">
        <v>1</v>
      </c>
      <c r="G1229" s="37">
        <v>2</v>
      </c>
      <c r="H1229" s="40">
        <f ca="1">LEFT(Music_Data[[#This Row],[Duration_minutes]],3)/60</f>
        <v>4.3666666666666663</v>
      </c>
      <c r="I1229" s="39">
        <v>0.51600000000000001</v>
      </c>
      <c r="J1229" s="41" t="str">
        <f t="shared" si="19"/>
        <v>Casi nada popular</v>
      </c>
      <c r="K1229" s="43">
        <v>2007</v>
      </c>
    </row>
    <row r="1230" spans="1:11">
      <c r="A1230" s="34">
        <v>0.61199999999999999</v>
      </c>
      <c r="B1230" s="32">
        <v>174</v>
      </c>
      <c r="C1230" s="33">
        <v>0.53600000000000003</v>
      </c>
      <c r="D1230" s="34">
        <v>0.56999999999999995</v>
      </c>
      <c r="E1230" s="32">
        <v>71</v>
      </c>
      <c r="F1230" s="32">
        <v>1</v>
      </c>
      <c r="G1230" s="32">
        <v>4</v>
      </c>
      <c r="H1230" s="35">
        <f ca="1">LEFT(Music_Data[[#This Row],[Duration_minutes]],3)/60</f>
        <v>3.6666666666666665</v>
      </c>
      <c r="I1230" s="34">
        <v>0.11899999999999999</v>
      </c>
      <c r="J1230" s="36" t="str">
        <f t="shared" si="19"/>
        <v>Casi nada popular</v>
      </c>
      <c r="K1230" s="42">
        <v>36360</v>
      </c>
    </row>
    <row r="1231" spans="1:11">
      <c r="A1231" s="39">
        <v>0.24199999999999999</v>
      </c>
      <c r="B1231" s="37">
        <v>101</v>
      </c>
      <c r="C1231" s="38">
        <v>0.54900000000000004</v>
      </c>
      <c r="D1231" s="39">
        <v>0.28599999999999998</v>
      </c>
      <c r="E1231" s="37">
        <v>71</v>
      </c>
      <c r="F1231" s="37">
        <v>1</v>
      </c>
      <c r="G1231" s="37">
        <v>5</v>
      </c>
      <c r="H1231" s="40">
        <f ca="1">LEFT(Music_Data[[#This Row],[Duration_minutes]],3)/60</f>
        <v>4.8499999999999996</v>
      </c>
      <c r="I1231" s="39">
        <v>0.80900000000000005</v>
      </c>
      <c r="J1231" s="41" t="str">
        <f t="shared" si="19"/>
        <v>Casi nada popular</v>
      </c>
      <c r="K1231" s="43">
        <v>36704</v>
      </c>
    </row>
    <row r="1232" spans="1:11">
      <c r="A1232" s="34">
        <v>0.80200000000000005</v>
      </c>
      <c r="B1232" s="32">
        <v>126</v>
      </c>
      <c r="C1232" s="33">
        <v>0.71299999999999997</v>
      </c>
      <c r="D1232" s="34">
        <v>0.34300000000000003</v>
      </c>
      <c r="E1232" s="32">
        <v>71</v>
      </c>
      <c r="F1232" s="32">
        <v>1</v>
      </c>
      <c r="G1232" s="32">
        <v>4</v>
      </c>
      <c r="H1232" s="35">
        <f ca="1">LEFT(Music_Data[[#This Row],[Duration_minutes]],3)/60</f>
        <v>3.4166666666666665</v>
      </c>
      <c r="I1232" s="34">
        <v>4.3499999999999997E-2</v>
      </c>
      <c r="J1232" s="36" t="str">
        <f t="shared" si="19"/>
        <v>Casi nada popular</v>
      </c>
      <c r="K1232" s="42">
        <v>41138</v>
      </c>
    </row>
    <row r="1233" spans="1:11">
      <c r="A1233" s="39">
        <v>0.90600000000000003</v>
      </c>
      <c r="B1233" s="37">
        <v>127</v>
      </c>
      <c r="C1233" s="38">
        <v>0.71099999999999997</v>
      </c>
      <c r="D1233" s="39">
        <v>0.82399999999999995</v>
      </c>
      <c r="E1233" s="37">
        <v>71</v>
      </c>
      <c r="F1233" s="37">
        <v>1</v>
      </c>
      <c r="G1233" s="37">
        <v>8</v>
      </c>
      <c r="H1233" s="40">
        <f ca="1">LEFT(Music_Data[[#This Row],[Duration_minutes]],3)/60</f>
        <v>3.5833333333333335</v>
      </c>
      <c r="I1233" s="39">
        <v>9.5200000000000007E-3</v>
      </c>
      <c r="J1233" s="41" t="str">
        <f t="shared" si="19"/>
        <v>Casi nada popular</v>
      </c>
      <c r="K1233" s="43">
        <v>40866</v>
      </c>
    </row>
    <row r="1234" spans="1:11">
      <c r="A1234" s="34">
        <v>0.92100000000000004</v>
      </c>
      <c r="B1234" s="32">
        <v>116</v>
      </c>
      <c r="C1234" s="33">
        <v>0.69099999999999995</v>
      </c>
      <c r="D1234" s="34">
        <v>0.8</v>
      </c>
      <c r="E1234" s="32">
        <v>71</v>
      </c>
      <c r="F1234" s="32">
        <v>0</v>
      </c>
      <c r="G1234" s="32">
        <v>8</v>
      </c>
      <c r="H1234" s="35">
        <f ca="1">LEFT(Music_Data[[#This Row],[Duration_minutes]],3)/60</f>
        <v>3.1666666666666665</v>
      </c>
      <c r="I1234" s="34">
        <v>0.17299999999999999</v>
      </c>
      <c r="J1234" s="36" t="str">
        <f t="shared" si="19"/>
        <v>Casi nada popular</v>
      </c>
      <c r="K1234" s="42">
        <v>43637</v>
      </c>
    </row>
    <row r="1235" spans="1:11">
      <c r="A1235" s="39">
        <v>0.79500000000000004</v>
      </c>
      <c r="B1235" s="37">
        <v>119</v>
      </c>
      <c r="C1235" s="38">
        <v>0.95599999999999996</v>
      </c>
      <c r="D1235" s="39">
        <v>0.84099999999999997</v>
      </c>
      <c r="E1235" s="37">
        <v>71</v>
      </c>
      <c r="F1235" s="37">
        <v>1</v>
      </c>
      <c r="G1235" s="37">
        <v>7</v>
      </c>
      <c r="H1235" s="40">
        <f ca="1">LEFT(Music_Data[[#This Row],[Duration_minutes]],3)/60</f>
        <v>3.4333333333333331</v>
      </c>
      <c r="I1235" s="39">
        <v>3.5599999999999998E-3</v>
      </c>
      <c r="J1235" s="41" t="str">
        <f t="shared" si="19"/>
        <v>Casi nada popular</v>
      </c>
      <c r="K1235" s="43">
        <v>40179</v>
      </c>
    </row>
    <row r="1236" spans="1:11">
      <c r="A1236" s="34">
        <v>0.68300000000000005</v>
      </c>
      <c r="B1236" s="32">
        <v>119</v>
      </c>
      <c r="C1236" s="33">
        <v>0.501</v>
      </c>
      <c r="D1236" s="34">
        <v>0.623</v>
      </c>
      <c r="E1236" s="32">
        <v>71</v>
      </c>
      <c r="F1236" s="32">
        <v>0</v>
      </c>
      <c r="G1236" s="32">
        <v>6</v>
      </c>
      <c r="H1236" s="35">
        <f ca="1">LEFT(Music_Data[[#This Row],[Duration_minutes]],3)/60</f>
        <v>3.9166666666666665</v>
      </c>
      <c r="I1236" s="34">
        <v>0.109</v>
      </c>
      <c r="J1236" s="36" t="str">
        <f t="shared" si="19"/>
        <v>Casi nada popular</v>
      </c>
      <c r="K1236" s="42">
        <v>44295</v>
      </c>
    </row>
    <row r="1237" spans="1:11">
      <c r="A1237" s="39">
        <v>0.71899999999999997</v>
      </c>
      <c r="B1237" s="37">
        <v>129</v>
      </c>
      <c r="C1237" s="38">
        <v>0.89700000000000002</v>
      </c>
      <c r="D1237" s="39">
        <v>0.54600000000000004</v>
      </c>
      <c r="E1237" s="37">
        <v>71</v>
      </c>
      <c r="F1237" s="37">
        <v>0</v>
      </c>
      <c r="G1237" s="37">
        <v>6</v>
      </c>
      <c r="H1237" s="40">
        <f ca="1">LEFT(Music_Data[[#This Row],[Duration_minutes]],3)/60</f>
        <v>4.0166666666666666</v>
      </c>
      <c r="I1237" s="39">
        <v>0.11600000000000001</v>
      </c>
      <c r="J1237" s="41" t="str">
        <f t="shared" si="19"/>
        <v>Casi nada popular</v>
      </c>
      <c r="K1237" s="43">
        <v>30685</v>
      </c>
    </row>
    <row r="1238" spans="1:11">
      <c r="A1238" s="34">
        <v>0.90800000000000003</v>
      </c>
      <c r="B1238" s="32">
        <v>949</v>
      </c>
      <c r="C1238" s="33">
        <v>0.28499999999999998</v>
      </c>
      <c r="D1238" s="34">
        <v>0.66900000000000004</v>
      </c>
      <c r="E1238" s="32">
        <v>71</v>
      </c>
      <c r="F1238" s="32">
        <v>0</v>
      </c>
      <c r="G1238" s="32">
        <v>4</v>
      </c>
      <c r="H1238" s="35">
        <f ca="1">LEFT(Music_Data[[#This Row],[Duration_minutes]],3)/60</f>
        <v>3.95</v>
      </c>
      <c r="I1238" s="34">
        <v>3.1800000000000002E-2</v>
      </c>
      <c r="J1238" s="36" t="str">
        <f t="shared" si="19"/>
        <v>Casi nada popular</v>
      </c>
      <c r="K1238" s="42">
        <v>37376</v>
      </c>
    </row>
    <row r="1239" spans="1:11">
      <c r="A1239" s="39">
        <v>0.90800000000000003</v>
      </c>
      <c r="B1239" s="37">
        <v>172</v>
      </c>
      <c r="C1239" s="38">
        <v>0.41499999999999998</v>
      </c>
      <c r="D1239" s="39">
        <v>0.437</v>
      </c>
      <c r="E1239" s="37">
        <v>71</v>
      </c>
      <c r="F1239" s="37">
        <v>1</v>
      </c>
      <c r="G1239" s="37">
        <v>2</v>
      </c>
      <c r="H1239" s="40">
        <f ca="1">LEFT(Music_Data[[#This Row],[Duration_minutes]],3)/60</f>
        <v>3.3333333333333335</v>
      </c>
      <c r="I1239" s="39">
        <v>4.3699999999999998E-3</v>
      </c>
      <c r="J1239" s="41" t="str">
        <f t="shared" si="19"/>
        <v>Casi nada popular</v>
      </c>
      <c r="K1239" s="43">
        <v>36606</v>
      </c>
    </row>
    <row r="1240" spans="1:11">
      <c r="A1240" s="34">
        <v>0.81100000000000005</v>
      </c>
      <c r="B1240" s="32">
        <v>107</v>
      </c>
      <c r="C1240" s="33">
        <v>0.56100000000000005</v>
      </c>
      <c r="D1240" s="34">
        <v>0.63500000000000001</v>
      </c>
      <c r="E1240" s="32">
        <v>71</v>
      </c>
      <c r="F1240" s="32">
        <v>1</v>
      </c>
      <c r="G1240" s="32">
        <v>4</v>
      </c>
      <c r="H1240" s="35">
        <f ca="1">LEFT(Music_Data[[#This Row],[Duration_minutes]],3)/60</f>
        <v>4.05</v>
      </c>
      <c r="I1240" s="34">
        <v>5.1500000000000001E-3</v>
      </c>
      <c r="J1240" s="36" t="str">
        <f t="shared" si="19"/>
        <v>Casi nada popular</v>
      </c>
      <c r="K1240" s="42">
        <v>1977</v>
      </c>
    </row>
    <row r="1241" spans="1:11">
      <c r="A1241" s="39">
        <v>0.872</v>
      </c>
      <c r="B1241" s="37">
        <v>128</v>
      </c>
      <c r="C1241" s="38">
        <v>0.79700000000000004</v>
      </c>
      <c r="D1241" s="39">
        <v>0.86599999999999999</v>
      </c>
      <c r="E1241" s="37">
        <v>71</v>
      </c>
      <c r="F1241" s="37">
        <v>0</v>
      </c>
      <c r="G1241" s="37">
        <v>9</v>
      </c>
      <c r="H1241" s="40">
        <f ca="1">LEFT(Music_Data[[#This Row],[Duration_minutes]],3)/60</f>
        <v>3.7166666666666668</v>
      </c>
      <c r="I1241" s="39">
        <v>0.29099999999999998</v>
      </c>
      <c r="J1241" s="41" t="str">
        <f t="shared" si="19"/>
        <v>Casi nada popular</v>
      </c>
      <c r="K1241" s="43">
        <v>39132</v>
      </c>
    </row>
    <row r="1242" spans="1:11">
      <c r="A1242" s="34">
        <v>0.90800000000000003</v>
      </c>
      <c r="B1242" s="32">
        <v>925</v>
      </c>
      <c r="C1242" s="33">
        <v>0.28499999999999998</v>
      </c>
      <c r="D1242" s="34">
        <v>0.66900000000000004</v>
      </c>
      <c r="E1242" s="32">
        <v>71</v>
      </c>
      <c r="F1242" s="32">
        <v>0</v>
      </c>
      <c r="G1242" s="32">
        <v>4</v>
      </c>
      <c r="H1242" s="35">
        <f ca="1">LEFT(Music_Data[[#This Row],[Duration_minutes]],3)/60</f>
        <v>3.7333333333333334</v>
      </c>
      <c r="I1242" s="34">
        <v>3.1800000000000002E-2</v>
      </c>
      <c r="J1242" s="36" t="str">
        <f t="shared" si="19"/>
        <v>Casi nada popular</v>
      </c>
      <c r="K1242" s="42">
        <v>41231</v>
      </c>
    </row>
    <row r="1243" spans="1:11">
      <c r="A1243" s="39">
        <v>0.52800000000000002</v>
      </c>
      <c r="B1243" s="37">
        <v>103</v>
      </c>
      <c r="C1243" s="38">
        <v>0.93200000000000005</v>
      </c>
      <c r="D1243" s="39">
        <v>0.75700000000000001</v>
      </c>
      <c r="E1243" s="37">
        <v>71</v>
      </c>
      <c r="F1243" s="37">
        <v>0</v>
      </c>
      <c r="G1243" s="37">
        <v>5</v>
      </c>
      <c r="H1243" s="40">
        <f ca="1">LEFT(Music_Data[[#This Row],[Duration_minutes]],3)/60</f>
        <v>4.2833333333333332</v>
      </c>
      <c r="I1243" s="39">
        <v>0.115</v>
      </c>
      <c r="J1243" s="41" t="str">
        <f t="shared" si="19"/>
        <v>Casi nada popular</v>
      </c>
      <c r="K1243" s="43">
        <v>2006</v>
      </c>
    </row>
    <row r="1244" spans="1:11">
      <c r="A1244" s="34">
        <v>0.81200000000000006</v>
      </c>
      <c r="B1244" s="32">
        <v>129</v>
      </c>
      <c r="C1244" s="33">
        <v>0.69099999999999995</v>
      </c>
      <c r="D1244" s="34">
        <v>0.68500000000000005</v>
      </c>
      <c r="E1244" s="32">
        <v>71</v>
      </c>
      <c r="F1244" s="32">
        <v>1</v>
      </c>
      <c r="G1244" s="32">
        <v>0</v>
      </c>
      <c r="H1244" s="35">
        <f ca="1">LEFT(Music_Data[[#This Row],[Duration_minutes]],3)/60</f>
        <v>3.2833333333333332</v>
      </c>
      <c r="I1244" s="34">
        <v>4.3299999999999998E-2</v>
      </c>
      <c r="J1244" s="36" t="str">
        <f t="shared" si="19"/>
        <v>Casi nada popular</v>
      </c>
      <c r="K1244" s="42">
        <v>35431</v>
      </c>
    </row>
    <row r="1245" spans="1:11">
      <c r="A1245" s="39">
        <v>0.93</v>
      </c>
      <c r="B1245" s="37">
        <v>108</v>
      </c>
      <c r="C1245" s="38">
        <v>0.39800000000000002</v>
      </c>
      <c r="D1245" s="39">
        <v>0.72499999999999998</v>
      </c>
      <c r="E1245" s="37">
        <v>71</v>
      </c>
      <c r="F1245" s="37">
        <v>1</v>
      </c>
      <c r="G1245" s="37">
        <v>11</v>
      </c>
      <c r="H1245" s="40">
        <f ca="1">LEFT(Music_Data[[#This Row],[Duration_minutes]],3)/60</f>
        <v>3.75</v>
      </c>
      <c r="I1245" s="39">
        <v>8.5400000000000005E-4</v>
      </c>
      <c r="J1245" s="41" t="str">
        <f t="shared" si="19"/>
        <v>Casi nada popular</v>
      </c>
      <c r="K1245" s="43">
        <v>35654</v>
      </c>
    </row>
    <row r="1246" spans="1:11">
      <c r="A1246" s="34">
        <v>0.94199999999999995</v>
      </c>
      <c r="B1246" s="32">
        <v>749</v>
      </c>
      <c r="C1246" s="33">
        <v>0.51100000000000001</v>
      </c>
      <c r="D1246" s="34">
        <v>0.498</v>
      </c>
      <c r="E1246" s="32">
        <v>71</v>
      </c>
      <c r="F1246" s="32">
        <v>1</v>
      </c>
      <c r="G1246" s="32">
        <v>0</v>
      </c>
      <c r="H1246" s="35">
        <f ca="1">LEFT(Music_Data[[#This Row],[Duration_minutes]],3)/60</f>
        <v>3.65</v>
      </c>
      <c r="I1246" s="34">
        <v>0.17399999999999999</v>
      </c>
      <c r="J1246" s="36" t="str">
        <f t="shared" si="19"/>
        <v>Casi nada popular</v>
      </c>
      <c r="K1246" s="42">
        <v>43742</v>
      </c>
    </row>
    <row r="1247" spans="1:11">
      <c r="A1247" s="39">
        <v>0.71099999999999997</v>
      </c>
      <c r="B1247" s="37">
        <v>103</v>
      </c>
      <c r="C1247" s="38">
        <v>0.48699999999999999</v>
      </c>
      <c r="D1247" s="39">
        <v>0.317</v>
      </c>
      <c r="E1247" s="37">
        <v>71</v>
      </c>
      <c r="F1247" s="37">
        <v>1</v>
      </c>
      <c r="G1247" s="37">
        <v>8</v>
      </c>
      <c r="H1247" s="40">
        <f ca="1">LEFT(Music_Data[[#This Row],[Duration_minutes]],3)/60</f>
        <v>15.466666666666667</v>
      </c>
      <c r="I1247" s="39">
        <v>1.75E-4</v>
      </c>
      <c r="J1247" s="41" t="str">
        <f t="shared" si="19"/>
        <v>Casi nada popular</v>
      </c>
      <c r="K1247" s="43">
        <v>28472</v>
      </c>
    </row>
    <row r="1248" spans="1:11">
      <c r="A1248" s="34">
        <v>0.41099999999999998</v>
      </c>
      <c r="B1248" s="32">
        <v>122</v>
      </c>
      <c r="C1248" s="33">
        <v>0.58399999999999996</v>
      </c>
      <c r="D1248" s="34">
        <v>0.41199999999999998</v>
      </c>
      <c r="E1248" s="32">
        <v>71</v>
      </c>
      <c r="F1248" s="32">
        <v>0</v>
      </c>
      <c r="G1248" s="32">
        <v>10</v>
      </c>
      <c r="H1248" s="35">
        <f ca="1">LEFT(Music_Data[[#This Row],[Duration_minutes]],3)/60</f>
        <v>5.333333333333333</v>
      </c>
      <c r="I1248" s="34">
        <v>0.86899999999999999</v>
      </c>
      <c r="J1248" s="36" t="str">
        <f t="shared" si="19"/>
        <v>Casi nada popular</v>
      </c>
      <c r="K1248" s="42">
        <v>36962</v>
      </c>
    </row>
    <row r="1249" spans="1:11">
      <c r="A1249" s="39">
        <v>0.51600000000000001</v>
      </c>
      <c r="B1249" s="37">
        <v>126</v>
      </c>
      <c r="C1249" s="38">
        <v>0.87</v>
      </c>
      <c r="D1249" s="39">
        <v>0.53</v>
      </c>
      <c r="E1249" s="37">
        <v>71</v>
      </c>
      <c r="F1249" s="37">
        <v>1</v>
      </c>
      <c r="G1249" s="37">
        <v>1</v>
      </c>
      <c r="H1249" s="40">
        <f ca="1">LEFT(Music_Data[[#This Row],[Duration_minutes]],3)/60</f>
        <v>3.2666666666666666</v>
      </c>
      <c r="I1249" s="39">
        <v>0.65600000000000003</v>
      </c>
      <c r="J1249" s="41" t="str">
        <f t="shared" si="19"/>
        <v>Casi nada popular</v>
      </c>
      <c r="K1249" s="43">
        <v>43280</v>
      </c>
    </row>
    <row r="1250" spans="1:11">
      <c r="A1250" s="34">
        <v>0.623</v>
      </c>
      <c r="B1250" s="32">
        <v>128</v>
      </c>
      <c r="C1250" s="33">
        <v>0.91900000000000004</v>
      </c>
      <c r="D1250" s="34">
        <v>0.77500000000000002</v>
      </c>
      <c r="E1250" s="32">
        <v>71</v>
      </c>
      <c r="F1250" s="32">
        <v>1</v>
      </c>
      <c r="G1250" s="32">
        <v>7</v>
      </c>
      <c r="H1250" s="35">
        <f ca="1">LEFT(Music_Data[[#This Row],[Duration_minutes]],3)/60</f>
        <v>3.6666666666666665</v>
      </c>
      <c r="I1250" s="34">
        <v>0.184</v>
      </c>
      <c r="J1250" s="36" t="str">
        <f t="shared" si="19"/>
        <v>Casi nada popular</v>
      </c>
      <c r="K1250" s="42">
        <v>29892</v>
      </c>
    </row>
    <row r="1251" spans="1:11">
      <c r="A1251" s="39">
        <v>0.58599999999999997</v>
      </c>
      <c r="B1251" s="37">
        <v>117</v>
      </c>
      <c r="C1251" s="38">
        <v>0.32600000000000001</v>
      </c>
      <c r="D1251" s="39">
        <v>0.29499999999999998</v>
      </c>
      <c r="E1251" s="37">
        <v>71</v>
      </c>
      <c r="F1251" s="37">
        <v>1</v>
      </c>
      <c r="G1251" s="37">
        <v>6</v>
      </c>
      <c r="H1251" s="40">
        <f ca="1">LEFT(Music_Data[[#This Row],[Duration_minutes]],3)/60</f>
        <v>5.166666666666667</v>
      </c>
      <c r="I1251" s="39">
        <v>0.53100000000000003</v>
      </c>
      <c r="J1251" s="41" t="str">
        <f t="shared" si="19"/>
        <v>Casi nada popular</v>
      </c>
      <c r="K1251" s="43">
        <v>1986</v>
      </c>
    </row>
    <row r="1252" spans="1:11">
      <c r="A1252" s="34">
        <v>0.52400000000000002</v>
      </c>
      <c r="B1252" s="32">
        <v>129</v>
      </c>
      <c r="C1252" s="33">
        <v>0.747</v>
      </c>
      <c r="D1252" s="34">
        <v>0.36299999999999999</v>
      </c>
      <c r="E1252" s="32">
        <v>71</v>
      </c>
      <c r="F1252" s="32">
        <v>0</v>
      </c>
      <c r="G1252" s="32">
        <v>10</v>
      </c>
      <c r="H1252" s="35">
        <f ca="1">LEFT(Music_Data[[#This Row],[Duration_minutes]],3)/60</f>
        <v>4.0666666666666664</v>
      </c>
      <c r="I1252" s="34">
        <v>3.0599999999999999E-2</v>
      </c>
      <c r="J1252" s="36" t="str">
        <f t="shared" si="19"/>
        <v>Casi nada popular</v>
      </c>
      <c r="K1252" s="42">
        <v>40544</v>
      </c>
    </row>
    <row r="1253" spans="1:11">
      <c r="A1253" s="39">
        <v>0.74399999999999999</v>
      </c>
      <c r="B1253" s="37">
        <v>150</v>
      </c>
      <c r="C1253" s="38">
        <v>0.86699999999999999</v>
      </c>
      <c r="D1253" s="39">
        <v>0.64500000000000002</v>
      </c>
      <c r="E1253" s="37">
        <v>71</v>
      </c>
      <c r="F1253" s="37">
        <v>1</v>
      </c>
      <c r="G1253" s="37">
        <v>2</v>
      </c>
      <c r="H1253" s="40">
        <f ca="1">LEFT(Music_Data[[#This Row],[Duration_minutes]],3)/60</f>
        <v>4.0333333333333332</v>
      </c>
      <c r="I1253" s="39">
        <v>0.26800000000000002</v>
      </c>
      <c r="J1253" s="41" t="str">
        <f t="shared" si="19"/>
        <v>Casi nada popular</v>
      </c>
      <c r="K1253" s="43">
        <v>39580</v>
      </c>
    </row>
    <row r="1254" spans="1:11">
      <c r="A1254" s="34">
        <v>0.73599999999999999</v>
      </c>
      <c r="B1254" s="32">
        <v>159</v>
      </c>
      <c r="C1254" s="33">
        <v>0.77600000000000002</v>
      </c>
      <c r="D1254" s="34">
        <v>0.23300000000000001</v>
      </c>
      <c r="E1254" s="32">
        <v>71</v>
      </c>
      <c r="F1254" s="32">
        <v>1</v>
      </c>
      <c r="G1254" s="32">
        <v>7</v>
      </c>
      <c r="H1254" s="35">
        <f ca="1">LEFT(Music_Data[[#This Row],[Duration_minutes]],3)/60</f>
        <v>3.6666666666666665</v>
      </c>
      <c r="I1254" s="34">
        <v>8.0199999999999994E-2</v>
      </c>
      <c r="J1254" s="36" t="str">
        <f t="shared" si="19"/>
        <v>Casi nada popular</v>
      </c>
      <c r="K1254" s="42">
        <v>40980</v>
      </c>
    </row>
    <row r="1255" spans="1:11">
      <c r="A1255" s="39">
        <v>0.71899999999999997</v>
      </c>
      <c r="B1255" s="37">
        <v>132</v>
      </c>
      <c r="C1255" s="38">
        <v>0.89700000000000002</v>
      </c>
      <c r="D1255" s="39">
        <v>0.54600000000000004</v>
      </c>
      <c r="E1255" s="37">
        <v>71</v>
      </c>
      <c r="F1255" s="37">
        <v>0</v>
      </c>
      <c r="G1255" s="37">
        <v>6</v>
      </c>
      <c r="H1255" s="40">
        <f ca="1">LEFT(Music_Data[[#This Row],[Duration_minutes]],3)/60</f>
        <v>3.6666666666666665</v>
      </c>
      <c r="I1255" s="39">
        <v>0.11600000000000001</v>
      </c>
      <c r="J1255" s="41" t="str">
        <f t="shared" si="19"/>
        <v>Casi nada popular</v>
      </c>
      <c r="K1255" s="43">
        <v>39616</v>
      </c>
    </row>
    <row r="1256" spans="1:11">
      <c r="A1256" s="34">
        <v>0.68300000000000005</v>
      </c>
      <c r="B1256" s="32">
        <v>111</v>
      </c>
      <c r="C1256" s="33">
        <v>0.501</v>
      </c>
      <c r="D1256" s="34">
        <v>0.623</v>
      </c>
      <c r="E1256" s="32">
        <v>71</v>
      </c>
      <c r="F1256" s="32">
        <v>0</v>
      </c>
      <c r="G1256" s="32">
        <v>6</v>
      </c>
      <c r="H1256" s="35">
        <f ca="1">LEFT(Music_Data[[#This Row],[Duration_minutes]],3)/60</f>
        <v>5.7</v>
      </c>
      <c r="I1256" s="34">
        <v>0.109</v>
      </c>
      <c r="J1256" s="36" t="str">
        <f t="shared" si="19"/>
        <v>Casi nada popular</v>
      </c>
      <c r="K1256" s="42">
        <v>40074</v>
      </c>
    </row>
    <row r="1257" spans="1:11">
      <c r="A1257" s="39">
        <v>0.70599999999999996</v>
      </c>
      <c r="B1257" s="37">
        <v>107</v>
      </c>
      <c r="C1257" s="38">
        <v>0.66300000000000003</v>
      </c>
      <c r="D1257" s="39">
        <v>0.47399999999999998</v>
      </c>
      <c r="E1257" s="37">
        <v>71</v>
      </c>
      <c r="F1257" s="37">
        <v>0</v>
      </c>
      <c r="G1257" s="37">
        <v>1</v>
      </c>
      <c r="H1257" s="40">
        <f ca="1">LEFT(Music_Data[[#This Row],[Duration_minutes]],3)/60</f>
        <v>3.8</v>
      </c>
      <c r="I1257" s="39">
        <v>6.54E-2</v>
      </c>
      <c r="J1257" s="41" t="str">
        <f t="shared" si="19"/>
        <v>Casi nada popular</v>
      </c>
      <c r="K1257" s="43">
        <v>37432</v>
      </c>
    </row>
    <row r="1258" spans="1:11">
      <c r="A1258" s="34">
        <v>0.72</v>
      </c>
      <c r="B1258" s="32">
        <v>107</v>
      </c>
      <c r="C1258" s="33">
        <v>0.50800000000000001</v>
      </c>
      <c r="D1258" s="34">
        <v>0.47199999999999998</v>
      </c>
      <c r="E1258" s="32">
        <v>71</v>
      </c>
      <c r="F1258" s="32">
        <v>0</v>
      </c>
      <c r="G1258" s="32">
        <v>11</v>
      </c>
      <c r="H1258" s="35">
        <f ca="1">LEFT(Music_Data[[#This Row],[Duration_minutes]],3)/60</f>
        <v>3.2666666666666666</v>
      </c>
      <c r="I1258" s="34">
        <v>0.27200000000000002</v>
      </c>
      <c r="J1258" s="36" t="str">
        <f t="shared" si="19"/>
        <v>Casi nada popular</v>
      </c>
      <c r="K1258" s="42">
        <v>37208</v>
      </c>
    </row>
    <row r="1259" spans="1:11">
      <c r="A1259" s="39">
        <v>0.63800000000000001</v>
      </c>
      <c r="B1259" s="37">
        <v>112</v>
      </c>
      <c r="C1259" s="38">
        <v>0.378</v>
      </c>
      <c r="D1259" s="39">
        <v>0.73499999999999999</v>
      </c>
      <c r="E1259" s="37">
        <v>71</v>
      </c>
      <c r="F1259" s="37">
        <v>1</v>
      </c>
      <c r="G1259" s="37">
        <v>10</v>
      </c>
      <c r="H1259" s="40">
        <f ca="1">LEFT(Music_Data[[#This Row],[Duration_minutes]],3)/60</f>
        <v>3.4666666666666668</v>
      </c>
      <c r="I1259" s="39">
        <v>0.02</v>
      </c>
      <c r="J1259" s="41" t="str">
        <f t="shared" si="19"/>
        <v>Casi nada popular</v>
      </c>
      <c r="K1259" s="43">
        <v>2001</v>
      </c>
    </row>
    <row r="1260" spans="1:11">
      <c r="A1260" s="34">
        <v>0.54900000000000004</v>
      </c>
      <c r="B1260" s="32">
        <v>110</v>
      </c>
      <c r="C1260" s="33">
        <v>0.64400000000000002</v>
      </c>
      <c r="D1260" s="34">
        <v>0.16700000000000001</v>
      </c>
      <c r="E1260" s="32">
        <v>71</v>
      </c>
      <c r="F1260" s="32">
        <v>0</v>
      </c>
      <c r="G1260" s="32">
        <v>1</v>
      </c>
      <c r="H1260" s="35">
        <f ca="1">LEFT(Music_Data[[#This Row],[Duration_minutes]],3)/60</f>
        <v>3.9</v>
      </c>
      <c r="I1260" s="34">
        <v>2.0899999999999998E-2</v>
      </c>
      <c r="J1260" s="36" t="str">
        <f t="shared" si="19"/>
        <v>Casi nada popular</v>
      </c>
      <c r="K1260" s="42">
        <v>39174</v>
      </c>
    </row>
    <row r="1261" spans="1:11">
      <c r="A1261" s="39">
        <v>0.85899999999999999</v>
      </c>
      <c r="B1261" s="37">
        <v>102</v>
      </c>
      <c r="C1261" s="38">
        <v>0.73299999999999998</v>
      </c>
      <c r="D1261" s="39">
        <v>0.52</v>
      </c>
      <c r="E1261" s="37">
        <v>71</v>
      </c>
      <c r="F1261" s="37">
        <v>0</v>
      </c>
      <c r="G1261" s="37">
        <v>9</v>
      </c>
      <c r="H1261" s="40">
        <f ca="1">LEFT(Music_Data[[#This Row],[Duration_minutes]],3)/60</f>
        <v>2.65</v>
      </c>
      <c r="I1261" s="39">
        <v>0.47899999999999998</v>
      </c>
      <c r="J1261" s="41" t="str">
        <f t="shared" si="19"/>
        <v>Casi nada popular</v>
      </c>
      <c r="K1261" s="43">
        <v>43217</v>
      </c>
    </row>
    <row r="1262" spans="1:11">
      <c r="A1262" s="34">
        <v>0.78600000000000003</v>
      </c>
      <c r="B1262" s="32">
        <v>720</v>
      </c>
      <c r="C1262" s="33">
        <v>0.80800000000000005</v>
      </c>
      <c r="D1262" s="34">
        <v>0.89900000000000002</v>
      </c>
      <c r="E1262" s="32">
        <v>71</v>
      </c>
      <c r="F1262" s="32">
        <v>0</v>
      </c>
      <c r="G1262" s="32">
        <v>4</v>
      </c>
      <c r="H1262" s="35">
        <f ca="1">LEFT(Music_Data[[#This Row],[Duration_minutes]],3)/60</f>
        <v>3.05</v>
      </c>
      <c r="I1262" s="34">
        <v>9.2800000000000001E-3</v>
      </c>
      <c r="J1262" s="36" t="str">
        <f t="shared" si="19"/>
        <v>Casi nada popular</v>
      </c>
      <c r="K1262" s="42">
        <v>43531</v>
      </c>
    </row>
    <row r="1263" spans="1:11">
      <c r="A1263" s="39">
        <v>0.63</v>
      </c>
      <c r="B1263" s="37">
        <v>126</v>
      </c>
      <c r="C1263" s="38">
        <v>0.875</v>
      </c>
      <c r="D1263" s="39">
        <v>0.54800000000000004</v>
      </c>
      <c r="E1263" s="37">
        <v>71</v>
      </c>
      <c r="F1263" s="37">
        <v>1</v>
      </c>
      <c r="G1263" s="37">
        <v>1</v>
      </c>
      <c r="H1263" s="40">
        <f ca="1">LEFT(Music_Data[[#This Row],[Duration_minutes]],3)/60</f>
        <v>2.85</v>
      </c>
      <c r="I1263" s="39">
        <v>5.4599999999999996E-3</v>
      </c>
      <c r="J1263" s="41" t="str">
        <f t="shared" si="19"/>
        <v>Casi nada popular</v>
      </c>
      <c r="K1263" s="43">
        <v>38240</v>
      </c>
    </row>
    <row r="1264" spans="1:11">
      <c r="A1264" s="34">
        <v>0.51700000000000002</v>
      </c>
      <c r="B1264" s="32">
        <v>104</v>
      </c>
      <c r="C1264" s="33">
        <v>0.86699999999999999</v>
      </c>
      <c r="D1264" s="34">
        <v>0.86199999999999999</v>
      </c>
      <c r="E1264" s="32">
        <v>71</v>
      </c>
      <c r="F1264" s="32">
        <v>0</v>
      </c>
      <c r="G1264" s="32">
        <v>11</v>
      </c>
      <c r="H1264" s="35">
        <f ca="1">LEFT(Music_Data[[#This Row],[Duration_minutes]],3)/60</f>
        <v>3.2833333333333332</v>
      </c>
      <c r="I1264" s="34">
        <v>4.4900000000000001E-3</v>
      </c>
      <c r="J1264" s="36" t="str">
        <f t="shared" si="19"/>
        <v>Casi nada popular</v>
      </c>
      <c r="K1264" s="42">
        <v>1975</v>
      </c>
    </row>
    <row r="1265" spans="1:11">
      <c r="A1265" s="39">
        <v>0.90700000000000003</v>
      </c>
      <c r="B1265" s="37">
        <v>155</v>
      </c>
      <c r="C1265" s="38">
        <v>0.51800000000000002</v>
      </c>
      <c r="D1265" s="39">
        <v>0.96099999999999997</v>
      </c>
      <c r="E1265" s="37">
        <v>71</v>
      </c>
      <c r="F1265" s="37">
        <v>1</v>
      </c>
      <c r="G1265" s="37">
        <v>5</v>
      </c>
      <c r="H1265" s="40">
        <f ca="1">LEFT(Music_Data[[#This Row],[Duration_minutes]],3)/60</f>
        <v>3.4</v>
      </c>
      <c r="I1265" s="39">
        <v>2.2100000000000002E-3</v>
      </c>
      <c r="J1265" s="41" t="str">
        <f t="shared" si="19"/>
        <v>Casi nada popular</v>
      </c>
      <c r="K1265" s="43">
        <v>43161</v>
      </c>
    </row>
    <row r="1266" spans="1:11">
      <c r="A1266" s="34">
        <v>0.93600000000000005</v>
      </c>
      <c r="B1266" s="32">
        <v>128</v>
      </c>
      <c r="C1266" s="33">
        <v>0.72899999999999998</v>
      </c>
      <c r="D1266" s="34">
        <v>0.59799999999999998</v>
      </c>
      <c r="E1266" s="32">
        <v>71</v>
      </c>
      <c r="F1266" s="32">
        <v>1</v>
      </c>
      <c r="G1266" s="32">
        <v>9</v>
      </c>
      <c r="H1266" s="35">
        <f ca="1">LEFT(Music_Data[[#This Row],[Duration_minutes]],3)/60</f>
        <v>3.2</v>
      </c>
      <c r="I1266" s="34">
        <v>1.29E-2</v>
      </c>
      <c r="J1266" s="36" t="str">
        <f t="shared" si="19"/>
        <v>Casi nada popular</v>
      </c>
      <c r="K1266" s="42">
        <v>39575</v>
      </c>
    </row>
    <row r="1267" spans="1:11">
      <c r="A1267" s="39">
        <v>0.82799999999999996</v>
      </c>
      <c r="B1267" s="37">
        <v>120</v>
      </c>
      <c r="C1267" s="38">
        <v>0.58699999999999997</v>
      </c>
      <c r="D1267" s="39">
        <v>0.49299999999999999</v>
      </c>
      <c r="E1267" s="37">
        <v>71</v>
      </c>
      <c r="F1267" s="37">
        <v>1</v>
      </c>
      <c r="G1267" s="37">
        <v>11</v>
      </c>
      <c r="H1267" s="40">
        <f ca="1">LEFT(Music_Data[[#This Row],[Duration_minutes]],3)/60</f>
        <v>3.7833333333333332</v>
      </c>
      <c r="I1267" s="39">
        <v>3.2699999999999999E-3</v>
      </c>
      <c r="J1267" s="41" t="str">
        <f t="shared" si="19"/>
        <v>Casi nada popular</v>
      </c>
      <c r="K1267" s="43">
        <v>40179</v>
      </c>
    </row>
    <row r="1268" spans="1:11">
      <c r="A1268" s="34">
        <v>0.35099999999999998</v>
      </c>
      <c r="B1268" s="32">
        <v>122</v>
      </c>
      <c r="C1268" s="33">
        <v>0.66500000000000004</v>
      </c>
      <c r="D1268" s="34">
        <v>0.45100000000000001</v>
      </c>
      <c r="E1268" s="32">
        <v>71</v>
      </c>
      <c r="F1268" s="32">
        <v>1</v>
      </c>
      <c r="G1268" s="32">
        <v>2</v>
      </c>
      <c r="H1268" s="35">
        <f ca="1">LEFT(Music_Data[[#This Row],[Duration_minutes]],3)/60</f>
        <v>3.5666666666666669</v>
      </c>
      <c r="I1268" s="34">
        <v>0.51600000000000001</v>
      </c>
      <c r="J1268" s="36" t="str">
        <f t="shared" si="19"/>
        <v>Casi nada popular</v>
      </c>
      <c r="K1268" s="42">
        <v>42104</v>
      </c>
    </row>
    <row r="1269" spans="1:11">
      <c r="A1269" s="39">
        <v>0.28599999999999998</v>
      </c>
      <c r="B1269" s="37">
        <v>113</v>
      </c>
      <c r="C1269" s="38">
        <v>0.58699999999999997</v>
      </c>
      <c r="D1269" s="39">
        <v>0.30199999999999999</v>
      </c>
      <c r="E1269" s="37">
        <v>71</v>
      </c>
      <c r="F1269" s="37">
        <v>1</v>
      </c>
      <c r="G1269" s="37">
        <v>9</v>
      </c>
      <c r="H1269" s="40">
        <f ca="1">LEFT(Music_Data[[#This Row],[Duration_minutes]],3)/60</f>
        <v>3.15</v>
      </c>
      <c r="I1269" s="39">
        <v>0.185</v>
      </c>
      <c r="J1269" s="41" t="str">
        <f t="shared" si="19"/>
        <v>Casi nada popular</v>
      </c>
      <c r="K1269" s="43">
        <v>40074</v>
      </c>
    </row>
    <row r="1270" spans="1:11">
      <c r="A1270" s="34">
        <v>0.87</v>
      </c>
      <c r="B1270" s="32">
        <v>954</v>
      </c>
      <c r="C1270" s="33">
        <v>0.28000000000000003</v>
      </c>
      <c r="D1270" s="34">
        <v>0.28399999999999997</v>
      </c>
      <c r="E1270" s="32">
        <v>71</v>
      </c>
      <c r="F1270" s="32">
        <v>0</v>
      </c>
      <c r="G1270" s="32">
        <v>10</v>
      </c>
      <c r="H1270" s="35">
        <f ca="1">LEFT(Music_Data[[#This Row],[Duration_minutes]],3)/60</f>
        <v>3.55</v>
      </c>
      <c r="I1270" s="34">
        <v>6.8599999999999998E-4</v>
      </c>
      <c r="J1270" s="36" t="str">
        <f t="shared" si="19"/>
        <v>Casi nada popular</v>
      </c>
      <c r="K1270" s="42">
        <v>35177</v>
      </c>
    </row>
    <row r="1271" spans="1:11">
      <c r="A1271" s="39">
        <v>0.63700000000000001</v>
      </c>
      <c r="B1271" s="37">
        <v>118</v>
      </c>
      <c r="C1271" s="38">
        <v>0.51400000000000001</v>
      </c>
      <c r="D1271" s="39">
        <v>0.18</v>
      </c>
      <c r="E1271" s="37">
        <v>71</v>
      </c>
      <c r="F1271" s="37">
        <v>1</v>
      </c>
      <c r="G1271" s="37">
        <v>0</v>
      </c>
      <c r="H1271" s="40">
        <f ca="1">LEFT(Music_Data[[#This Row],[Duration_minutes]],3)/60</f>
        <v>6.083333333333333</v>
      </c>
      <c r="I1271" s="39">
        <v>0.21299999999999999</v>
      </c>
      <c r="J1271" s="41" t="str">
        <f t="shared" si="19"/>
        <v>Casi nada popular</v>
      </c>
      <c r="K1271" s="43">
        <v>29077</v>
      </c>
    </row>
    <row r="1272" spans="1:11">
      <c r="A1272" s="34">
        <v>0.79600000000000004</v>
      </c>
      <c r="B1272" s="32">
        <v>119</v>
      </c>
      <c r="C1272" s="33">
        <v>0.6</v>
      </c>
      <c r="D1272" s="34">
        <v>0.75</v>
      </c>
      <c r="E1272" s="32">
        <v>71</v>
      </c>
      <c r="F1272" s="32">
        <v>1</v>
      </c>
      <c r="G1272" s="32">
        <v>2</v>
      </c>
      <c r="H1272" s="35">
        <f ca="1">LEFT(Music_Data[[#This Row],[Duration_minutes]],3)/60</f>
        <v>3.5833333333333335</v>
      </c>
      <c r="I1272" s="34">
        <v>1.0900000000000001E-4</v>
      </c>
      <c r="J1272" s="36" t="str">
        <f t="shared" si="19"/>
        <v>Casi nada popular</v>
      </c>
      <c r="K1272" s="42">
        <v>42195</v>
      </c>
    </row>
    <row r="1273" spans="1:11">
      <c r="A1273" s="39">
        <v>0.90800000000000003</v>
      </c>
      <c r="B1273" s="37">
        <v>111</v>
      </c>
      <c r="C1273" s="38">
        <v>0.41499999999999998</v>
      </c>
      <c r="D1273" s="39">
        <v>0.437</v>
      </c>
      <c r="E1273" s="37">
        <v>71</v>
      </c>
      <c r="F1273" s="37">
        <v>1</v>
      </c>
      <c r="G1273" s="37">
        <v>2</v>
      </c>
      <c r="H1273" s="40">
        <f ca="1">LEFT(Music_Data[[#This Row],[Duration_minutes]],3)/60</f>
        <v>3.7666666666666666</v>
      </c>
      <c r="I1273" s="39">
        <v>4.3699999999999998E-3</v>
      </c>
      <c r="J1273" s="41" t="str">
        <f t="shared" si="19"/>
        <v>Casi nada popular</v>
      </c>
      <c r="K1273" s="43">
        <v>31502</v>
      </c>
    </row>
    <row r="1274" spans="1:11">
      <c r="A1274" s="34">
        <v>0.90800000000000003</v>
      </c>
      <c r="B1274" s="32">
        <v>175</v>
      </c>
      <c r="C1274" s="33">
        <v>0.28499999999999998</v>
      </c>
      <c r="D1274" s="34">
        <v>0.66900000000000004</v>
      </c>
      <c r="E1274" s="32">
        <v>71</v>
      </c>
      <c r="F1274" s="32">
        <v>0</v>
      </c>
      <c r="G1274" s="32">
        <v>4</v>
      </c>
      <c r="H1274" s="35">
        <f ca="1">LEFT(Music_Data[[#This Row],[Duration_minutes]],3)/60</f>
        <v>3.4</v>
      </c>
      <c r="I1274" s="34">
        <v>3.1800000000000002E-2</v>
      </c>
      <c r="J1274" s="36" t="str">
        <f t="shared" si="19"/>
        <v>Casi nada popular</v>
      </c>
      <c r="K1274" s="42">
        <v>42370</v>
      </c>
    </row>
    <row r="1275" spans="1:11">
      <c r="A1275" s="39">
        <v>0.90800000000000003</v>
      </c>
      <c r="B1275" s="37">
        <v>178</v>
      </c>
      <c r="C1275" s="38">
        <v>0.41499999999999998</v>
      </c>
      <c r="D1275" s="39">
        <v>0.437</v>
      </c>
      <c r="E1275" s="37">
        <v>71</v>
      </c>
      <c r="F1275" s="37">
        <v>1</v>
      </c>
      <c r="G1275" s="37">
        <v>2</v>
      </c>
      <c r="H1275" s="40">
        <f ca="1">LEFT(Music_Data[[#This Row],[Duration_minutes]],3)/60</f>
        <v>4.05</v>
      </c>
      <c r="I1275" s="39">
        <v>4.3699999999999998E-3</v>
      </c>
      <c r="J1275" s="41" t="str">
        <f t="shared" si="19"/>
        <v>Casi nada popular</v>
      </c>
      <c r="K1275" s="43">
        <v>1999</v>
      </c>
    </row>
    <row r="1276" spans="1:11">
      <c r="A1276" s="34">
        <v>0.89300000000000002</v>
      </c>
      <c r="B1276" s="32">
        <v>119</v>
      </c>
      <c r="C1276" s="33">
        <v>0.61</v>
      </c>
      <c r="D1276" s="34">
        <v>0.67300000000000004</v>
      </c>
      <c r="E1276" s="32">
        <v>71</v>
      </c>
      <c r="F1276" s="32">
        <v>1</v>
      </c>
      <c r="G1276" s="32">
        <v>9</v>
      </c>
      <c r="H1276" s="35">
        <f ca="1">LEFT(Music_Data[[#This Row],[Duration_minutes]],3)/60</f>
        <v>4.3833333333333337</v>
      </c>
      <c r="I1276" s="34">
        <v>0.154</v>
      </c>
      <c r="J1276" s="36" t="str">
        <f t="shared" si="19"/>
        <v>Casi nada popular</v>
      </c>
      <c r="K1276" s="42">
        <v>41275</v>
      </c>
    </row>
    <row r="1277" spans="1:11">
      <c r="A1277" s="39">
        <v>0.92600000000000005</v>
      </c>
      <c r="B1277" s="37">
        <v>129</v>
      </c>
      <c r="C1277" s="38">
        <v>0.57799999999999996</v>
      </c>
      <c r="D1277" s="39">
        <v>0.877</v>
      </c>
      <c r="E1277" s="37">
        <v>71</v>
      </c>
      <c r="F1277" s="37">
        <v>0</v>
      </c>
      <c r="G1277" s="37">
        <v>6</v>
      </c>
      <c r="H1277" s="40">
        <f ca="1">LEFT(Music_Data[[#This Row],[Duration_minutes]],3)/60</f>
        <v>16.45</v>
      </c>
      <c r="I1277" s="39">
        <v>4.7200000000000002E-3</v>
      </c>
      <c r="J1277" s="41" t="str">
        <f t="shared" si="19"/>
        <v>Casi nada popular</v>
      </c>
      <c r="K1277" s="43">
        <v>44778</v>
      </c>
    </row>
    <row r="1278" spans="1:11">
      <c r="A1278" s="34">
        <v>0.90400000000000003</v>
      </c>
      <c r="B1278" s="32">
        <v>115</v>
      </c>
      <c r="C1278" s="33">
        <v>0.48599999999999999</v>
      </c>
      <c r="D1278" s="34">
        <v>0.78600000000000003</v>
      </c>
      <c r="E1278" s="32">
        <v>71</v>
      </c>
      <c r="F1278" s="32">
        <v>0</v>
      </c>
      <c r="G1278" s="32">
        <v>6</v>
      </c>
      <c r="H1278" s="35">
        <f ca="1">LEFT(Music_Data[[#This Row],[Duration_minutes]],3)/60</f>
        <v>3.6666666666666665</v>
      </c>
      <c r="I1278" s="34">
        <v>3.43E-5</v>
      </c>
      <c r="J1278" s="36" t="str">
        <f t="shared" si="19"/>
        <v>Casi nada popular</v>
      </c>
      <c r="K1278" s="42">
        <v>28286</v>
      </c>
    </row>
    <row r="1279" spans="1:11">
      <c r="A1279" s="39">
        <v>0.87</v>
      </c>
      <c r="B1279" s="37">
        <v>127</v>
      </c>
      <c r="C1279" s="38">
        <v>0.28000000000000003</v>
      </c>
      <c r="D1279" s="39">
        <v>0.28399999999999997</v>
      </c>
      <c r="E1279" s="37">
        <v>71</v>
      </c>
      <c r="F1279" s="37">
        <v>0</v>
      </c>
      <c r="G1279" s="37">
        <v>10</v>
      </c>
      <c r="H1279" s="40">
        <f ca="1">LEFT(Music_Data[[#This Row],[Duration_minutes]],3)/60</f>
        <v>2.7666666666666666</v>
      </c>
      <c r="I1279" s="39">
        <v>6.8599999999999998E-4</v>
      </c>
      <c r="J1279" s="41" t="str">
        <f t="shared" si="19"/>
        <v>Casi nada popular</v>
      </c>
      <c r="K1279" s="43">
        <v>41251</v>
      </c>
    </row>
    <row r="1280" spans="1:11">
      <c r="A1280" s="34">
        <v>0.77500000000000002</v>
      </c>
      <c r="B1280" s="32">
        <v>122</v>
      </c>
      <c r="C1280" s="33">
        <v>0.52</v>
      </c>
      <c r="D1280" s="34">
        <v>0.38300000000000001</v>
      </c>
      <c r="E1280" s="32">
        <v>71</v>
      </c>
      <c r="F1280" s="32">
        <v>1</v>
      </c>
      <c r="G1280" s="32">
        <v>0</v>
      </c>
      <c r="H1280" s="35">
        <f ca="1">LEFT(Music_Data[[#This Row],[Duration_minutes]],3)/60</f>
        <v>4.6333333333333337</v>
      </c>
      <c r="I1280" s="34">
        <v>3.4000000000000002E-2</v>
      </c>
      <c r="J1280" s="36" t="str">
        <f t="shared" si="19"/>
        <v>Casi nada popular</v>
      </c>
      <c r="K1280" s="42">
        <v>30837</v>
      </c>
    </row>
    <row r="1281" spans="1:11">
      <c r="A1281" s="39">
        <v>0.51900000000000002</v>
      </c>
      <c r="B1281" s="37">
        <v>129</v>
      </c>
      <c r="C1281" s="38">
        <v>0.54600000000000004</v>
      </c>
      <c r="D1281" s="39">
        <v>0.247</v>
      </c>
      <c r="E1281" s="37">
        <v>71</v>
      </c>
      <c r="F1281" s="37">
        <v>1</v>
      </c>
      <c r="G1281" s="37">
        <v>8</v>
      </c>
      <c r="H1281" s="40">
        <f ca="1">LEFT(Music_Data[[#This Row],[Duration_minutes]],3)/60</f>
        <v>3.2333333333333334</v>
      </c>
      <c r="I1281" s="39">
        <v>0.36</v>
      </c>
      <c r="J1281" s="41" t="str">
        <f t="shared" si="19"/>
        <v>Casi nada popular</v>
      </c>
      <c r="K1281" s="43">
        <v>41250</v>
      </c>
    </row>
    <row r="1282" spans="1:11">
      <c r="A1282" s="34">
        <v>0.249</v>
      </c>
      <c r="B1282" s="32">
        <v>508</v>
      </c>
      <c r="C1282" s="33">
        <v>0.41799999999999998</v>
      </c>
      <c r="D1282" s="34">
        <v>0.21299999999999999</v>
      </c>
      <c r="E1282" s="32">
        <v>71</v>
      </c>
      <c r="F1282" s="32">
        <v>1</v>
      </c>
      <c r="G1282" s="32">
        <v>3</v>
      </c>
      <c r="H1282" s="35">
        <f ca="1">LEFT(Music_Data[[#This Row],[Duration_minutes]],3)/60</f>
        <v>3.6166666666666667</v>
      </c>
      <c r="I1282" s="34">
        <v>0.84099999999999997</v>
      </c>
      <c r="J1282" s="36" t="str">
        <f t="shared" si="19"/>
        <v>Casi nada popular</v>
      </c>
      <c r="K1282" s="42">
        <v>44104</v>
      </c>
    </row>
    <row r="1283" spans="1:11">
      <c r="A1283" s="39">
        <v>0.53300000000000003</v>
      </c>
      <c r="B1283" s="37">
        <v>899</v>
      </c>
      <c r="C1283" s="38">
        <v>0.58399999999999996</v>
      </c>
      <c r="D1283" s="39">
        <v>0.224</v>
      </c>
      <c r="E1283" s="37">
        <v>71</v>
      </c>
      <c r="F1283" s="37">
        <v>0</v>
      </c>
      <c r="G1283" s="37">
        <v>10</v>
      </c>
      <c r="H1283" s="40">
        <f ca="1">LEFT(Music_Data[[#This Row],[Duration_minutes]],3)/60</f>
        <v>2.9166666666666665</v>
      </c>
      <c r="I1283" s="39">
        <v>0.68400000000000005</v>
      </c>
      <c r="J1283" s="41" t="str">
        <f t="shared" si="19"/>
        <v>Casi nada popular</v>
      </c>
      <c r="K1283" s="43">
        <v>41156</v>
      </c>
    </row>
    <row r="1284" spans="1:11">
      <c r="A1284" s="34">
        <v>0.72</v>
      </c>
      <c r="B1284" s="32">
        <v>758</v>
      </c>
      <c r="C1284" s="33">
        <v>0.50800000000000001</v>
      </c>
      <c r="D1284" s="34">
        <v>0.47199999999999998</v>
      </c>
      <c r="E1284" s="32">
        <v>71</v>
      </c>
      <c r="F1284" s="32">
        <v>0</v>
      </c>
      <c r="G1284" s="32">
        <v>11</v>
      </c>
      <c r="H1284" s="35">
        <f ca="1">LEFT(Music_Data[[#This Row],[Duration_minutes]],3)/60</f>
        <v>3.4666666666666668</v>
      </c>
      <c r="I1284" s="34">
        <v>0.27200000000000002</v>
      </c>
      <c r="J1284" s="36" t="str">
        <f t="shared" ref="J1284:J1347" si="20">IF(E1284&gt;=94,"Muy Popular",IF(E1284&gt;=86,"Popular",IF(E1284&gt;=78,"No muy popular","Casi nada popular")))</f>
        <v>Casi nada popular</v>
      </c>
      <c r="K1284" s="42">
        <v>43755</v>
      </c>
    </row>
    <row r="1285" spans="1:11">
      <c r="A1285" s="39">
        <v>0.61199999999999999</v>
      </c>
      <c r="B1285" s="37">
        <v>114</v>
      </c>
      <c r="C1285" s="38">
        <v>0.53600000000000003</v>
      </c>
      <c r="D1285" s="39">
        <v>0.56999999999999995</v>
      </c>
      <c r="E1285" s="37">
        <v>71</v>
      </c>
      <c r="F1285" s="37">
        <v>1</v>
      </c>
      <c r="G1285" s="37">
        <v>4</v>
      </c>
      <c r="H1285" s="40">
        <f ca="1">LEFT(Music_Data[[#This Row],[Duration_minutes]],3)/60</f>
        <v>2.9333333333333331</v>
      </c>
      <c r="I1285" s="39">
        <v>0.11899999999999999</v>
      </c>
      <c r="J1285" s="41" t="str">
        <f t="shared" si="20"/>
        <v>Casi nada popular</v>
      </c>
      <c r="K1285" s="43">
        <v>42944</v>
      </c>
    </row>
    <row r="1286" spans="1:11">
      <c r="A1286" s="34">
        <v>0.54900000000000004</v>
      </c>
      <c r="B1286" s="32">
        <v>129</v>
      </c>
      <c r="C1286" s="33">
        <v>0.64400000000000002</v>
      </c>
      <c r="D1286" s="34">
        <v>0.16700000000000001</v>
      </c>
      <c r="E1286" s="32">
        <v>71</v>
      </c>
      <c r="F1286" s="32">
        <v>0</v>
      </c>
      <c r="G1286" s="32">
        <v>1</v>
      </c>
      <c r="H1286" s="35">
        <f ca="1">LEFT(Music_Data[[#This Row],[Duration_minutes]],3)/60</f>
        <v>2.9833333333333334</v>
      </c>
      <c r="I1286" s="34">
        <v>2.0899999999999998E-2</v>
      </c>
      <c r="J1286" s="36" t="str">
        <f t="shared" si="20"/>
        <v>Casi nada popular</v>
      </c>
      <c r="K1286" s="42">
        <v>39616</v>
      </c>
    </row>
    <row r="1287" spans="1:11">
      <c r="A1287" s="39">
        <v>0.61399999999999999</v>
      </c>
      <c r="B1287" s="37">
        <v>126</v>
      </c>
      <c r="C1287" s="38">
        <v>0.55300000000000005</v>
      </c>
      <c r="D1287" s="39">
        <v>0.34499999999999997</v>
      </c>
      <c r="E1287" s="37">
        <v>71</v>
      </c>
      <c r="F1287" s="37">
        <v>1</v>
      </c>
      <c r="G1287" s="37">
        <v>1</v>
      </c>
      <c r="H1287" s="40">
        <f ca="1">LEFT(Music_Data[[#This Row],[Duration_minutes]],3)/60</f>
        <v>3.5666666666666669</v>
      </c>
      <c r="I1287" s="39">
        <v>0.76400000000000001</v>
      </c>
      <c r="J1287" s="41" t="str">
        <f t="shared" si="20"/>
        <v>Casi nada popular</v>
      </c>
      <c r="K1287" s="43">
        <v>41306</v>
      </c>
    </row>
    <row r="1288" spans="1:11">
      <c r="A1288" s="34">
        <v>0.32400000000000001</v>
      </c>
      <c r="B1288" s="32">
        <v>147</v>
      </c>
      <c r="C1288" s="33">
        <v>0.73299999999999998</v>
      </c>
      <c r="D1288" s="34">
        <v>0.38800000000000001</v>
      </c>
      <c r="E1288" s="32">
        <v>71</v>
      </c>
      <c r="F1288" s="32">
        <v>1</v>
      </c>
      <c r="G1288" s="32">
        <v>5</v>
      </c>
      <c r="H1288" s="35">
        <f ca="1">LEFT(Music_Data[[#This Row],[Duration_minutes]],3)/60</f>
        <v>4.5666666666666664</v>
      </c>
      <c r="I1288" s="34">
        <v>0.47899999999999998</v>
      </c>
      <c r="J1288" s="36" t="str">
        <f t="shared" si="20"/>
        <v>Casi nada popular</v>
      </c>
      <c r="K1288" s="42">
        <v>43350</v>
      </c>
    </row>
    <row r="1289" spans="1:11">
      <c r="A1289" s="39">
        <v>0.73099999999999998</v>
      </c>
      <c r="B1289" s="37">
        <v>130</v>
      </c>
      <c r="C1289" s="38">
        <v>0.65600000000000003</v>
      </c>
      <c r="D1289" s="39">
        <v>0.376</v>
      </c>
      <c r="E1289" s="37">
        <v>71</v>
      </c>
      <c r="F1289" s="37">
        <v>1</v>
      </c>
      <c r="G1289" s="37">
        <v>4</v>
      </c>
      <c r="H1289" s="40">
        <f ca="1">LEFT(Music_Data[[#This Row],[Duration_minutes]],3)/60</f>
        <v>4.3666666666666663</v>
      </c>
      <c r="I1289" s="39">
        <v>0.57499999999999996</v>
      </c>
      <c r="J1289" s="41" t="str">
        <f t="shared" si="20"/>
        <v>Casi nada popular</v>
      </c>
      <c r="K1289" s="43">
        <v>40544</v>
      </c>
    </row>
    <row r="1290" spans="1:11">
      <c r="A1290" s="34">
        <v>0.39900000000000002</v>
      </c>
      <c r="B1290" s="32">
        <v>100</v>
      </c>
      <c r="C1290" s="33">
        <v>0.53700000000000003</v>
      </c>
      <c r="D1290" s="34">
        <v>0.83199999999999996</v>
      </c>
      <c r="E1290" s="32">
        <v>71</v>
      </c>
      <c r="F1290" s="32">
        <v>0</v>
      </c>
      <c r="G1290" s="32">
        <v>4</v>
      </c>
      <c r="H1290" s="35">
        <f ca="1">LEFT(Music_Data[[#This Row],[Duration_minutes]],3)/60</f>
        <v>3.6333333333333333</v>
      </c>
      <c r="I1290" s="34">
        <v>0.20200000000000001</v>
      </c>
      <c r="J1290" s="36" t="str">
        <f t="shared" si="20"/>
        <v>Casi nada popular</v>
      </c>
      <c r="K1290" s="42">
        <v>35202</v>
      </c>
    </row>
    <row r="1291" spans="1:11">
      <c r="A1291" s="39">
        <v>0.53300000000000003</v>
      </c>
      <c r="B1291" s="37">
        <v>131</v>
      </c>
      <c r="C1291" s="38">
        <v>0.68700000000000006</v>
      </c>
      <c r="D1291" s="39">
        <v>0.81399999999999995</v>
      </c>
      <c r="E1291" s="37">
        <v>71</v>
      </c>
      <c r="F1291" s="37">
        <v>1</v>
      </c>
      <c r="G1291" s="37">
        <v>7</v>
      </c>
      <c r="H1291" s="40">
        <f ca="1">LEFT(Music_Data[[#This Row],[Duration_minutes]],3)/60</f>
        <v>3.1333333333333333</v>
      </c>
      <c r="I1291" s="39">
        <v>0.57299999999999995</v>
      </c>
      <c r="J1291" s="41" t="str">
        <f t="shared" si="20"/>
        <v>Casi nada popular</v>
      </c>
      <c r="K1291" s="43">
        <v>1978</v>
      </c>
    </row>
    <row r="1292" spans="1:11">
      <c r="A1292" s="34">
        <v>0.83599999999999997</v>
      </c>
      <c r="B1292" s="32">
        <v>113</v>
      </c>
      <c r="C1292" s="33">
        <v>0.72899999999999998</v>
      </c>
      <c r="D1292" s="34">
        <v>0.28799999999999998</v>
      </c>
      <c r="E1292" s="32">
        <v>71</v>
      </c>
      <c r="F1292" s="32">
        <v>1</v>
      </c>
      <c r="G1292" s="32">
        <v>8</v>
      </c>
      <c r="H1292" s="35">
        <f ca="1">LEFT(Music_Data[[#This Row],[Duration_minutes]],3)/60</f>
        <v>4.4833333333333334</v>
      </c>
      <c r="I1292" s="34">
        <v>0.156</v>
      </c>
      <c r="J1292" s="36" t="str">
        <f t="shared" si="20"/>
        <v>Casi nada popular</v>
      </c>
      <c r="K1292" s="42">
        <v>43021</v>
      </c>
    </row>
    <row r="1293" spans="1:11">
      <c r="A1293" s="39">
        <v>0.78200000000000003</v>
      </c>
      <c r="B1293" s="37">
        <v>132</v>
      </c>
      <c r="C1293" s="38">
        <v>0.76300000000000001</v>
      </c>
      <c r="D1293" s="39">
        <v>0.502</v>
      </c>
      <c r="E1293" s="37">
        <v>71</v>
      </c>
      <c r="F1293" s="37">
        <v>0</v>
      </c>
      <c r="G1293" s="37">
        <v>7</v>
      </c>
      <c r="H1293" s="40">
        <f ca="1">LEFT(Music_Data[[#This Row],[Duration_minutes]],3)/60</f>
        <v>3.65</v>
      </c>
      <c r="I1293" s="39">
        <v>0.182</v>
      </c>
      <c r="J1293" s="41" t="str">
        <f t="shared" si="20"/>
        <v>Casi nada popular</v>
      </c>
      <c r="K1293" s="43">
        <v>40909</v>
      </c>
    </row>
    <row r="1294" spans="1:11">
      <c r="A1294" s="34">
        <v>0.82099999999999995</v>
      </c>
      <c r="B1294" s="32">
        <v>124</v>
      </c>
      <c r="C1294" s="33">
        <v>0.77700000000000002</v>
      </c>
      <c r="D1294" s="34">
        <v>0.439</v>
      </c>
      <c r="E1294" s="32">
        <v>71</v>
      </c>
      <c r="F1294" s="32">
        <v>1</v>
      </c>
      <c r="G1294" s="32">
        <v>1</v>
      </c>
      <c r="H1294" s="35">
        <f ca="1">LEFT(Music_Data[[#This Row],[Duration_minutes]],3)/60</f>
        <v>4.333333333333333</v>
      </c>
      <c r="I1294" s="34">
        <v>0.14000000000000001</v>
      </c>
      <c r="J1294" s="36" t="str">
        <f t="shared" si="20"/>
        <v>Casi nada popular</v>
      </c>
      <c r="K1294" s="42">
        <v>35996</v>
      </c>
    </row>
    <row r="1295" spans="1:11">
      <c r="A1295" s="39">
        <v>0.59399999999999997</v>
      </c>
      <c r="B1295" s="37">
        <v>119</v>
      </c>
      <c r="C1295" s="38">
        <v>0.85299999999999998</v>
      </c>
      <c r="D1295" s="39">
        <v>0.83</v>
      </c>
      <c r="E1295" s="37">
        <v>71</v>
      </c>
      <c r="F1295" s="37">
        <v>0</v>
      </c>
      <c r="G1295" s="37">
        <v>6</v>
      </c>
      <c r="H1295" s="40">
        <f ca="1">LEFT(Music_Data[[#This Row],[Duration_minutes]],3)/60</f>
        <v>3.3666666666666667</v>
      </c>
      <c r="I1295" s="39">
        <v>5.1999999999999998E-2</v>
      </c>
      <c r="J1295" s="41" t="str">
        <f t="shared" si="20"/>
        <v>Casi nada popular</v>
      </c>
      <c r="K1295" s="43">
        <v>40179</v>
      </c>
    </row>
    <row r="1296" spans="1:11">
      <c r="A1296" s="34">
        <v>0.80200000000000005</v>
      </c>
      <c r="B1296" s="32">
        <v>107</v>
      </c>
      <c r="C1296" s="33">
        <v>0.71299999999999997</v>
      </c>
      <c r="D1296" s="34">
        <v>0.34300000000000003</v>
      </c>
      <c r="E1296" s="32">
        <v>71</v>
      </c>
      <c r="F1296" s="32">
        <v>1</v>
      </c>
      <c r="G1296" s="32">
        <v>4</v>
      </c>
      <c r="H1296" s="35">
        <f ca="1">LEFT(Music_Data[[#This Row],[Duration_minutes]],3)/60</f>
        <v>4.416666666666667</v>
      </c>
      <c r="I1296" s="34">
        <v>4.3499999999999997E-2</v>
      </c>
      <c r="J1296" s="36" t="str">
        <f t="shared" si="20"/>
        <v>Casi nada popular</v>
      </c>
      <c r="K1296" s="42">
        <v>45114</v>
      </c>
    </row>
    <row r="1297" spans="1:11">
      <c r="A1297" s="39">
        <v>0.432</v>
      </c>
      <c r="B1297" s="37">
        <v>108</v>
      </c>
      <c r="C1297" s="38">
        <v>0.69499999999999995</v>
      </c>
      <c r="D1297" s="39">
        <v>0.76500000000000001</v>
      </c>
      <c r="E1297" s="37">
        <v>71</v>
      </c>
      <c r="F1297" s="37">
        <v>0</v>
      </c>
      <c r="G1297" s="37">
        <v>11</v>
      </c>
      <c r="H1297" s="40">
        <f ca="1">LEFT(Music_Data[[#This Row],[Duration_minutes]],3)/60</f>
        <v>3.2833333333333332</v>
      </c>
      <c r="I1297" s="39">
        <v>0.312</v>
      </c>
      <c r="J1297" s="41" t="str">
        <f t="shared" si="20"/>
        <v>Casi nada popular</v>
      </c>
      <c r="K1297" s="43">
        <v>35706</v>
      </c>
    </row>
    <row r="1298" spans="1:11">
      <c r="A1298" s="34">
        <v>0.57799999999999996</v>
      </c>
      <c r="B1298" s="32">
        <v>969</v>
      </c>
      <c r="C1298" s="33">
        <v>0.72399999999999998</v>
      </c>
      <c r="D1298" s="34">
        <v>0.75700000000000001</v>
      </c>
      <c r="E1298" s="32">
        <v>71</v>
      </c>
      <c r="F1298" s="32">
        <v>1</v>
      </c>
      <c r="G1298" s="32">
        <v>10</v>
      </c>
      <c r="H1298" s="35">
        <f ca="1">LEFT(Music_Data[[#This Row],[Duration_minutes]],3)/60</f>
        <v>3.1833333333333331</v>
      </c>
      <c r="I1298" s="34">
        <v>0.63200000000000001</v>
      </c>
      <c r="J1298" s="36" t="str">
        <f t="shared" si="20"/>
        <v>Casi nada popular</v>
      </c>
      <c r="K1298" s="42">
        <v>34327</v>
      </c>
    </row>
    <row r="1299" spans="1:11">
      <c r="A1299" s="39">
        <v>0.70299999999999996</v>
      </c>
      <c r="B1299" s="37">
        <v>900</v>
      </c>
      <c r="C1299" s="38">
        <v>0.879</v>
      </c>
      <c r="D1299" s="39">
        <v>0.78800000000000003</v>
      </c>
      <c r="E1299" s="37">
        <v>71</v>
      </c>
      <c r="F1299" s="37">
        <v>1</v>
      </c>
      <c r="G1299" s="37">
        <v>1</v>
      </c>
      <c r="H1299" s="40">
        <f ca="1">LEFT(Music_Data[[#This Row],[Duration_minutes]],3)/60</f>
        <v>4.2166666666666668</v>
      </c>
      <c r="I1299" s="39">
        <v>0.14299999999999999</v>
      </c>
      <c r="J1299" s="41" t="str">
        <f t="shared" si="20"/>
        <v>Casi nada popular</v>
      </c>
      <c r="K1299" s="43">
        <v>39395</v>
      </c>
    </row>
    <row r="1300" spans="1:11">
      <c r="A1300" s="34">
        <v>0.90300000000000002</v>
      </c>
      <c r="B1300" s="32">
        <v>799</v>
      </c>
      <c r="C1300" s="33">
        <v>0.56399999999999995</v>
      </c>
      <c r="D1300" s="34">
        <v>0.60699999999999998</v>
      </c>
      <c r="E1300" s="32">
        <v>71</v>
      </c>
      <c r="F1300" s="32">
        <v>1</v>
      </c>
      <c r="G1300" s="32">
        <v>5</v>
      </c>
      <c r="H1300" s="35">
        <f ca="1">LEFT(Music_Data[[#This Row],[Duration_minutes]],3)/60</f>
        <v>4.3499999999999996</v>
      </c>
      <c r="I1300" s="34">
        <v>0.35599999999999998</v>
      </c>
      <c r="J1300" s="36" t="str">
        <f t="shared" si="20"/>
        <v>Casi nada popular</v>
      </c>
      <c r="K1300" s="42">
        <v>39769</v>
      </c>
    </row>
    <row r="1301" spans="1:11">
      <c r="A1301" s="39">
        <v>0.58399999999999996</v>
      </c>
      <c r="B1301" s="37">
        <v>140</v>
      </c>
      <c r="C1301" s="38">
        <v>0.84899999999999998</v>
      </c>
      <c r="D1301" s="39">
        <v>0.72399999999999998</v>
      </c>
      <c r="E1301" s="37">
        <v>71</v>
      </c>
      <c r="F1301" s="37">
        <v>0</v>
      </c>
      <c r="G1301" s="37">
        <v>1</v>
      </c>
      <c r="H1301" s="40">
        <f ca="1">LEFT(Music_Data[[#This Row],[Duration_minutes]],3)/60</f>
        <v>2.9833333333333334</v>
      </c>
      <c r="I1301" s="39">
        <v>9.2899999999999996E-2</v>
      </c>
      <c r="J1301" s="41" t="str">
        <f t="shared" si="20"/>
        <v>Casi nada popular</v>
      </c>
      <c r="K1301" s="43">
        <v>27764</v>
      </c>
    </row>
    <row r="1302" spans="1:11">
      <c r="A1302" s="34">
        <v>0.69399999999999995</v>
      </c>
      <c r="B1302" s="32">
        <v>870</v>
      </c>
      <c r="C1302" s="33">
        <v>0.70299999999999996</v>
      </c>
      <c r="D1302" s="34">
        <v>0.29799999999999999</v>
      </c>
      <c r="E1302" s="32">
        <v>71</v>
      </c>
      <c r="F1302" s="32">
        <v>0</v>
      </c>
      <c r="G1302" s="32">
        <v>3</v>
      </c>
      <c r="H1302" s="35">
        <f ca="1">LEFT(Music_Data[[#This Row],[Duration_minutes]],3)/60</f>
        <v>2.1</v>
      </c>
      <c r="I1302" s="34">
        <v>0.436</v>
      </c>
      <c r="J1302" s="36" t="str">
        <f t="shared" si="20"/>
        <v>Casi nada popular</v>
      </c>
      <c r="K1302" s="42">
        <v>43630</v>
      </c>
    </row>
    <row r="1303" spans="1:11">
      <c r="A1303" s="39">
        <v>0.71099999999999997</v>
      </c>
      <c r="B1303" s="37">
        <v>711</v>
      </c>
      <c r="C1303" s="38">
        <v>0.82199999999999995</v>
      </c>
      <c r="D1303" s="39">
        <v>0.93400000000000005</v>
      </c>
      <c r="E1303" s="37">
        <v>71</v>
      </c>
      <c r="F1303" s="37">
        <v>1</v>
      </c>
      <c r="G1303" s="37">
        <v>6</v>
      </c>
      <c r="H1303" s="40">
        <f ca="1">LEFT(Music_Data[[#This Row],[Duration_minutes]],3)/60</f>
        <v>3.7333333333333334</v>
      </c>
      <c r="I1303" s="39">
        <v>0.17899999999999999</v>
      </c>
      <c r="J1303" s="41" t="str">
        <f t="shared" si="20"/>
        <v>Casi nada popular</v>
      </c>
      <c r="K1303" s="43">
        <v>44372</v>
      </c>
    </row>
    <row r="1304" spans="1:11">
      <c r="A1304" s="34">
        <v>0.54300000000000004</v>
      </c>
      <c r="B1304" s="32">
        <v>184</v>
      </c>
      <c r="C1304" s="33">
        <v>0.89800000000000002</v>
      </c>
      <c r="D1304" s="34">
        <v>0.35899999999999999</v>
      </c>
      <c r="E1304" s="32">
        <v>71</v>
      </c>
      <c r="F1304" s="32">
        <v>0</v>
      </c>
      <c r="G1304" s="32">
        <v>6</v>
      </c>
      <c r="H1304" s="35">
        <f ca="1">LEFT(Music_Data[[#This Row],[Duration_minutes]],3)/60</f>
        <v>4.166666666666667</v>
      </c>
      <c r="I1304" s="34">
        <v>0.34300000000000003</v>
      </c>
      <c r="J1304" s="36" t="str">
        <f t="shared" si="20"/>
        <v>Casi nada popular</v>
      </c>
      <c r="K1304" s="42">
        <v>40960</v>
      </c>
    </row>
    <row r="1305" spans="1:11">
      <c r="A1305" s="39">
        <v>0.77900000000000003</v>
      </c>
      <c r="B1305" s="37">
        <v>949</v>
      </c>
      <c r="C1305" s="38">
        <v>0.93700000000000006</v>
      </c>
      <c r="D1305" s="39">
        <v>0.95</v>
      </c>
      <c r="E1305" s="37">
        <v>71</v>
      </c>
      <c r="F1305" s="37">
        <v>0</v>
      </c>
      <c r="G1305" s="37">
        <v>4</v>
      </c>
      <c r="H1305" s="40">
        <f ca="1">LEFT(Music_Data[[#This Row],[Duration_minutes]],3)/60</f>
        <v>3.5166666666666666</v>
      </c>
      <c r="I1305" s="39">
        <v>0.22</v>
      </c>
      <c r="J1305" s="41" t="str">
        <f t="shared" si="20"/>
        <v>Casi nada popular</v>
      </c>
      <c r="K1305" s="43">
        <v>45499</v>
      </c>
    </row>
    <row r="1306" spans="1:11">
      <c r="A1306" s="34">
        <v>0.95499999999999996</v>
      </c>
      <c r="B1306" s="32">
        <v>146</v>
      </c>
      <c r="C1306" s="33">
        <v>0.67900000000000005</v>
      </c>
      <c r="D1306" s="34">
        <v>0.71299999999999997</v>
      </c>
      <c r="E1306" s="32">
        <v>71</v>
      </c>
      <c r="F1306" s="32">
        <v>1</v>
      </c>
      <c r="G1306" s="32">
        <v>6</v>
      </c>
      <c r="H1306" s="35">
        <f ca="1">LEFT(Music_Data[[#This Row],[Duration_minutes]],3)/60</f>
        <v>2.5166666666666666</v>
      </c>
      <c r="I1306" s="34">
        <v>7.3700000000000002E-4</v>
      </c>
      <c r="J1306" s="36" t="str">
        <f t="shared" si="20"/>
        <v>Casi nada popular</v>
      </c>
      <c r="K1306" s="42">
        <v>45615</v>
      </c>
    </row>
    <row r="1307" spans="1:11">
      <c r="A1307" s="39">
        <v>0.96</v>
      </c>
      <c r="B1307" s="37">
        <v>123</v>
      </c>
      <c r="C1307" s="38">
        <v>0.86299999999999999</v>
      </c>
      <c r="D1307" s="39">
        <v>0.58599999999999997</v>
      </c>
      <c r="E1307" s="37">
        <v>71</v>
      </c>
      <c r="F1307" s="37">
        <v>1</v>
      </c>
      <c r="G1307" s="37">
        <v>11</v>
      </c>
      <c r="H1307" s="40">
        <f ca="1">LEFT(Music_Data[[#This Row],[Duration_minutes]],3)/60</f>
        <v>4.333333333333333</v>
      </c>
      <c r="I1307" s="39">
        <v>0.497</v>
      </c>
      <c r="J1307" s="41" t="str">
        <f t="shared" si="20"/>
        <v>Casi nada popular</v>
      </c>
      <c r="K1307" s="43">
        <v>40686</v>
      </c>
    </row>
    <row r="1308" spans="1:11">
      <c r="A1308" s="34">
        <v>0.38500000000000001</v>
      </c>
      <c r="B1308" s="32">
        <v>133</v>
      </c>
      <c r="C1308" s="33">
        <v>0.61899999999999999</v>
      </c>
      <c r="D1308" s="34">
        <v>0.29399999999999998</v>
      </c>
      <c r="E1308" s="32">
        <v>71</v>
      </c>
      <c r="F1308" s="32">
        <v>0</v>
      </c>
      <c r="G1308" s="32">
        <v>0</v>
      </c>
      <c r="H1308" s="35">
        <f ca="1">LEFT(Music_Data[[#This Row],[Duration_minutes]],3)/60</f>
        <v>4.2833333333333332</v>
      </c>
      <c r="I1308" s="34">
        <v>0.129</v>
      </c>
      <c r="J1308" s="36" t="str">
        <f t="shared" si="20"/>
        <v>Casi nada popular</v>
      </c>
      <c r="K1308" s="42">
        <v>32924</v>
      </c>
    </row>
    <row r="1309" spans="1:11">
      <c r="A1309" s="39">
        <v>0.54900000000000004</v>
      </c>
      <c r="B1309" s="37">
        <v>122</v>
      </c>
      <c r="C1309" s="38">
        <v>0.61299999999999999</v>
      </c>
      <c r="D1309" s="39">
        <v>0.78</v>
      </c>
      <c r="E1309" s="37">
        <v>71</v>
      </c>
      <c r="F1309" s="37">
        <v>1</v>
      </c>
      <c r="G1309" s="37">
        <v>9</v>
      </c>
      <c r="H1309" s="40">
        <f ca="1">LEFT(Music_Data[[#This Row],[Duration_minutes]],3)/60</f>
        <v>4.2833333333333332</v>
      </c>
      <c r="I1309" s="39">
        <v>9.7000000000000003E-2</v>
      </c>
      <c r="J1309" s="41" t="str">
        <f t="shared" si="20"/>
        <v>Casi nada popular</v>
      </c>
      <c r="K1309" s="43">
        <v>41640</v>
      </c>
    </row>
    <row r="1310" spans="1:11">
      <c r="A1310" s="34">
        <v>0.42199999999999999</v>
      </c>
      <c r="B1310" s="32">
        <v>124</v>
      </c>
      <c r="C1310" s="33">
        <v>0.71799999999999997</v>
      </c>
      <c r="D1310" s="34">
        <v>0.45500000000000002</v>
      </c>
      <c r="E1310" s="32">
        <v>71</v>
      </c>
      <c r="F1310" s="32">
        <v>0</v>
      </c>
      <c r="G1310" s="32">
        <v>4</v>
      </c>
      <c r="H1310" s="35">
        <f ca="1">LEFT(Music_Data[[#This Row],[Duration_minutes]],3)/60</f>
        <v>2.4500000000000002</v>
      </c>
      <c r="I1310" s="34">
        <v>7.6399999999999996E-2</v>
      </c>
      <c r="J1310" s="36" t="str">
        <f t="shared" si="20"/>
        <v>Casi nada popular</v>
      </c>
      <c r="K1310" s="42">
        <v>43560</v>
      </c>
    </row>
    <row r="1311" spans="1:11">
      <c r="A1311" s="39">
        <v>0.377</v>
      </c>
      <c r="B1311" s="37">
        <v>131</v>
      </c>
      <c r="C1311" s="38">
        <v>0.60599999999999998</v>
      </c>
      <c r="D1311" s="39">
        <v>0.44600000000000001</v>
      </c>
      <c r="E1311" s="37">
        <v>71</v>
      </c>
      <c r="F1311" s="37">
        <v>1</v>
      </c>
      <c r="G1311" s="37">
        <v>0</v>
      </c>
      <c r="H1311" s="40">
        <f ca="1">LEFT(Music_Data[[#This Row],[Duration_minutes]],3)/60</f>
        <v>3.2333333333333334</v>
      </c>
      <c r="I1311" s="39">
        <v>0.81699999999999995</v>
      </c>
      <c r="J1311" s="41" t="str">
        <f t="shared" si="20"/>
        <v>Casi nada popular</v>
      </c>
      <c r="K1311" s="43">
        <v>34558</v>
      </c>
    </row>
    <row r="1312" spans="1:11">
      <c r="A1312" s="34">
        <v>0.19900000000000001</v>
      </c>
      <c r="B1312" s="32">
        <v>120</v>
      </c>
      <c r="C1312" s="33">
        <v>0.48</v>
      </c>
      <c r="D1312" s="34">
        <v>0.20100000000000001</v>
      </c>
      <c r="E1312" s="32">
        <v>71</v>
      </c>
      <c r="F1312" s="32">
        <v>1</v>
      </c>
      <c r="G1312" s="32">
        <v>6</v>
      </c>
      <c r="H1312" s="35">
        <f ca="1">LEFT(Music_Data[[#This Row],[Duration_minutes]],3)/60</f>
        <v>4.5333333333333332</v>
      </c>
      <c r="I1312" s="34">
        <v>0.93100000000000005</v>
      </c>
      <c r="J1312" s="36" t="str">
        <f t="shared" si="20"/>
        <v>Casi nada popular</v>
      </c>
      <c r="K1312" s="42">
        <v>38353</v>
      </c>
    </row>
    <row r="1313" spans="1:11">
      <c r="A1313" s="39">
        <v>0.81899999999999995</v>
      </c>
      <c r="B1313" s="37">
        <v>125</v>
      </c>
      <c r="C1313" s="38">
        <v>0.56499999999999995</v>
      </c>
      <c r="D1313" s="39">
        <v>0.68200000000000005</v>
      </c>
      <c r="E1313" s="37">
        <v>71</v>
      </c>
      <c r="F1313" s="37">
        <v>1</v>
      </c>
      <c r="G1313" s="37">
        <v>9</v>
      </c>
      <c r="H1313" s="40">
        <f ca="1">LEFT(Music_Data[[#This Row],[Duration_minutes]],3)/60</f>
        <v>3.5</v>
      </c>
      <c r="I1313" s="39">
        <v>0.23200000000000001</v>
      </c>
      <c r="J1313" s="41" t="str">
        <f t="shared" si="20"/>
        <v>Casi nada popular</v>
      </c>
      <c r="K1313" s="43">
        <v>42146</v>
      </c>
    </row>
    <row r="1314" spans="1:11">
      <c r="A1314" s="34">
        <v>0.54</v>
      </c>
      <c r="B1314" s="32">
        <v>123</v>
      </c>
      <c r="C1314" s="33">
        <v>0.63400000000000001</v>
      </c>
      <c r="D1314" s="34">
        <v>0.54300000000000004</v>
      </c>
      <c r="E1314" s="32">
        <v>71</v>
      </c>
      <c r="F1314" s="32">
        <v>1</v>
      </c>
      <c r="G1314" s="32">
        <v>8</v>
      </c>
      <c r="H1314" s="35">
        <f ca="1">LEFT(Music_Data[[#This Row],[Duration_minutes]],3)/60</f>
        <v>4</v>
      </c>
      <c r="I1314" s="34">
        <v>2.23E-2</v>
      </c>
      <c r="J1314" s="36" t="str">
        <f t="shared" si="20"/>
        <v>Casi nada popular</v>
      </c>
      <c r="K1314" s="42">
        <v>39017</v>
      </c>
    </row>
    <row r="1315" spans="1:11">
      <c r="A1315" s="39">
        <v>0.63100000000000001</v>
      </c>
      <c r="B1315" s="37">
        <v>118</v>
      </c>
      <c r="C1315" s="38">
        <v>0.64800000000000002</v>
      </c>
      <c r="D1315" s="39">
        <v>0.14199999999999999</v>
      </c>
      <c r="E1315" s="37">
        <v>71</v>
      </c>
      <c r="F1315" s="37">
        <v>0</v>
      </c>
      <c r="G1315" s="37">
        <v>4</v>
      </c>
      <c r="H1315" s="40">
        <f ca="1">LEFT(Music_Data[[#This Row],[Duration_minutes]],3)/60</f>
        <v>4.2166666666666668</v>
      </c>
      <c r="I1315" s="39">
        <v>0.38</v>
      </c>
      <c r="J1315" s="41" t="str">
        <f t="shared" si="20"/>
        <v>Casi nada popular</v>
      </c>
      <c r="K1315" s="43">
        <v>42244</v>
      </c>
    </row>
    <row r="1316" spans="1:11">
      <c r="A1316" s="34">
        <v>0.61399999999999999</v>
      </c>
      <c r="B1316" s="32">
        <v>107</v>
      </c>
      <c r="C1316" s="33">
        <v>0.55300000000000005</v>
      </c>
      <c r="D1316" s="34">
        <v>0.34499999999999997</v>
      </c>
      <c r="E1316" s="32">
        <v>71</v>
      </c>
      <c r="F1316" s="32">
        <v>1</v>
      </c>
      <c r="G1316" s="32">
        <v>1</v>
      </c>
      <c r="H1316" s="35">
        <f ca="1">LEFT(Music_Data[[#This Row],[Duration_minutes]],3)/60</f>
        <v>6.3</v>
      </c>
      <c r="I1316" s="34">
        <v>0.76400000000000001</v>
      </c>
      <c r="J1316" s="36" t="str">
        <f t="shared" si="20"/>
        <v>Casi nada popular</v>
      </c>
      <c r="K1316" s="42">
        <v>31048</v>
      </c>
    </row>
    <row r="1317" spans="1:11">
      <c r="A1317" s="39">
        <v>0.499</v>
      </c>
      <c r="B1317" s="37">
        <v>101</v>
      </c>
      <c r="C1317" s="38">
        <v>0.79600000000000004</v>
      </c>
      <c r="D1317" s="39">
        <v>0.79800000000000004</v>
      </c>
      <c r="E1317" s="37">
        <v>71</v>
      </c>
      <c r="F1317" s="37">
        <v>0</v>
      </c>
      <c r="G1317" s="37">
        <v>2</v>
      </c>
      <c r="H1317" s="40">
        <f ca="1">LEFT(Music_Data[[#This Row],[Duration_minutes]],3)/60</f>
        <v>4.1833333333333336</v>
      </c>
      <c r="I1317" s="39">
        <v>0.39200000000000002</v>
      </c>
      <c r="J1317" s="41" t="str">
        <f t="shared" si="20"/>
        <v>Casi nada popular</v>
      </c>
      <c r="K1317" s="43">
        <v>42664</v>
      </c>
    </row>
    <row r="1318" spans="1:11">
      <c r="A1318" s="34">
        <v>0.43099999999999999</v>
      </c>
      <c r="B1318" s="32">
        <v>127</v>
      </c>
      <c r="C1318" s="33">
        <v>0.88100000000000001</v>
      </c>
      <c r="D1318" s="34">
        <v>0.246</v>
      </c>
      <c r="E1318" s="32">
        <v>71</v>
      </c>
      <c r="F1318" s="32">
        <v>0</v>
      </c>
      <c r="G1318" s="32">
        <v>6</v>
      </c>
      <c r="H1318" s="35">
        <f ca="1">LEFT(Music_Data[[#This Row],[Duration_minutes]],3)/60</f>
        <v>4.4000000000000004</v>
      </c>
      <c r="I1318" s="34">
        <v>0.182</v>
      </c>
      <c r="J1318" s="36" t="str">
        <f t="shared" si="20"/>
        <v>Casi nada popular</v>
      </c>
      <c r="K1318" s="42">
        <v>1994</v>
      </c>
    </row>
    <row r="1319" spans="1:11">
      <c r="A1319" s="39">
        <v>0.73299999999999998</v>
      </c>
      <c r="B1319" s="37">
        <v>899</v>
      </c>
      <c r="C1319" s="38">
        <v>0.86399999999999999</v>
      </c>
      <c r="D1319" s="39">
        <v>0.183</v>
      </c>
      <c r="E1319" s="37">
        <v>71</v>
      </c>
      <c r="F1319" s="37">
        <v>0</v>
      </c>
      <c r="G1319" s="37">
        <v>4</v>
      </c>
      <c r="H1319" s="40">
        <f ca="1">LEFT(Music_Data[[#This Row],[Duration_minutes]],3)/60</f>
        <v>2.7833333333333332</v>
      </c>
      <c r="I1319" s="39">
        <v>0.14399999999999999</v>
      </c>
      <c r="J1319" s="41" t="str">
        <f t="shared" si="20"/>
        <v>Casi nada popular</v>
      </c>
      <c r="K1319" s="43">
        <v>43742</v>
      </c>
    </row>
    <row r="1320" spans="1:11">
      <c r="A1320" s="34">
        <v>0.94599999999999995</v>
      </c>
      <c r="B1320" s="32">
        <v>167</v>
      </c>
      <c r="C1320" s="33">
        <v>0.54200000000000004</v>
      </c>
      <c r="D1320" s="34">
        <v>0.22900000000000001</v>
      </c>
      <c r="E1320" s="32">
        <v>71</v>
      </c>
      <c r="F1320" s="32">
        <v>0</v>
      </c>
      <c r="G1320" s="32">
        <v>9</v>
      </c>
      <c r="H1320" s="35">
        <f ca="1">LEFT(Music_Data[[#This Row],[Duration_minutes]],3)/60</f>
        <v>2.4833333333333334</v>
      </c>
      <c r="I1320" s="34">
        <v>3.1199999999999999E-2</v>
      </c>
      <c r="J1320" s="36" t="str">
        <f t="shared" si="20"/>
        <v>Casi nada popular</v>
      </c>
      <c r="K1320" s="42">
        <v>45575</v>
      </c>
    </row>
    <row r="1321" spans="1:11">
      <c r="A1321" s="39">
        <v>5.16E-2</v>
      </c>
      <c r="B1321" s="37">
        <v>130</v>
      </c>
      <c r="C1321" s="38">
        <v>0.27</v>
      </c>
      <c r="D1321" s="39">
        <v>0.19900000000000001</v>
      </c>
      <c r="E1321" s="37">
        <v>71</v>
      </c>
      <c r="F1321" s="37">
        <v>0</v>
      </c>
      <c r="G1321" s="37">
        <v>8</v>
      </c>
      <c r="H1321" s="40">
        <f ca="1">LEFT(Music_Data[[#This Row],[Duration_minutes]],3)/60</f>
        <v>3.6</v>
      </c>
      <c r="I1321" s="39">
        <v>0.98599999999999999</v>
      </c>
      <c r="J1321" s="41" t="str">
        <f t="shared" si="20"/>
        <v>Casi nada popular</v>
      </c>
      <c r="K1321" s="43">
        <v>40909</v>
      </c>
    </row>
    <row r="1322" spans="1:11">
      <c r="A1322" s="34">
        <v>0.14599999999999999</v>
      </c>
      <c r="B1322" s="32">
        <v>116</v>
      </c>
      <c r="C1322" s="33">
        <v>0.26500000000000001</v>
      </c>
      <c r="D1322" s="34">
        <v>0.41599999999999998</v>
      </c>
      <c r="E1322" s="32">
        <v>71</v>
      </c>
      <c r="F1322" s="32">
        <v>0</v>
      </c>
      <c r="G1322" s="32">
        <v>8</v>
      </c>
      <c r="H1322" s="35">
        <f ca="1">LEFT(Music_Data[[#This Row],[Duration_minutes]],3)/60</f>
        <v>4.2333333333333334</v>
      </c>
      <c r="I1322" s="34">
        <v>0.98499999999999999</v>
      </c>
      <c r="J1322" s="36" t="str">
        <f t="shared" si="20"/>
        <v>Casi nada popular</v>
      </c>
      <c r="K1322" s="42">
        <v>39756</v>
      </c>
    </row>
    <row r="1323" spans="1:11">
      <c r="A1323" s="39">
        <v>9.6799999999999997E-2</v>
      </c>
      <c r="B1323" s="37">
        <v>146</v>
      </c>
      <c r="C1323" s="38">
        <v>0.28599999999999998</v>
      </c>
      <c r="D1323" s="39">
        <v>3.95E-2</v>
      </c>
      <c r="E1323" s="37">
        <v>71</v>
      </c>
      <c r="F1323" s="37">
        <v>1</v>
      </c>
      <c r="G1323" s="37">
        <v>7</v>
      </c>
      <c r="H1323" s="40">
        <f ca="1">LEFT(Music_Data[[#This Row],[Duration_minutes]],3)/60</f>
        <v>3.55</v>
      </c>
      <c r="I1323" s="39">
        <v>0.17799999999999999</v>
      </c>
      <c r="J1323" s="41" t="str">
        <f t="shared" si="20"/>
        <v>Casi nada popular</v>
      </c>
      <c r="K1323" s="43">
        <v>42811</v>
      </c>
    </row>
    <row r="1324" spans="1:11">
      <c r="A1324" s="34">
        <v>0.83099999999999996</v>
      </c>
      <c r="B1324" s="32">
        <v>126</v>
      </c>
      <c r="C1324" s="33">
        <v>0.79800000000000004</v>
      </c>
      <c r="D1324" s="34">
        <v>0.72099999999999997</v>
      </c>
      <c r="E1324" s="32">
        <v>71</v>
      </c>
      <c r="F1324" s="32">
        <v>0</v>
      </c>
      <c r="G1324" s="32">
        <v>7</v>
      </c>
      <c r="H1324" s="35">
        <f ca="1">LEFT(Music_Data[[#This Row],[Duration_minutes]],3)/60</f>
        <v>3.4166666666666665</v>
      </c>
      <c r="I1324" s="34">
        <v>0.69699999999999995</v>
      </c>
      <c r="J1324" s="36" t="str">
        <f t="shared" si="20"/>
        <v>Casi nada popular</v>
      </c>
      <c r="K1324" s="42">
        <v>45456</v>
      </c>
    </row>
    <row r="1325" spans="1:11">
      <c r="A1325" s="39">
        <v>0.58299999999999996</v>
      </c>
      <c r="B1325" s="37">
        <v>745</v>
      </c>
      <c r="C1325" s="38">
        <v>0.79300000000000004</v>
      </c>
      <c r="D1325" s="39">
        <v>0.97</v>
      </c>
      <c r="E1325" s="37">
        <v>71</v>
      </c>
      <c r="F1325" s="37">
        <v>0</v>
      </c>
      <c r="G1325" s="37">
        <v>1</v>
      </c>
      <c r="H1325" s="40">
        <f ca="1">LEFT(Music_Data[[#This Row],[Duration_minutes]],3)/60</f>
        <v>4.0999999999999996</v>
      </c>
      <c r="I1325" s="39">
        <v>0.106</v>
      </c>
      <c r="J1325" s="41" t="str">
        <f t="shared" si="20"/>
        <v>Casi nada popular</v>
      </c>
      <c r="K1325" s="43">
        <v>40673</v>
      </c>
    </row>
    <row r="1326" spans="1:11">
      <c r="A1326" s="34">
        <v>0.56899999999999995</v>
      </c>
      <c r="B1326" s="32">
        <v>117</v>
      </c>
      <c r="C1326" s="33">
        <v>0.77200000000000002</v>
      </c>
      <c r="D1326" s="34">
        <v>0.52500000000000002</v>
      </c>
      <c r="E1326" s="32">
        <v>71</v>
      </c>
      <c r="F1326" s="32">
        <v>0</v>
      </c>
      <c r="G1326" s="32">
        <v>6</v>
      </c>
      <c r="H1326" s="35">
        <f ca="1">LEFT(Music_Data[[#This Row],[Duration_minutes]],3)/60</f>
        <v>3.6</v>
      </c>
      <c r="I1326" s="34">
        <v>0.23499999999999999</v>
      </c>
      <c r="J1326" s="36" t="str">
        <f t="shared" si="20"/>
        <v>Casi nada popular</v>
      </c>
      <c r="K1326" s="42">
        <v>42128</v>
      </c>
    </row>
    <row r="1327" spans="1:11">
      <c r="A1327" s="39">
        <v>0.70899999999999996</v>
      </c>
      <c r="B1327" s="37">
        <v>113</v>
      </c>
      <c r="C1327" s="38">
        <v>0.872</v>
      </c>
      <c r="D1327" s="39">
        <v>0.309</v>
      </c>
      <c r="E1327" s="37">
        <v>71</v>
      </c>
      <c r="F1327" s="37">
        <v>1</v>
      </c>
      <c r="G1327" s="37">
        <v>10</v>
      </c>
      <c r="H1327" s="40">
        <f ca="1">LEFT(Music_Data[[#This Row],[Duration_minutes]],3)/60</f>
        <v>3.8333333333333335</v>
      </c>
      <c r="I1327" s="39">
        <v>0.33600000000000002</v>
      </c>
      <c r="J1327" s="41" t="str">
        <f t="shared" si="20"/>
        <v>Casi nada popular</v>
      </c>
      <c r="K1327" s="43">
        <v>43903</v>
      </c>
    </row>
    <row r="1328" spans="1:11">
      <c r="A1328" s="34">
        <v>0.53300000000000003</v>
      </c>
      <c r="B1328" s="32">
        <v>138</v>
      </c>
      <c r="C1328" s="33">
        <v>0.86299999999999999</v>
      </c>
      <c r="D1328" s="34">
        <v>0.73799999999999999</v>
      </c>
      <c r="E1328" s="32">
        <v>71</v>
      </c>
      <c r="F1328" s="32">
        <v>0</v>
      </c>
      <c r="G1328" s="32">
        <v>5</v>
      </c>
      <c r="H1328" s="35">
        <f ca="1">LEFT(Music_Data[[#This Row],[Duration_minutes]],3)/60</f>
        <v>3.7</v>
      </c>
      <c r="I1328" s="34">
        <v>0.29099999999999998</v>
      </c>
      <c r="J1328" s="36" t="str">
        <f t="shared" si="20"/>
        <v>Casi nada popular</v>
      </c>
      <c r="K1328" s="42">
        <v>38495</v>
      </c>
    </row>
    <row r="1329" spans="1:11">
      <c r="A1329" s="39">
        <v>0.54900000000000004</v>
      </c>
      <c r="B1329" s="37">
        <v>946</v>
      </c>
      <c r="C1329" s="38">
        <v>0.61299999999999999</v>
      </c>
      <c r="D1329" s="39">
        <v>0.78</v>
      </c>
      <c r="E1329" s="37">
        <v>71</v>
      </c>
      <c r="F1329" s="37">
        <v>1</v>
      </c>
      <c r="G1329" s="37">
        <v>9</v>
      </c>
      <c r="H1329" s="40">
        <f ca="1">LEFT(Music_Data[[#This Row],[Duration_minutes]],3)/60</f>
        <v>3.9166666666666665</v>
      </c>
      <c r="I1329" s="39">
        <v>9.7000000000000003E-2</v>
      </c>
      <c r="J1329" s="41" t="str">
        <f t="shared" si="20"/>
        <v>Casi nada popular</v>
      </c>
      <c r="K1329" s="43">
        <v>37684</v>
      </c>
    </row>
    <row r="1330" spans="1:11">
      <c r="A1330" s="34">
        <v>0.69099999999999995</v>
      </c>
      <c r="B1330" s="32">
        <v>779</v>
      </c>
      <c r="C1330" s="33">
        <v>0.83599999999999997</v>
      </c>
      <c r="D1330" s="34">
        <v>0.70299999999999996</v>
      </c>
      <c r="E1330" s="32">
        <v>70</v>
      </c>
      <c r="F1330" s="32">
        <v>1</v>
      </c>
      <c r="G1330" s="32">
        <v>1</v>
      </c>
      <c r="H1330" s="35">
        <f ca="1">LEFT(Music_Data[[#This Row],[Duration_minutes]],3)/60</f>
        <v>4.0666666666666664</v>
      </c>
      <c r="I1330" s="34">
        <v>5.8599999999999998E-3</v>
      </c>
      <c r="J1330" s="36" t="str">
        <f t="shared" si="20"/>
        <v>Casi nada popular</v>
      </c>
      <c r="K1330" s="42">
        <v>37411</v>
      </c>
    </row>
    <row r="1331" spans="1:11">
      <c r="A1331" s="39">
        <v>0.81399999999999995</v>
      </c>
      <c r="B1331" s="37">
        <v>148</v>
      </c>
      <c r="C1331" s="38">
        <v>0.67300000000000004</v>
      </c>
      <c r="D1331" s="39">
        <v>0.72799999999999998</v>
      </c>
      <c r="E1331" s="37">
        <v>70</v>
      </c>
      <c r="F1331" s="37">
        <v>1</v>
      </c>
      <c r="G1331" s="37">
        <v>9</v>
      </c>
      <c r="H1331" s="40">
        <f ca="1">LEFT(Music_Data[[#This Row],[Duration_minutes]],3)/60</f>
        <v>2.7833333333333332</v>
      </c>
      <c r="I1331" s="39">
        <v>1.34E-2</v>
      </c>
      <c r="J1331" s="41" t="str">
        <f t="shared" si="20"/>
        <v>Casi nada popular</v>
      </c>
      <c r="K1331" s="43">
        <v>36312</v>
      </c>
    </row>
    <row r="1332" spans="1:11">
      <c r="A1332" s="34">
        <v>0.72199999999999998</v>
      </c>
      <c r="B1332" s="32">
        <v>162</v>
      </c>
      <c r="C1332" s="33">
        <v>0.55000000000000004</v>
      </c>
      <c r="D1332" s="34">
        <v>0.71599999999999997</v>
      </c>
      <c r="E1332" s="32">
        <v>70</v>
      </c>
      <c r="F1332" s="32">
        <v>0</v>
      </c>
      <c r="G1332" s="32">
        <v>11</v>
      </c>
      <c r="H1332" s="35">
        <f ca="1">LEFT(Music_Data[[#This Row],[Duration_minutes]],3)/60</f>
        <v>2.75</v>
      </c>
      <c r="I1332" s="34">
        <v>0.25</v>
      </c>
      <c r="J1332" s="36" t="str">
        <f t="shared" si="20"/>
        <v>Casi nada popular</v>
      </c>
      <c r="K1332" s="42">
        <v>37089</v>
      </c>
    </row>
    <row r="1333" spans="1:11">
      <c r="A1333" s="39">
        <v>0.82799999999999996</v>
      </c>
      <c r="B1333" s="37">
        <v>186</v>
      </c>
      <c r="C1333" s="38">
        <v>0.53900000000000003</v>
      </c>
      <c r="D1333" s="39">
        <v>0.56200000000000006</v>
      </c>
      <c r="E1333" s="37">
        <v>70</v>
      </c>
      <c r="F1333" s="37">
        <v>0</v>
      </c>
      <c r="G1333" s="37">
        <v>4</v>
      </c>
      <c r="H1333" s="40">
        <f ca="1">LEFT(Music_Data[[#This Row],[Duration_minutes]],3)/60</f>
        <v>2.9333333333333331</v>
      </c>
      <c r="I1333" s="39">
        <v>6.7000000000000002E-4</v>
      </c>
      <c r="J1333" s="41" t="str">
        <f t="shared" si="20"/>
        <v>Casi nada popular</v>
      </c>
      <c r="K1333" s="43">
        <v>38251</v>
      </c>
    </row>
    <row r="1334" spans="1:11">
      <c r="A1334" s="34">
        <v>0.34899999999999998</v>
      </c>
      <c r="B1334" s="32">
        <v>111</v>
      </c>
      <c r="C1334" s="33">
        <v>0.48899999999999999</v>
      </c>
      <c r="D1334" s="34">
        <v>0.622</v>
      </c>
      <c r="E1334" s="32">
        <v>70</v>
      </c>
      <c r="F1334" s="32">
        <v>0</v>
      </c>
      <c r="G1334" s="32">
        <v>2</v>
      </c>
      <c r="H1334" s="35">
        <f ca="1">LEFT(Music_Data[[#This Row],[Duration_minutes]],3)/60</f>
        <v>2.6833333333333331</v>
      </c>
      <c r="I1334" s="34">
        <v>0.67600000000000005</v>
      </c>
      <c r="J1334" s="36" t="str">
        <f t="shared" si="20"/>
        <v>Casi nada popular</v>
      </c>
      <c r="K1334" s="42">
        <v>39013</v>
      </c>
    </row>
    <row r="1335" spans="1:11">
      <c r="A1335" s="39">
        <v>0.70599999999999996</v>
      </c>
      <c r="B1335" s="37">
        <v>136</v>
      </c>
      <c r="C1335" s="38">
        <v>0.44500000000000001</v>
      </c>
      <c r="D1335" s="39">
        <v>0.76800000000000002</v>
      </c>
      <c r="E1335" s="37">
        <v>70</v>
      </c>
      <c r="F1335" s="37">
        <v>1</v>
      </c>
      <c r="G1335" s="37">
        <v>8</v>
      </c>
      <c r="H1335" s="40">
        <f ca="1">LEFT(Music_Data[[#This Row],[Duration_minutes]],3)/60</f>
        <v>3.6</v>
      </c>
      <c r="I1335" s="39">
        <v>0.23400000000000001</v>
      </c>
      <c r="J1335" s="41" t="str">
        <f t="shared" si="20"/>
        <v>Casi nada popular</v>
      </c>
      <c r="K1335" s="43">
        <v>41369</v>
      </c>
    </row>
    <row r="1336" spans="1:11">
      <c r="A1336" s="34">
        <v>0.57999999999999996</v>
      </c>
      <c r="B1336" s="32">
        <v>149</v>
      </c>
      <c r="C1336" s="33">
        <v>0.74099999999999999</v>
      </c>
      <c r="D1336" s="34">
        <v>0.94399999999999995</v>
      </c>
      <c r="E1336" s="32">
        <v>70</v>
      </c>
      <c r="F1336" s="32">
        <v>1</v>
      </c>
      <c r="G1336" s="32">
        <v>4</v>
      </c>
      <c r="H1336" s="35">
        <f ca="1">LEFT(Music_Data[[#This Row],[Duration_minutes]],3)/60</f>
        <v>3.4</v>
      </c>
      <c r="I1336" s="34">
        <v>0.11700000000000001</v>
      </c>
      <c r="J1336" s="36" t="str">
        <f t="shared" si="20"/>
        <v>Casi nada popular</v>
      </c>
      <c r="K1336" s="42">
        <v>37411</v>
      </c>
    </row>
    <row r="1337" spans="1:11">
      <c r="A1337" s="39">
        <v>0.80100000000000005</v>
      </c>
      <c r="B1337" s="37">
        <v>157</v>
      </c>
      <c r="C1337" s="38">
        <v>0.65100000000000002</v>
      </c>
      <c r="D1337" s="39">
        <v>0.77600000000000002</v>
      </c>
      <c r="E1337" s="37">
        <v>70</v>
      </c>
      <c r="F1337" s="37">
        <v>1</v>
      </c>
      <c r="G1337" s="37">
        <v>0</v>
      </c>
      <c r="H1337" s="40">
        <f ca="1">LEFT(Music_Data[[#This Row],[Duration_minutes]],3)/60</f>
        <v>2.4666666666666668</v>
      </c>
      <c r="I1337" s="39">
        <v>0.123</v>
      </c>
      <c r="J1337" s="41" t="str">
        <f t="shared" si="20"/>
        <v>Casi nada popular</v>
      </c>
      <c r="K1337" s="43">
        <v>36312</v>
      </c>
    </row>
    <row r="1338" spans="1:11">
      <c r="A1338" s="34">
        <v>0.94399999999999995</v>
      </c>
      <c r="B1338" s="32">
        <v>154</v>
      </c>
      <c r="C1338" s="33">
        <v>0.27</v>
      </c>
      <c r="D1338" s="34">
        <v>0.60599999999999998</v>
      </c>
      <c r="E1338" s="32">
        <v>70</v>
      </c>
      <c r="F1338" s="32">
        <v>1</v>
      </c>
      <c r="G1338" s="32">
        <v>4</v>
      </c>
      <c r="H1338" s="35">
        <f ca="1">LEFT(Music_Data[[#This Row],[Duration_minutes]],3)/60</f>
        <v>3.3833333333333333</v>
      </c>
      <c r="I1338" s="34">
        <v>5.0099999999999997E-3</v>
      </c>
      <c r="J1338" s="36" t="str">
        <f t="shared" si="20"/>
        <v>Casi nada popular</v>
      </c>
      <c r="K1338" s="42">
        <v>39083</v>
      </c>
    </row>
    <row r="1339" spans="1:11">
      <c r="A1339" s="39">
        <v>0.64200000000000002</v>
      </c>
      <c r="B1339" s="37">
        <v>104</v>
      </c>
      <c r="C1339" s="38">
        <v>0.65</v>
      </c>
      <c r="D1339" s="39">
        <v>0.186</v>
      </c>
      <c r="E1339" s="37">
        <v>70</v>
      </c>
      <c r="F1339" s="37">
        <v>1</v>
      </c>
      <c r="G1339" s="37">
        <v>2</v>
      </c>
      <c r="H1339" s="40">
        <f ca="1">LEFT(Music_Data[[#This Row],[Duration_minutes]],3)/60</f>
        <v>4.75</v>
      </c>
      <c r="I1339" s="39">
        <v>5.0200000000000002E-3</v>
      </c>
      <c r="J1339" s="41" t="str">
        <f t="shared" si="20"/>
        <v>Casi nada popular</v>
      </c>
      <c r="K1339" s="43">
        <v>38251</v>
      </c>
    </row>
    <row r="1340" spans="1:11">
      <c r="A1340" s="34">
        <v>0.50900000000000001</v>
      </c>
      <c r="B1340" s="32">
        <v>162</v>
      </c>
      <c r="C1340" s="33">
        <v>0.66200000000000003</v>
      </c>
      <c r="D1340" s="34">
        <v>0.54900000000000004</v>
      </c>
      <c r="E1340" s="32">
        <v>70</v>
      </c>
      <c r="F1340" s="32">
        <v>1</v>
      </c>
      <c r="G1340" s="32">
        <v>1</v>
      </c>
      <c r="H1340" s="35">
        <f ca="1">LEFT(Music_Data[[#This Row],[Duration_minutes]],3)/60</f>
        <v>3.8166666666666669</v>
      </c>
      <c r="I1340" s="34">
        <v>0.247</v>
      </c>
      <c r="J1340" s="36" t="str">
        <f t="shared" si="20"/>
        <v>Casi nada popular</v>
      </c>
      <c r="K1340" s="42">
        <v>38475</v>
      </c>
    </row>
    <row r="1341" spans="1:11">
      <c r="A1341" s="39">
        <v>0.52500000000000002</v>
      </c>
      <c r="B1341" s="37">
        <v>125</v>
      </c>
      <c r="C1341" s="38">
        <v>0.77600000000000002</v>
      </c>
      <c r="D1341" s="39">
        <v>0.46700000000000003</v>
      </c>
      <c r="E1341" s="37">
        <v>70</v>
      </c>
      <c r="F1341" s="37">
        <v>1</v>
      </c>
      <c r="G1341" s="37">
        <v>1</v>
      </c>
      <c r="H1341" s="40">
        <f ca="1">LEFT(Music_Data[[#This Row],[Duration_minutes]],3)/60</f>
        <v>3.4</v>
      </c>
      <c r="I1341" s="39">
        <v>3.6600000000000001E-2</v>
      </c>
      <c r="J1341" s="41" t="str">
        <f t="shared" si="20"/>
        <v>Casi nada popular</v>
      </c>
      <c r="K1341" s="43">
        <v>38146</v>
      </c>
    </row>
    <row r="1342" spans="1:11">
      <c r="A1342" s="34">
        <v>0.63100000000000001</v>
      </c>
      <c r="B1342" s="32">
        <v>110</v>
      </c>
      <c r="C1342" s="33">
        <v>0.77200000000000002</v>
      </c>
      <c r="D1342" s="34">
        <v>0.433</v>
      </c>
      <c r="E1342" s="32">
        <v>70</v>
      </c>
      <c r="F1342" s="32">
        <v>1</v>
      </c>
      <c r="G1342" s="32">
        <v>10</v>
      </c>
      <c r="H1342" s="35">
        <f ca="1">LEFT(Music_Data[[#This Row],[Duration_minutes]],3)/60</f>
        <v>3.7833333333333332</v>
      </c>
      <c r="I1342" s="34">
        <v>6.4799999999999996E-2</v>
      </c>
      <c r="J1342" s="36" t="str">
        <f t="shared" si="20"/>
        <v>Casi nada popular</v>
      </c>
      <c r="K1342" s="42">
        <v>37622</v>
      </c>
    </row>
    <row r="1343" spans="1:11">
      <c r="A1343" s="39">
        <v>0.68</v>
      </c>
      <c r="B1343" s="37">
        <v>114</v>
      </c>
      <c r="C1343" s="38">
        <v>0.85</v>
      </c>
      <c r="D1343" s="39">
        <v>0.69399999999999995</v>
      </c>
      <c r="E1343" s="37">
        <v>70</v>
      </c>
      <c r="F1343" s="37">
        <v>0</v>
      </c>
      <c r="G1343" s="37">
        <v>3</v>
      </c>
      <c r="H1343" s="40">
        <f ca="1">LEFT(Music_Data[[#This Row],[Duration_minutes]],3)/60</f>
        <v>3</v>
      </c>
      <c r="I1343" s="39">
        <v>0.73199999999999998</v>
      </c>
      <c r="J1343" s="41" t="str">
        <f t="shared" si="20"/>
        <v>Casi nada popular</v>
      </c>
      <c r="K1343" s="43">
        <v>38475</v>
      </c>
    </row>
    <row r="1344" spans="1:11">
      <c r="A1344" s="34">
        <v>0.65800000000000003</v>
      </c>
      <c r="B1344" s="32">
        <v>177</v>
      </c>
      <c r="C1344" s="33">
        <v>0.752</v>
      </c>
      <c r="D1344" s="34">
        <v>0.38700000000000001</v>
      </c>
      <c r="E1344" s="32">
        <v>70</v>
      </c>
      <c r="F1344" s="32">
        <v>1</v>
      </c>
      <c r="G1344" s="32">
        <v>0</v>
      </c>
      <c r="H1344" s="35">
        <f ca="1">LEFT(Music_Data[[#This Row],[Duration_minutes]],3)/60</f>
        <v>2.9166666666666665</v>
      </c>
      <c r="I1344" s="34">
        <v>4.2099999999999999E-2</v>
      </c>
      <c r="J1344" s="36" t="str">
        <f t="shared" si="20"/>
        <v>Casi nada popular</v>
      </c>
      <c r="K1344" s="42">
        <v>37533</v>
      </c>
    </row>
    <row r="1345" spans="1:11">
      <c r="A1345" s="39">
        <v>0.94599999999999995</v>
      </c>
      <c r="B1345" s="37">
        <v>112</v>
      </c>
      <c r="C1345" s="38">
        <v>0.80400000000000005</v>
      </c>
      <c r="D1345" s="39">
        <v>0.745</v>
      </c>
      <c r="E1345" s="37">
        <v>70</v>
      </c>
      <c r="F1345" s="37">
        <v>1</v>
      </c>
      <c r="G1345" s="37">
        <v>7</v>
      </c>
      <c r="H1345" s="40">
        <f ca="1">LEFT(Music_Data[[#This Row],[Duration_minutes]],3)/60</f>
        <v>3.9333333333333331</v>
      </c>
      <c r="I1345" s="39">
        <v>2E-3</v>
      </c>
      <c r="J1345" s="41" t="str">
        <f t="shared" si="20"/>
        <v>Casi nada popular</v>
      </c>
      <c r="K1345" s="43">
        <v>41107</v>
      </c>
    </row>
    <row r="1346" spans="1:11">
      <c r="A1346" s="34">
        <v>0.54700000000000004</v>
      </c>
      <c r="B1346" s="32">
        <v>929</v>
      </c>
      <c r="C1346" s="33">
        <v>0.92</v>
      </c>
      <c r="D1346" s="34">
        <v>0.60599999999999998</v>
      </c>
      <c r="E1346" s="32">
        <v>70</v>
      </c>
      <c r="F1346" s="32">
        <v>0</v>
      </c>
      <c r="G1346" s="32">
        <v>6</v>
      </c>
      <c r="H1346" s="35">
        <f ca="1">LEFT(Music_Data[[#This Row],[Duration_minutes]],3)/60</f>
        <v>3.2</v>
      </c>
      <c r="I1346" s="34">
        <v>2.41E-2</v>
      </c>
      <c r="J1346" s="36" t="str">
        <f t="shared" si="20"/>
        <v>Casi nada popular</v>
      </c>
      <c r="K1346" s="42">
        <v>38718</v>
      </c>
    </row>
    <row r="1347" spans="1:11">
      <c r="A1347" s="39">
        <v>0.72699999999999998</v>
      </c>
      <c r="B1347" s="37">
        <v>955</v>
      </c>
      <c r="C1347" s="38">
        <v>0.47699999999999998</v>
      </c>
      <c r="D1347" s="39">
        <v>0.22700000000000001</v>
      </c>
      <c r="E1347" s="37">
        <v>70</v>
      </c>
      <c r="F1347" s="37">
        <v>1</v>
      </c>
      <c r="G1347" s="37">
        <v>2</v>
      </c>
      <c r="H1347" s="40">
        <f ca="1">LEFT(Music_Data[[#This Row],[Duration_minutes]],3)/60</f>
        <v>2.85</v>
      </c>
      <c r="I1347" s="39">
        <v>8.6600000000000002E-4</v>
      </c>
      <c r="J1347" s="41" t="str">
        <f t="shared" si="20"/>
        <v>Casi nada popular</v>
      </c>
      <c r="K1347" s="43">
        <v>2001</v>
      </c>
    </row>
    <row r="1348" spans="1:11">
      <c r="A1348" s="34">
        <v>0.56399999999999995</v>
      </c>
      <c r="B1348" s="32">
        <v>103</v>
      </c>
      <c r="C1348" s="33">
        <v>0.85599999999999998</v>
      </c>
      <c r="D1348" s="34">
        <v>0.48299999999999998</v>
      </c>
      <c r="E1348" s="32">
        <v>70</v>
      </c>
      <c r="F1348" s="32">
        <v>0</v>
      </c>
      <c r="G1348" s="32">
        <v>6</v>
      </c>
      <c r="H1348" s="35">
        <f ca="1">LEFT(Music_Data[[#This Row],[Duration_minutes]],3)/60</f>
        <v>2.8166666666666669</v>
      </c>
      <c r="I1348" s="34">
        <v>3.2699999999999999E-3</v>
      </c>
      <c r="J1348" s="36" t="str">
        <f t="shared" ref="J1348:J1411" si="21">IF(E1348&gt;=94,"Muy Popular",IF(E1348&gt;=86,"Popular",IF(E1348&gt;=78,"No muy popular","Casi nada popular")))</f>
        <v>Casi nada popular</v>
      </c>
      <c r="K1348" s="42">
        <v>36213</v>
      </c>
    </row>
    <row r="1349" spans="1:11">
      <c r="A1349" s="39">
        <v>0.63100000000000001</v>
      </c>
      <c r="B1349" s="37">
        <v>179</v>
      </c>
      <c r="C1349" s="38">
        <v>0.80700000000000005</v>
      </c>
      <c r="D1349" s="39">
        <v>0.126</v>
      </c>
      <c r="E1349" s="37">
        <v>70</v>
      </c>
      <c r="F1349" s="37">
        <v>1</v>
      </c>
      <c r="G1349" s="37">
        <v>8</v>
      </c>
      <c r="H1349" s="40">
        <f ca="1">LEFT(Music_Data[[#This Row],[Duration_minutes]],3)/60</f>
        <v>3.1</v>
      </c>
      <c r="I1349" s="39">
        <v>0.40699999999999997</v>
      </c>
      <c r="J1349" s="41" t="str">
        <f t="shared" si="21"/>
        <v>Casi nada popular</v>
      </c>
      <c r="K1349" s="43">
        <v>38146</v>
      </c>
    </row>
    <row r="1350" spans="1:11">
      <c r="A1350" s="34">
        <v>0.66600000000000004</v>
      </c>
      <c r="B1350" s="32">
        <v>169</v>
      </c>
      <c r="C1350" s="33">
        <v>0.92600000000000005</v>
      </c>
      <c r="D1350" s="34">
        <v>0.16800000000000001</v>
      </c>
      <c r="E1350" s="32">
        <v>70</v>
      </c>
      <c r="F1350" s="32">
        <v>1</v>
      </c>
      <c r="G1350" s="32">
        <v>11</v>
      </c>
      <c r="H1350" s="35">
        <f ca="1">LEFT(Music_Data[[#This Row],[Duration_minutes]],3)/60</f>
        <v>3.9666666666666668</v>
      </c>
      <c r="I1350" s="34">
        <v>6.1100000000000002E-2</v>
      </c>
      <c r="J1350" s="36" t="str">
        <f t="shared" si="21"/>
        <v>Casi nada popular</v>
      </c>
      <c r="K1350" s="42">
        <v>39013</v>
      </c>
    </row>
    <row r="1351" spans="1:11">
      <c r="A1351" s="39">
        <v>0.92800000000000005</v>
      </c>
      <c r="B1351" s="37">
        <v>137</v>
      </c>
      <c r="C1351" s="38">
        <v>0.61599999999999999</v>
      </c>
      <c r="D1351" s="39">
        <v>0.23</v>
      </c>
      <c r="E1351" s="37">
        <v>70</v>
      </c>
      <c r="F1351" s="37">
        <v>0</v>
      </c>
      <c r="G1351" s="37">
        <v>9</v>
      </c>
      <c r="H1351" s="40">
        <f ca="1">LEFT(Music_Data[[#This Row],[Duration_minutes]],3)/60</f>
        <v>4.45</v>
      </c>
      <c r="I1351" s="39">
        <v>1.6799999999999999E-2</v>
      </c>
      <c r="J1351" s="41" t="str">
        <f t="shared" si="21"/>
        <v>Casi nada popular</v>
      </c>
      <c r="K1351" s="43">
        <v>40084</v>
      </c>
    </row>
    <row r="1352" spans="1:11">
      <c r="A1352" s="34">
        <v>0.54200000000000004</v>
      </c>
      <c r="B1352" s="32">
        <v>151</v>
      </c>
      <c r="C1352" s="33">
        <v>0.92600000000000005</v>
      </c>
      <c r="D1352" s="34">
        <v>0.56399999999999995</v>
      </c>
      <c r="E1352" s="32">
        <v>70</v>
      </c>
      <c r="F1352" s="32">
        <v>1</v>
      </c>
      <c r="G1352" s="32">
        <v>1</v>
      </c>
      <c r="H1352" s="35">
        <f ca="1">LEFT(Music_Data[[#This Row],[Duration_minutes]],3)/60</f>
        <v>3.7166666666666668</v>
      </c>
      <c r="I1352" s="34">
        <v>0.13500000000000001</v>
      </c>
      <c r="J1352" s="36" t="str">
        <f t="shared" si="21"/>
        <v>Casi nada popular</v>
      </c>
      <c r="K1352" s="42">
        <v>37411</v>
      </c>
    </row>
    <row r="1353" spans="1:11">
      <c r="A1353" s="39">
        <v>0.748</v>
      </c>
      <c r="B1353" s="37">
        <v>172</v>
      </c>
      <c r="C1353" s="38">
        <v>0.752</v>
      </c>
      <c r="D1353" s="39">
        <v>0.497</v>
      </c>
      <c r="E1353" s="37">
        <v>70</v>
      </c>
      <c r="F1353" s="37">
        <v>1</v>
      </c>
      <c r="G1353" s="37">
        <v>6</v>
      </c>
      <c r="H1353" s="40">
        <f ca="1">LEFT(Music_Data[[#This Row],[Duration_minutes]],3)/60</f>
        <v>3.5166666666666666</v>
      </c>
      <c r="I1353" s="39">
        <v>0.28899999999999998</v>
      </c>
      <c r="J1353" s="41" t="str">
        <f t="shared" si="21"/>
        <v>Casi nada popular</v>
      </c>
      <c r="K1353" s="43">
        <v>39244</v>
      </c>
    </row>
    <row r="1354" spans="1:11">
      <c r="A1354" s="34">
        <v>0.41099999999999998</v>
      </c>
      <c r="B1354" s="32">
        <v>119</v>
      </c>
      <c r="C1354" s="33">
        <v>0.72199999999999998</v>
      </c>
      <c r="D1354" s="34">
        <v>0.503</v>
      </c>
      <c r="E1354" s="32">
        <v>70</v>
      </c>
      <c r="F1354" s="32">
        <v>0</v>
      </c>
      <c r="G1354" s="32">
        <v>2</v>
      </c>
      <c r="H1354" s="35">
        <f ca="1">LEFT(Music_Data[[#This Row],[Duration_minutes]],3)/60</f>
        <v>3.0333333333333332</v>
      </c>
      <c r="I1354" s="34">
        <v>0.50900000000000001</v>
      </c>
      <c r="J1354" s="36" t="str">
        <f t="shared" si="21"/>
        <v>Casi nada popular</v>
      </c>
      <c r="K1354" s="42">
        <v>42867</v>
      </c>
    </row>
    <row r="1355" spans="1:11">
      <c r="A1355" s="39">
        <v>0.48399999999999999</v>
      </c>
      <c r="B1355" s="37">
        <v>196</v>
      </c>
      <c r="C1355" s="38">
        <v>0.93</v>
      </c>
      <c r="D1355" s="39">
        <v>0.747</v>
      </c>
      <c r="E1355" s="37">
        <v>70</v>
      </c>
      <c r="F1355" s="37">
        <v>1</v>
      </c>
      <c r="G1355" s="37">
        <v>2</v>
      </c>
      <c r="H1355" s="40">
        <f ca="1">LEFT(Music_Data[[#This Row],[Duration_minutes]],3)/60</f>
        <v>2.9666666666666668</v>
      </c>
      <c r="I1355" s="39">
        <v>0.35499999999999998</v>
      </c>
      <c r="J1355" s="41" t="str">
        <f t="shared" si="21"/>
        <v>Casi nada popular</v>
      </c>
      <c r="K1355" s="43">
        <v>36892</v>
      </c>
    </row>
    <row r="1356" spans="1:11">
      <c r="A1356" s="34">
        <v>0.63</v>
      </c>
      <c r="B1356" s="32">
        <v>118</v>
      </c>
      <c r="C1356" s="33">
        <v>0.72</v>
      </c>
      <c r="D1356" s="34">
        <v>0.51200000000000001</v>
      </c>
      <c r="E1356" s="32">
        <v>70</v>
      </c>
      <c r="F1356" s="32">
        <v>1</v>
      </c>
      <c r="G1356" s="32">
        <v>10</v>
      </c>
      <c r="H1356" s="35">
        <f ca="1">LEFT(Music_Data[[#This Row],[Duration_minutes]],3)/60</f>
        <v>3.2833333333333332</v>
      </c>
      <c r="I1356" s="34">
        <v>0.61499999999999999</v>
      </c>
      <c r="J1356" s="36" t="str">
        <f t="shared" si="21"/>
        <v>Casi nada popular</v>
      </c>
      <c r="K1356" s="42">
        <v>37622</v>
      </c>
    </row>
    <row r="1357" spans="1:11">
      <c r="A1357" s="39">
        <v>0.51900000000000002</v>
      </c>
      <c r="B1357" s="37">
        <v>122</v>
      </c>
      <c r="C1357" s="38">
        <v>0.56200000000000006</v>
      </c>
      <c r="D1357" s="39">
        <v>0.41499999999999998</v>
      </c>
      <c r="E1357" s="37">
        <v>70</v>
      </c>
      <c r="F1357" s="37">
        <v>1</v>
      </c>
      <c r="G1357" s="37">
        <v>3</v>
      </c>
      <c r="H1357" s="40">
        <f ca="1">LEFT(Music_Data[[#This Row],[Duration_minutes]],3)/60</f>
        <v>4.9833333333333334</v>
      </c>
      <c r="I1357" s="39">
        <v>0.55700000000000005</v>
      </c>
      <c r="J1357" s="41" t="str">
        <f t="shared" si="21"/>
        <v>Casi nada popular</v>
      </c>
      <c r="K1357" s="43">
        <v>39013</v>
      </c>
    </row>
    <row r="1358" spans="1:11">
      <c r="A1358" s="34">
        <v>0.36099999999999999</v>
      </c>
      <c r="B1358" s="32">
        <v>170</v>
      </c>
      <c r="C1358" s="33">
        <v>0.60599999999999998</v>
      </c>
      <c r="D1358" s="34">
        <v>0.621</v>
      </c>
      <c r="E1358" s="32">
        <v>70</v>
      </c>
      <c r="F1358" s="32">
        <v>1</v>
      </c>
      <c r="G1358" s="32">
        <v>9</v>
      </c>
      <c r="H1358" s="35">
        <f ca="1">LEFT(Music_Data[[#This Row],[Duration_minutes]],3)/60</f>
        <v>3.1</v>
      </c>
      <c r="I1358" s="34">
        <v>0.26400000000000001</v>
      </c>
      <c r="J1358" s="36" t="str">
        <f t="shared" si="21"/>
        <v>Casi nada popular</v>
      </c>
      <c r="K1358" s="42">
        <v>38622</v>
      </c>
    </row>
    <row r="1359" spans="1:11">
      <c r="A1359" s="39">
        <v>0.47699999999999998</v>
      </c>
      <c r="B1359" s="37">
        <v>149</v>
      </c>
      <c r="C1359" s="38">
        <v>0.79600000000000004</v>
      </c>
      <c r="D1359" s="39">
        <v>0.68500000000000005</v>
      </c>
      <c r="E1359" s="37">
        <v>70</v>
      </c>
      <c r="F1359" s="37">
        <v>1</v>
      </c>
      <c r="G1359" s="37">
        <v>1</v>
      </c>
      <c r="H1359" s="40">
        <f ca="1">LEFT(Music_Data[[#This Row],[Duration_minutes]],3)/60</f>
        <v>3.6666666666666665</v>
      </c>
      <c r="I1359" s="39">
        <v>0.314</v>
      </c>
      <c r="J1359" s="41" t="str">
        <f t="shared" si="21"/>
        <v>Casi nada popular</v>
      </c>
      <c r="K1359" s="43">
        <v>40610</v>
      </c>
    </row>
    <row r="1360" spans="1:11">
      <c r="A1360" s="34">
        <v>0.83299999999999996</v>
      </c>
      <c r="B1360" s="32">
        <v>136</v>
      </c>
      <c r="C1360" s="33">
        <v>0.55100000000000005</v>
      </c>
      <c r="D1360" s="34">
        <v>0.14499999999999999</v>
      </c>
      <c r="E1360" s="32">
        <v>70</v>
      </c>
      <c r="F1360" s="32">
        <v>1</v>
      </c>
      <c r="G1360" s="32">
        <v>8</v>
      </c>
      <c r="H1360" s="35">
        <f ca="1">LEFT(Music_Data[[#This Row],[Duration_minutes]],3)/60</f>
        <v>4.1500000000000004</v>
      </c>
      <c r="I1360" s="34">
        <v>3.9100000000000003E-2</v>
      </c>
      <c r="J1360" s="36" t="str">
        <f t="shared" si="21"/>
        <v>Casi nada popular</v>
      </c>
      <c r="K1360" s="42">
        <v>36312</v>
      </c>
    </row>
    <row r="1361" spans="1:11">
      <c r="A1361" s="39">
        <v>0.81699999999999995</v>
      </c>
      <c r="B1361" s="37">
        <v>104</v>
      </c>
      <c r="C1361" s="38">
        <v>0.88300000000000001</v>
      </c>
      <c r="D1361" s="39">
        <v>0.59499999999999997</v>
      </c>
      <c r="E1361" s="37">
        <v>70</v>
      </c>
      <c r="F1361" s="37">
        <v>1</v>
      </c>
      <c r="G1361" s="37">
        <v>0</v>
      </c>
      <c r="H1361" s="40">
        <f ca="1">LEFT(Music_Data[[#This Row],[Duration_minutes]],3)/60</f>
        <v>4.9333333333333336</v>
      </c>
      <c r="I1361" s="39">
        <v>0.60099999999999998</v>
      </c>
      <c r="J1361" s="41" t="str">
        <f t="shared" si="21"/>
        <v>Casi nada popular</v>
      </c>
      <c r="K1361" s="43">
        <v>41369</v>
      </c>
    </row>
    <row r="1362" spans="1:11">
      <c r="A1362" s="34">
        <v>0.748</v>
      </c>
      <c r="B1362" s="32">
        <v>164</v>
      </c>
      <c r="C1362" s="33">
        <v>0.503</v>
      </c>
      <c r="D1362" s="34">
        <v>0.35599999999999998</v>
      </c>
      <c r="E1362" s="32">
        <v>70</v>
      </c>
      <c r="F1362" s="32">
        <v>1</v>
      </c>
      <c r="G1362" s="32">
        <v>5</v>
      </c>
      <c r="H1362" s="35">
        <f ca="1">LEFT(Music_Data[[#This Row],[Duration_minutes]],3)/60</f>
        <v>4.3499999999999996</v>
      </c>
      <c r="I1362" s="34">
        <v>3.0499999999999999E-2</v>
      </c>
      <c r="J1362" s="36" t="str">
        <f t="shared" si="21"/>
        <v>Casi nada popular</v>
      </c>
      <c r="K1362" s="42">
        <v>39756</v>
      </c>
    </row>
    <row r="1363" spans="1:11">
      <c r="A1363" s="39">
        <v>0.39200000000000002</v>
      </c>
      <c r="B1363" s="37">
        <v>173</v>
      </c>
      <c r="C1363" s="38">
        <v>0.59899999999999998</v>
      </c>
      <c r="D1363" s="39">
        <v>0.26</v>
      </c>
      <c r="E1363" s="37">
        <v>70</v>
      </c>
      <c r="F1363" s="37">
        <v>0</v>
      </c>
      <c r="G1363" s="37">
        <v>10</v>
      </c>
      <c r="H1363" s="40">
        <f ca="1">LEFT(Music_Data[[#This Row],[Duration_minutes]],3)/60</f>
        <v>3.3</v>
      </c>
      <c r="I1363" s="39">
        <v>0.378</v>
      </c>
      <c r="J1363" s="41" t="str">
        <f t="shared" si="21"/>
        <v>Casi nada popular</v>
      </c>
      <c r="K1363" s="43">
        <v>37622</v>
      </c>
    </row>
    <row r="1364" spans="1:11">
      <c r="A1364" s="34">
        <v>0.47299999999999998</v>
      </c>
      <c r="B1364" s="32">
        <v>170</v>
      </c>
      <c r="C1364" s="33">
        <v>0.59099999999999997</v>
      </c>
      <c r="D1364" s="34">
        <v>0.45100000000000001</v>
      </c>
      <c r="E1364" s="32">
        <v>70</v>
      </c>
      <c r="F1364" s="32">
        <v>0</v>
      </c>
      <c r="G1364" s="32">
        <v>7</v>
      </c>
      <c r="H1364" s="35">
        <f ca="1">LEFT(Music_Data[[#This Row],[Duration_minutes]],3)/60</f>
        <v>4.0333333333333332</v>
      </c>
      <c r="I1364" s="34">
        <v>0.69399999999999995</v>
      </c>
      <c r="J1364" s="36" t="str">
        <f t="shared" si="21"/>
        <v>Casi nada popular</v>
      </c>
      <c r="K1364" s="42">
        <v>2004</v>
      </c>
    </row>
    <row r="1365" spans="1:11">
      <c r="A1365" s="39">
        <v>0.81899999999999995</v>
      </c>
      <c r="B1365" s="37">
        <v>167</v>
      </c>
      <c r="C1365" s="38">
        <v>0.72599999999999998</v>
      </c>
      <c r="D1365" s="39">
        <v>0.63600000000000001</v>
      </c>
      <c r="E1365" s="37">
        <v>70</v>
      </c>
      <c r="F1365" s="37">
        <v>1</v>
      </c>
      <c r="G1365" s="37">
        <v>8</v>
      </c>
      <c r="H1365" s="40">
        <f ca="1">LEFT(Music_Data[[#This Row],[Duration_minutes]],3)/60</f>
        <v>4.3666666666666663</v>
      </c>
      <c r="I1365" s="39">
        <v>0.47699999999999998</v>
      </c>
      <c r="J1365" s="41" t="str">
        <f t="shared" si="21"/>
        <v>Casi nada popular</v>
      </c>
      <c r="K1365" s="43">
        <v>43056</v>
      </c>
    </row>
    <row r="1366" spans="1:11">
      <c r="A1366" s="34">
        <v>0.94899999999999995</v>
      </c>
      <c r="B1366" s="32">
        <v>145</v>
      </c>
      <c r="C1366" s="33">
        <v>0.55400000000000005</v>
      </c>
      <c r="D1366" s="34">
        <v>0.23300000000000001</v>
      </c>
      <c r="E1366" s="32">
        <v>70</v>
      </c>
      <c r="F1366" s="32">
        <v>1</v>
      </c>
      <c r="G1366" s="32">
        <v>2</v>
      </c>
      <c r="H1366" s="35">
        <f ca="1">LEFT(Music_Data[[#This Row],[Duration_minutes]],3)/60</f>
        <v>3.2333333333333334</v>
      </c>
      <c r="I1366" s="34">
        <v>3.1799999999999998E-4</v>
      </c>
      <c r="J1366" s="36" t="str">
        <f t="shared" si="21"/>
        <v>Casi nada popular</v>
      </c>
      <c r="K1366" s="42">
        <v>38146</v>
      </c>
    </row>
    <row r="1367" spans="1:11">
      <c r="A1367" s="39">
        <v>0.46300000000000002</v>
      </c>
      <c r="B1367" s="37">
        <v>143</v>
      </c>
      <c r="C1367" s="38">
        <v>0.92900000000000005</v>
      </c>
      <c r="D1367" s="39">
        <v>0.755</v>
      </c>
      <c r="E1367" s="37">
        <v>70</v>
      </c>
      <c r="F1367" s="37">
        <v>1</v>
      </c>
      <c r="G1367" s="37">
        <v>9</v>
      </c>
      <c r="H1367" s="40">
        <f ca="1">LEFT(Music_Data[[#This Row],[Duration_minutes]],3)/60</f>
        <v>3.2166666666666668</v>
      </c>
      <c r="I1367" s="39">
        <v>0.14299999999999999</v>
      </c>
      <c r="J1367" s="41" t="str">
        <f t="shared" si="21"/>
        <v>Casi nada popular</v>
      </c>
      <c r="K1367" s="43">
        <v>38353</v>
      </c>
    </row>
    <row r="1368" spans="1:11">
      <c r="A1368" s="34">
        <v>0.61099999999999999</v>
      </c>
      <c r="B1368" s="32">
        <v>193</v>
      </c>
      <c r="C1368" s="33">
        <v>0.89700000000000002</v>
      </c>
      <c r="D1368" s="34">
        <v>0.76900000000000002</v>
      </c>
      <c r="E1368" s="32">
        <v>70</v>
      </c>
      <c r="F1368" s="32">
        <v>1</v>
      </c>
      <c r="G1368" s="32">
        <v>11</v>
      </c>
      <c r="H1368" s="35">
        <f ca="1">LEFT(Music_Data[[#This Row],[Duration_minutes]],3)/60</f>
        <v>2.85</v>
      </c>
      <c r="I1368" s="34">
        <v>2.9100000000000001E-2</v>
      </c>
      <c r="J1368" s="36" t="str">
        <f t="shared" si="21"/>
        <v>Casi nada popular</v>
      </c>
      <c r="K1368" s="42">
        <v>2001</v>
      </c>
    </row>
    <row r="1369" spans="1:11">
      <c r="A1369" s="39">
        <v>0.73399999999999999</v>
      </c>
      <c r="B1369" s="37">
        <v>119</v>
      </c>
      <c r="C1369" s="38">
        <v>0.91800000000000004</v>
      </c>
      <c r="D1369" s="39">
        <v>0.60799999999999998</v>
      </c>
      <c r="E1369" s="37">
        <v>70</v>
      </c>
      <c r="F1369" s="37">
        <v>0</v>
      </c>
      <c r="G1369" s="37">
        <v>11</v>
      </c>
      <c r="H1369" s="40">
        <f ca="1">LEFT(Music_Data[[#This Row],[Duration_minutes]],3)/60</f>
        <v>3.2166666666666668</v>
      </c>
      <c r="I1369" s="39">
        <v>2.9600000000000001E-2</v>
      </c>
      <c r="J1369" s="41" t="str">
        <f t="shared" si="21"/>
        <v>Casi nada popular</v>
      </c>
      <c r="K1369" s="43">
        <v>2004</v>
      </c>
    </row>
    <row r="1370" spans="1:11">
      <c r="A1370" s="34">
        <v>0.91</v>
      </c>
      <c r="B1370" s="32">
        <v>934</v>
      </c>
      <c r="C1370" s="33">
        <v>0.66500000000000004</v>
      </c>
      <c r="D1370" s="34">
        <v>0.88700000000000001</v>
      </c>
      <c r="E1370" s="32">
        <v>70</v>
      </c>
      <c r="F1370" s="32">
        <v>0</v>
      </c>
      <c r="G1370" s="32">
        <v>6</v>
      </c>
      <c r="H1370" s="35">
        <f ca="1">LEFT(Music_Data[[#This Row],[Duration_minutes]],3)/60</f>
        <v>3.5666666666666669</v>
      </c>
      <c r="I1370" s="34">
        <v>3.9399999999999998E-2</v>
      </c>
      <c r="J1370" s="36" t="str">
        <f t="shared" si="21"/>
        <v>Casi nada popular</v>
      </c>
      <c r="K1370" s="42">
        <v>38718</v>
      </c>
    </row>
    <row r="1371" spans="1:11">
      <c r="A1371" s="39">
        <v>0.96</v>
      </c>
      <c r="B1371" s="37">
        <v>167</v>
      </c>
      <c r="C1371" s="38">
        <v>0.46899999999999997</v>
      </c>
      <c r="D1371" s="39">
        <v>0.37</v>
      </c>
      <c r="E1371" s="37">
        <v>70</v>
      </c>
      <c r="F1371" s="37">
        <v>0</v>
      </c>
      <c r="G1371" s="37">
        <v>4</v>
      </c>
      <c r="H1371" s="40">
        <f ca="1">LEFT(Music_Data[[#This Row],[Duration_minutes]],3)/60</f>
        <v>8.2166666666666668</v>
      </c>
      <c r="I1371" s="39">
        <v>0.14099999999999999</v>
      </c>
      <c r="J1371" s="41" t="str">
        <f t="shared" si="21"/>
        <v>Casi nada popular</v>
      </c>
      <c r="K1371" s="43">
        <v>38251</v>
      </c>
    </row>
    <row r="1372" spans="1:11">
      <c r="A1372" s="34">
        <v>0.96</v>
      </c>
      <c r="B1372" s="32">
        <v>100</v>
      </c>
      <c r="C1372" s="33">
        <v>0.57399999999999995</v>
      </c>
      <c r="D1372" s="34">
        <v>0.97799999999999998</v>
      </c>
      <c r="E1372" s="32">
        <v>70</v>
      </c>
      <c r="F1372" s="32">
        <v>1</v>
      </c>
      <c r="G1372" s="32">
        <v>9</v>
      </c>
      <c r="H1372" s="35">
        <f ca="1">LEFT(Music_Data[[#This Row],[Duration_minutes]],3)/60</f>
        <v>3.55</v>
      </c>
      <c r="I1372" s="34">
        <v>4.5699999999999998E-2</v>
      </c>
      <c r="J1372" s="36" t="str">
        <f t="shared" si="21"/>
        <v>Casi nada popular</v>
      </c>
      <c r="K1372" s="42">
        <v>39448</v>
      </c>
    </row>
    <row r="1373" spans="1:11">
      <c r="A1373" s="39">
        <v>0.57999999999999996</v>
      </c>
      <c r="B1373" s="37">
        <v>143</v>
      </c>
      <c r="C1373" s="38">
        <v>0.74099999999999999</v>
      </c>
      <c r="D1373" s="39">
        <v>0.94399999999999995</v>
      </c>
      <c r="E1373" s="37">
        <v>70</v>
      </c>
      <c r="F1373" s="37">
        <v>1</v>
      </c>
      <c r="G1373" s="37">
        <v>4</v>
      </c>
      <c r="H1373" s="40">
        <f ca="1">LEFT(Music_Data[[#This Row],[Duration_minutes]],3)/60</f>
        <v>3.4333333333333331</v>
      </c>
      <c r="I1373" s="39">
        <v>0.11700000000000001</v>
      </c>
      <c r="J1373" s="41" t="str">
        <f t="shared" si="21"/>
        <v>Casi nada popular</v>
      </c>
      <c r="K1373" s="43">
        <v>38874</v>
      </c>
    </row>
    <row r="1374" spans="1:11">
      <c r="A1374" s="34">
        <v>0.78</v>
      </c>
      <c r="B1374" s="32">
        <v>119</v>
      </c>
      <c r="C1374" s="33">
        <v>0.72399999999999998</v>
      </c>
      <c r="D1374" s="34">
        <v>0.72</v>
      </c>
      <c r="E1374" s="32">
        <v>70</v>
      </c>
      <c r="F1374" s="32">
        <v>0</v>
      </c>
      <c r="G1374" s="32">
        <v>1</v>
      </c>
      <c r="H1374" s="35">
        <f ca="1">LEFT(Music_Data[[#This Row],[Duration_minutes]],3)/60</f>
        <v>2.8166666666666669</v>
      </c>
      <c r="I1374" s="34">
        <v>0.29399999999999998</v>
      </c>
      <c r="J1374" s="36" t="str">
        <f t="shared" si="21"/>
        <v>Casi nada popular</v>
      </c>
      <c r="K1374" s="42">
        <v>43651</v>
      </c>
    </row>
    <row r="1375" spans="1:11">
      <c r="A1375" s="39">
        <v>0.58799999999999997</v>
      </c>
      <c r="B1375" s="37">
        <v>165</v>
      </c>
      <c r="C1375" s="38">
        <v>0.872</v>
      </c>
      <c r="D1375" s="39">
        <v>0.93</v>
      </c>
      <c r="E1375" s="37">
        <v>70</v>
      </c>
      <c r="F1375" s="37">
        <v>1</v>
      </c>
      <c r="G1375" s="37">
        <v>0</v>
      </c>
      <c r="H1375" s="40">
        <f ca="1">LEFT(Music_Data[[#This Row],[Duration_minutes]],3)/60</f>
        <v>3.4166666666666665</v>
      </c>
      <c r="I1375" s="39">
        <v>0.27500000000000002</v>
      </c>
      <c r="J1375" s="41" t="str">
        <f t="shared" si="21"/>
        <v>Casi nada popular</v>
      </c>
      <c r="K1375" s="43">
        <v>40487</v>
      </c>
    </row>
    <row r="1376" spans="1:11">
      <c r="A1376" s="34">
        <v>0.54300000000000004</v>
      </c>
      <c r="B1376" s="32">
        <v>159</v>
      </c>
      <c r="C1376" s="33">
        <v>0.84</v>
      </c>
      <c r="D1376" s="34">
        <v>0.74</v>
      </c>
      <c r="E1376" s="32">
        <v>70</v>
      </c>
      <c r="F1376" s="32">
        <v>1</v>
      </c>
      <c r="G1376" s="32">
        <v>0</v>
      </c>
      <c r="H1376" s="35">
        <f ca="1">LEFT(Music_Data[[#This Row],[Duration_minutes]],3)/60</f>
        <v>4.45</v>
      </c>
      <c r="I1376" s="34">
        <v>0.67800000000000005</v>
      </c>
      <c r="J1376" s="36" t="str">
        <f t="shared" si="21"/>
        <v>Casi nada popular</v>
      </c>
      <c r="K1376" s="42">
        <v>41107</v>
      </c>
    </row>
    <row r="1377" spans="1:11">
      <c r="A1377" s="39">
        <v>0.54200000000000004</v>
      </c>
      <c r="B1377" s="37">
        <v>879</v>
      </c>
      <c r="C1377" s="38">
        <v>0.92600000000000005</v>
      </c>
      <c r="D1377" s="39">
        <v>0.56399999999999995</v>
      </c>
      <c r="E1377" s="37">
        <v>70</v>
      </c>
      <c r="F1377" s="37">
        <v>1</v>
      </c>
      <c r="G1377" s="37">
        <v>1</v>
      </c>
      <c r="H1377" s="40">
        <f ca="1">LEFT(Music_Data[[#This Row],[Duration_minutes]],3)/60</f>
        <v>3.2666666666666666</v>
      </c>
      <c r="I1377" s="39">
        <v>0.13500000000000001</v>
      </c>
      <c r="J1377" s="41" t="str">
        <f t="shared" si="21"/>
        <v>Casi nada popular</v>
      </c>
      <c r="K1377" s="43">
        <v>38482</v>
      </c>
    </row>
    <row r="1378" spans="1:11">
      <c r="A1378" s="34">
        <v>0.56399999999999995</v>
      </c>
      <c r="B1378" s="32">
        <v>159</v>
      </c>
      <c r="C1378" s="33">
        <v>0.85599999999999998</v>
      </c>
      <c r="D1378" s="34">
        <v>0.48299999999999998</v>
      </c>
      <c r="E1378" s="32">
        <v>70</v>
      </c>
      <c r="F1378" s="32">
        <v>0</v>
      </c>
      <c r="G1378" s="32">
        <v>6</v>
      </c>
      <c r="H1378" s="35">
        <f ca="1">LEFT(Music_Data[[#This Row],[Duration_minutes]],3)/60</f>
        <v>3.0666666666666669</v>
      </c>
      <c r="I1378" s="34">
        <v>3.2699999999999999E-3</v>
      </c>
      <c r="J1378" s="36" t="str">
        <f t="shared" si="21"/>
        <v>Casi nada popular</v>
      </c>
      <c r="K1378" s="42">
        <v>42602</v>
      </c>
    </row>
    <row r="1379" spans="1:11">
      <c r="A1379" s="39">
        <v>0.72699999999999998</v>
      </c>
      <c r="B1379" s="37">
        <v>143</v>
      </c>
      <c r="C1379" s="38">
        <v>0.47699999999999998</v>
      </c>
      <c r="D1379" s="39">
        <v>0.22700000000000001</v>
      </c>
      <c r="E1379" s="37">
        <v>70</v>
      </c>
      <c r="F1379" s="37">
        <v>1</v>
      </c>
      <c r="G1379" s="37">
        <v>2</v>
      </c>
      <c r="H1379" s="40">
        <f ca="1">LEFT(Music_Data[[#This Row],[Duration_minutes]],3)/60</f>
        <v>3.35</v>
      </c>
      <c r="I1379" s="39">
        <v>8.6600000000000002E-4</v>
      </c>
      <c r="J1379" s="41" t="str">
        <f t="shared" si="21"/>
        <v>Casi nada popular</v>
      </c>
      <c r="K1379" s="43">
        <v>44904</v>
      </c>
    </row>
    <row r="1380" spans="1:11">
      <c r="A1380" s="34">
        <v>0.80100000000000005</v>
      </c>
      <c r="B1380" s="32">
        <v>889</v>
      </c>
      <c r="C1380" s="33">
        <v>0.77800000000000002</v>
      </c>
      <c r="D1380" s="34">
        <v>0.91400000000000003</v>
      </c>
      <c r="E1380" s="32">
        <v>70</v>
      </c>
      <c r="F1380" s="32">
        <v>0</v>
      </c>
      <c r="G1380" s="32">
        <v>6</v>
      </c>
      <c r="H1380" s="35">
        <f ca="1">LEFT(Music_Data[[#This Row],[Duration_minutes]],3)/60</f>
        <v>2.5499999999999998</v>
      </c>
      <c r="I1380" s="34">
        <v>0.69199999999999995</v>
      </c>
      <c r="J1380" s="36" t="str">
        <f t="shared" si="21"/>
        <v>Casi nada popular</v>
      </c>
      <c r="K1380" s="42">
        <v>44903</v>
      </c>
    </row>
    <row r="1381" spans="1:11">
      <c r="A1381" s="39">
        <v>0.81899999999999995</v>
      </c>
      <c r="B1381" s="37">
        <v>810</v>
      </c>
      <c r="C1381" s="38">
        <v>0.72599999999999998</v>
      </c>
      <c r="D1381" s="39">
        <v>0.63600000000000001</v>
      </c>
      <c r="E1381" s="37">
        <v>70</v>
      </c>
      <c r="F1381" s="37">
        <v>1</v>
      </c>
      <c r="G1381" s="37">
        <v>8</v>
      </c>
      <c r="H1381" s="40">
        <f ca="1">LEFT(Music_Data[[#This Row],[Duration_minutes]],3)/60</f>
        <v>3.25</v>
      </c>
      <c r="I1381" s="39">
        <v>0.47699999999999998</v>
      </c>
      <c r="J1381" s="41" t="str">
        <f t="shared" si="21"/>
        <v>Casi nada popular</v>
      </c>
      <c r="K1381" s="43">
        <v>40508</v>
      </c>
    </row>
    <row r="1382" spans="1:11">
      <c r="A1382" s="34">
        <v>0.72499999999999998</v>
      </c>
      <c r="B1382" s="32">
        <v>752</v>
      </c>
      <c r="C1382" s="33">
        <v>0.49</v>
      </c>
      <c r="D1382" s="34">
        <v>0.33500000000000002</v>
      </c>
      <c r="E1382" s="32">
        <v>70</v>
      </c>
      <c r="F1382" s="32">
        <v>1</v>
      </c>
      <c r="G1382" s="32">
        <v>10</v>
      </c>
      <c r="H1382" s="35">
        <f ca="1">LEFT(Music_Data[[#This Row],[Duration_minutes]],3)/60</f>
        <v>3.4833333333333334</v>
      </c>
      <c r="I1382" s="34">
        <v>0.123</v>
      </c>
      <c r="J1382" s="36" t="str">
        <f t="shared" si="21"/>
        <v>Casi nada popular</v>
      </c>
      <c r="K1382" s="42">
        <v>42972</v>
      </c>
    </row>
    <row r="1383" spans="1:11">
      <c r="A1383" s="39">
        <v>0.63</v>
      </c>
      <c r="B1383" s="37">
        <v>997</v>
      </c>
      <c r="C1383" s="38">
        <v>0.65400000000000003</v>
      </c>
      <c r="D1383" s="39">
        <v>0.43</v>
      </c>
      <c r="E1383" s="37">
        <v>70</v>
      </c>
      <c r="F1383" s="37">
        <v>1</v>
      </c>
      <c r="G1383" s="37">
        <v>10</v>
      </c>
      <c r="H1383" s="40">
        <f ca="1">LEFT(Music_Data[[#This Row],[Duration_minutes]],3)/60</f>
        <v>3</v>
      </c>
      <c r="I1383" s="39">
        <v>0.153</v>
      </c>
      <c r="J1383" s="41" t="str">
        <f t="shared" si="21"/>
        <v>Casi nada popular</v>
      </c>
      <c r="K1383" s="43">
        <v>44904</v>
      </c>
    </row>
    <row r="1384" spans="1:11">
      <c r="A1384" s="34">
        <v>0.316</v>
      </c>
      <c r="B1384" s="32">
        <v>118</v>
      </c>
      <c r="C1384" s="33">
        <v>0.39800000000000002</v>
      </c>
      <c r="D1384" s="34">
        <v>0.17399999999999999</v>
      </c>
      <c r="E1384" s="32">
        <v>70</v>
      </c>
      <c r="F1384" s="32">
        <v>1</v>
      </c>
      <c r="G1384" s="32">
        <v>1</v>
      </c>
      <c r="H1384" s="35">
        <f ca="1">LEFT(Music_Data[[#This Row],[Duration_minutes]],3)/60</f>
        <v>3.8</v>
      </c>
      <c r="I1384" s="34">
        <v>0.80500000000000005</v>
      </c>
      <c r="J1384" s="36" t="str">
        <f t="shared" si="21"/>
        <v>Casi nada popular</v>
      </c>
      <c r="K1384" s="42">
        <v>37957</v>
      </c>
    </row>
    <row r="1385" spans="1:11">
      <c r="A1385" s="39">
        <v>0.92200000000000004</v>
      </c>
      <c r="B1385" s="37">
        <v>929</v>
      </c>
      <c r="C1385" s="38">
        <v>0.66600000000000004</v>
      </c>
      <c r="D1385" s="39">
        <v>0.75800000000000001</v>
      </c>
      <c r="E1385" s="37">
        <v>70</v>
      </c>
      <c r="F1385" s="37">
        <v>1</v>
      </c>
      <c r="G1385" s="37">
        <v>5</v>
      </c>
      <c r="H1385" s="40">
        <f ca="1">LEFT(Music_Data[[#This Row],[Duration_minutes]],3)/60</f>
        <v>13.75</v>
      </c>
      <c r="I1385" s="39">
        <v>3.48E-4</v>
      </c>
      <c r="J1385" s="41" t="str">
        <f t="shared" si="21"/>
        <v>Casi nada popular</v>
      </c>
      <c r="K1385" s="43">
        <v>45226</v>
      </c>
    </row>
    <row r="1386" spans="1:11">
      <c r="A1386" s="34">
        <v>0.76300000000000001</v>
      </c>
      <c r="B1386" s="32">
        <v>112</v>
      </c>
      <c r="C1386" s="33">
        <v>0.72</v>
      </c>
      <c r="D1386" s="34">
        <v>0.74199999999999999</v>
      </c>
      <c r="E1386" s="32">
        <v>70</v>
      </c>
      <c r="F1386" s="32">
        <v>0</v>
      </c>
      <c r="G1386" s="32">
        <v>9</v>
      </c>
      <c r="H1386" s="35">
        <f ca="1">LEFT(Music_Data[[#This Row],[Duration_minutes]],3)/60</f>
        <v>3.85</v>
      </c>
      <c r="I1386" s="34">
        <v>0.40600000000000003</v>
      </c>
      <c r="J1386" s="36" t="str">
        <f t="shared" si="21"/>
        <v>Casi nada popular</v>
      </c>
      <c r="K1386" s="42">
        <v>42895</v>
      </c>
    </row>
    <row r="1387" spans="1:11">
      <c r="A1387" s="39">
        <v>0.748</v>
      </c>
      <c r="B1387" s="37">
        <v>782</v>
      </c>
      <c r="C1387" s="38">
        <v>0.503</v>
      </c>
      <c r="D1387" s="39">
        <v>0.35599999999999998</v>
      </c>
      <c r="E1387" s="37">
        <v>70</v>
      </c>
      <c r="F1387" s="37">
        <v>1</v>
      </c>
      <c r="G1387" s="37">
        <v>5</v>
      </c>
      <c r="H1387" s="40">
        <f ca="1">LEFT(Music_Data[[#This Row],[Duration_minutes]],3)/60</f>
        <v>3.9833333333333334</v>
      </c>
      <c r="I1387" s="39">
        <v>3.0499999999999999E-2</v>
      </c>
      <c r="J1387" s="41" t="str">
        <f t="shared" si="21"/>
        <v>Casi nada popular</v>
      </c>
      <c r="K1387" s="43">
        <v>44903</v>
      </c>
    </row>
    <row r="1388" spans="1:11">
      <c r="A1388" s="34">
        <v>0.57299999999999995</v>
      </c>
      <c r="B1388" s="32">
        <v>113</v>
      </c>
      <c r="C1388" s="33">
        <v>0.68400000000000005</v>
      </c>
      <c r="D1388" s="34">
        <v>0.71599999999999997</v>
      </c>
      <c r="E1388" s="32">
        <v>70</v>
      </c>
      <c r="F1388" s="32">
        <v>1</v>
      </c>
      <c r="G1388" s="32">
        <v>5</v>
      </c>
      <c r="H1388" s="35">
        <f ca="1">LEFT(Music_Data[[#This Row],[Duration_minutes]],3)/60</f>
        <v>1.7</v>
      </c>
      <c r="I1388" s="34">
        <v>0.318</v>
      </c>
      <c r="J1388" s="36" t="str">
        <f t="shared" si="21"/>
        <v>Casi nada popular</v>
      </c>
      <c r="K1388" s="42">
        <v>40508</v>
      </c>
    </row>
    <row r="1389" spans="1:11">
      <c r="A1389" s="39">
        <v>0.80500000000000005</v>
      </c>
      <c r="B1389" s="37">
        <v>864</v>
      </c>
      <c r="C1389" s="38">
        <v>0.69</v>
      </c>
      <c r="D1389" s="39">
        <v>0.79900000000000004</v>
      </c>
      <c r="E1389" s="37">
        <v>70</v>
      </c>
      <c r="F1389" s="37">
        <v>0</v>
      </c>
      <c r="G1389" s="37">
        <v>5</v>
      </c>
      <c r="H1389" s="40">
        <f ca="1">LEFT(Music_Data[[#This Row],[Duration_minutes]],3)/60</f>
        <v>3.7166666666666668</v>
      </c>
      <c r="I1389" s="39">
        <v>2.32E-4</v>
      </c>
      <c r="J1389" s="41" t="str">
        <f t="shared" si="21"/>
        <v>Casi nada popular</v>
      </c>
      <c r="K1389" s="43">
        <v>38069</v>
      </c>
    </row>
    <row r="1390" spans="1:11">
      <c r="A1390" s="34">
        <v>0.73199999999999998</v>
      </c>
      <c r="B1390" s="32">
        <v>117</v>
      </c>
      <c r="C1390" s="33">
        <v>0.58299999999999996</v>
      </c>
      <c r="D1390" s="34">
        <v>0.27700000000000002</v>
      </c>
      <c r="E1390" s="32">
        <v>70</v>
      </c>
      <c r="F1390" s="32">
        <v>0</v>
      </c>
      <c r="G1390" s="32">
        <v>11</v>
      </c>
      <c r="H1390" s="35">
        <f ca="1">LEFT(Music_Data[[#This Row],[Duration_minutes]],3)/60</f>
        <v>3.5333333333333332</v>
      </c>
      <c r="I1390" s="34">
        <v>3.15E-3</v>
      </c>
      <c r="J1390" s="36" t="str">
        <f t="shared" si="21"/>
        <v>Casi nada popular</v>
      </c>
      <c r="K1390" s="42">
        <v>42585</v>
      </c>
    </row>
    <row r="1391" spans="1:11">
      <c r="A1391" s="39">
        <v>0.79200000000000004</v>
      </c>
      <c r="B1391" s="37">
        <v>652</v>
      </c>
      <c r="C1391" s="38">
        <v>0.97899999999999998</v>
      </c>
      <c r="D1391" s="39">
        <v>0.58299999999999996</v>
      </c>
      <c r="E1391" s="37">
        <v>70</v>
      </c>
      <c r="F1391" s="37">
        <v>1</v>
      </c>
      <c r="G1391" s="37">
        <v>2</v>
      </c>
      <c r="H1391" s="40">
        <f ca="1">LEFT(Music_Data[[#This Row],[Duration_minutes]],3)/60</f>
        <v>1.8333333333333333</v>
      </c>
      <c r="I1391" s="39">
        <v>2.5000000000000001E-3</v>
      </c>
      <c r="J1391" s="41" t="str">
        <f t="shared" si="21"/>
        <v>Casi nada popular</v>
      </c>
      <c r="K1391" s="43">
        <v>43868</v>
      </c>
    </row>
    <row r="1392" spans="1:11">
      <c r="A1392" s="34">
        <v>0.80800000000000005</v>
      </c>
      <c r="B1392" s="32">
        <v>928</v>
      </c>
      <c r="C1392" s="33">
        <v>0.49299999999999999</v>
      </c>
      <c r="D1392" s="34">
        <v>0.38</v>
      </c>
      <c r="E1392" s="32">
        <v>70</v>
      </c>
      <c r="F1392" s="32">
        <v>0</v>
      </c>
      <c r="G1392" s="32">
        <v>5</v>
      </c>
      <c r="H1392" s="35">
        <f ca="1">LEFT(Music_Data[[#This Row],[Duration_minutes]],3)/60</f>
        <v>4.416666666666667</v>
      </c>
      <c r="I1392" s="34">
        <v>2.3499999999999999E-4</v>
      </c>
      <c r="J1392" s="36" t="str">
        <f t="shared" si="21"/>
        <v>Casi nada popular</v>
      </c>
      <c r="K1392" s="42">
        <v>37131</v>
      </c>
    </row>
    <row r="1393" spans="1:11">
      <c r="A1393" s="39">
        <v>0.65200000000000002</v>
      </c>
      <c r="B1393" s="37">
        <v>927</v>
      </c>
      <c r="C1393" s="38">
        <v>0.27400000000000002</v>
      </c>
      <c r="D1393" s="39">
        <v>0.1</v>
      </c>
      <c r="E1393" s="37">
        <v>70</v>
      </c>
      <c r="F1393" s="37">
        <v>0</v>
      </c>
      <c r="G1393" s="37">
        <v>5</v>
      </c>
      <c r="H1393" s="40">
        <f ca="1">LEFT(Music_Data[[#This Row],[Duration_minutes]],3)/60</f>
        <v>3.45</v>
      </c>
      <c r="I1393" s="39">
        <v>7.6800000000000002E-3</v>
      </c>
      <c r="J1393" s="41" t="str">
        <f t="shared" si="21"/>
        <v>Casi nada popular</v>
      </c>
      <c r="K1393" s="43">
        <v>38718</v>
      </c>
    </row>
    <row r="1394" spans="1:11">
      <c r="A1394" s="34">
        <v>0.94899999999999995</v>
      </c>
      <c r="B1394" s="32">
        <v>137</v>
      </c>
      <c r="C1394" s="33">
        <v>0.55400000000000005</v>
      </c>
      <c r="D1394" s="34">
        <v>0.23300000000000001</v>
      </c>
      <c r="E1394" s="32">
        <v>70</v>
      </c>
      <c r="F1394" s="32">
        <v>1</v>
      </c>
      <c r="G1394" s="32">
        <v>2</v>
      </c>
      <c r="H1394" s="35">
        <f ca="1">LEFT(Music_Data[[#This Row],[Duration_minutes]],3)/60</f>
        <v>16.05</v>
      </c>
      <c r="I1394" s="34">
        <v>3.1799999999999998E-4</v>
      </c>
      <c r="J1394" s="36" t="str">
        <f t="shared" si="21"/>
        <v>Casi nada popular</v>
      </c>
      <c r="K1394" s="42">
        <v>45226</v>
      </c>
    </row>
    <row r="1395" spans="1:11">
      <c r="A1395" s="39">
        <v>0.95399999999999996</v>
      </c>
      <c r="B1395" s="37">
        <v>171</v>
      </c>
      <c r="C1395" s="38">
        <v>0.46500000000000002</v>
      </c>
      <c r="D1395" s="39">
        <v>0.45800000000000002</v>
      </c>
      <c r="E1395" s="37">
        <v>70</v>
      </c>
      <c r="F1395" s="37">
        <v>1</v>
      </c>
      <c r="G1395" s="37">
        <v>10</v>
      </c>
      <c r="H1395" s="40">
        <f ca="1">LEFT(Music_Data[[#This Row],[Duration_minutes]],3)/60</f>
        <v>3.8666666666666667</v>
      </c>
      <c r="I1395" s="39">
        <v>3.4600000000000001E-4</v>
      </c>
      <c r="J1395" s="41" t="str">
        <f t="shared" si="21"/>
        <v>Casi nada popular</v>
      </c>
      <c r="K1395" s="43">
        <v>39448</v>
      </c>
    </row>
    <row r="1396" spans="1:11">
      <c r="A1396" s="34">
        <v>0.93600000000000005</v>
      </c>
      <c r="B1396" s="32">
        <v>168</v>
      </c>
      <c r="C1396" s="33">
        <v>0.41399999999999998</v>
      </c>
      <c r="D1396" s="34">
        <v>0.74</v>
      </c>
      <c r="E1396" s="32">
        <v>70</v>
      </c>
      <c r="F1396" s="32">
        <v>1</v>
      </c>
      <c r="G1396" s="32">
        <v>2</v>
      </c>
      <c r="H1396" s="35">
        <f ca="1">LEFT(Music_Data[[#This Row],[Duration_minutes]],3)/60</f>
        <v>4.8166666666666664</v>
      </c>
      <c r="I1396" s="34">
        <v>1.3600000000000001E-3</v>
      </c>
      <c r="J1396" s="36" t="str">
        <f t="shared" si="21"/>
        <v>Casi nada popular</v>
      </c>
      <c r="K1396" s="42">
        <v>37432</v>
      </c>
    </row>
    <row r="1397" spans="1:11">
      <c r="A1397" s="39">
        <v>0.68200000000000005</v>
      </c>
      <c r="B1397" s="37">
        <v>169</v>
      </c>
      <c r="C1397" s="38">
        <v>0.496</v>
      </c>
      <c r="D1397" s="39">
        <v>0.47399999999999998</v>
      </c>
      <c r="E1397" s="37">
        <v>70</v>
      </c>
      <c r="F1397" s="37">
        <v>1</v>
      </c>
      <c r="G1397" s="37">
        <v>8</v>
      </c>
      <c r="H1397" s="40">
        <f ca="1">LEFT(Music_Data[[#This Row],[Duration_minutes]],3)/60</f>
        <v>2.5</v>
      </c>
      <c r="I1397" s="39">
        <v>5.5199999999999997E-3</v>
      </c>
      <c r="J1397" s="41" t="str">
        <f t="shared" si="21"/>
        <v>Casi nada popular</v>
      </c>
      <c r="K1397" s="43">
        <v>42867</v>
      </c>
    </row>
    <row r="1398" spans="1:11">
      <c r="A1398" s="34">
        <v>0.88600000000000001</v>
      </c>
      <c r="B1398" s="32">
        <v>135</v>
      </c>
      <c r="C1398" s="33">
        <v>0.20200000000000001</v>
      </c>
      <c r="D1398" s="34">
        <v>0.192</v>
      </c>
      <c r="E1398" s="32">
        <v>70</v>
      </c>
      <c r="F1398" s="32">
        <v>0</v>
      </c>
      <c r="G1398" s="32">
        <v>11</v>
      </c>
      <c r="H1398" s="35">
        <f ca="1">LEFT(Music_Data[[#This Row],[Duration_minutes]],3)/60</f>
        <v>4.583333333333333</v>
      </c>
      <c r="I1398" s="34">
        <v>2.86E-2</v>
      </c>
      <c r="J1398" s="36" t="str">
        <f t="shared" si="21"/>
        <v>Casi nada popular</v>
      </c>
      <c r="K1398" s="42">
        <v>42895</v>
      </c>
    </row>
    <row r="1399" spans="1:11">
      <c r="A1399" s="39">
        <v>0.42799999999999999</v>
      </c>
      <c r="B1399" s="37">
        <v>959</v>
      </c>
      <c r="C1399" s="38">
        <v>0.64100000000000001</v>
      </c>
      <c r="D1399" s="39">
        <v>0.53</v>
      </c>
      <c r="E1399" s="37">
        <v>70</v>
      </c>
      <c r="F1399" s="37">
        <v>0</v>
      </c>
      <c r="G1399" s="37">
        <v>5</v>
      </c>
      <c r="H1399" s="40">
        <f ca="1">LEFT(Music_Data[[#This Row],[Duration_minutes]],3)/60</f>
        <v>3.5</v>
      </c>
      <c r="I1399" s="39">
        <v>6.6600000000000006E-2</v>
      </c>
      <c r="J1399" s="41" t="str">
        <f t="shared" si="21"/>
        <v>Casi nada popular</v>
      </c>
      <c r="K1399" s="43">
        <v>37047</v>
      </c>
    </row>
    <row r="1400" spans="1:11">
      <c r="A1400" s="34">
        <v>0.38100000000000001</v>
      </c>
      <c r="B1400" s="32">
        <v>900</v>
      </c>
      <c r="C1400" s="33">
        <v>0.47599999999999998</v>
      </c>
      <c r="D1400" s="34">
        <v>0.33</v>
      </c>
      <c r="E1400" s="32">
        <v>70</v>
      </c>
      <c r="F1400" s="32">
        <v>0</v>
      </c>
      <c r="G1400" s="32">
        <v>5</v>
      </c>
      <c r="H1400" s="35">
        <f ca="1">LEFT(Music_Data[[#This Row],[Duration_minutes]],3)/60</f>
        <v>4.2333333333333334</v>
      </c>
      <c r="I1400" s="34">
        <v>0.72699999999999998</v>
      </c>
      <c r="J1400" s="36" t="str">
        <f t="shared" si="21"/>
        <v>Casi nada popular</v>
      </c>
      <c r="K1400" s="42">
        <v>39364</v>
      </c>
    </row>
    <row r="1401" spans="1:11">
      <c r="A1401" s="39">
        <v>0.65</v>
      </c>
      <c r="B1401" s="37">
        <v>141</v>
      </c>
      <c r="C1401" s="38">
        <v>0.72699999999999998</v>
      </c>
      <c r="D1401" s="39">
        <v>0.66800000000000004</v>
      </c>
      <c r="E1401" s="37">
        <v>70</v>
      </c>
      <c r="F1401" s="37">
        <v>1</v>
      </c>
      <c r="G1401" s="37">
        <v>0</v>
      </c>
      <c r="H1401" s="40">
        <f ca="1">LEFT(Music_Data[[#This Row],[Duration_minutes]],3)/60</f>
        <v>3.6</v>
      </c>
      <c r="I1401" s="39">
        <v>0.66200000000000003</v>
      </c>
      <c r="J1401" s="41" t="str">
        <f t="shared" si="21"/>
        <v>Casi nada popular</v>
      </c>
      <c r="K1401" s="43">
        <v>44750</v>
      </c>
    </row>
    <row r="1402" spans="1:11">
      <c r="A1402" s="34">
        <v>0.621</v>
      </c>
      <c r="B1402" s="32">
        <v>125</v>
      </c>
      <c r="C1402" s="33">
        <v>0.58299999999999996</v>
      </c>
      <c r="D1402" s="34">
        <v>0.39900000000000002</v>
      </c>
      <c r="E1402" s="32">
        <v>70</v>
      </c>
      <c r="F1402" s="32">
        <v>0</v>
      </c>
      <c r="G1402" s="32">
        <v>5</v>
      </c>
      <c r="H1402" s="35">
        <f ca="1">LEFT(Music_Data[[#This Row],[Duration_minutes]],3)/60</f>
        <v>4.5999999999999996</v>
      </c>
      <c r="I1402" s="34">
        <v>9.7199999999999995E-3</v>
      </c>
      <c r="J1402" s="36" t="str">
        <f t="shared" si="21"/>
        <v>Casi nada popular</v>
      </c>
      <c r="K1402" s="42">
        <v>43000</v>
      </c>
    </row>
    <row r="1403" spans="1:11">
      <c r="A1403" s="39">
        <v>0.624</v>
      </c>
      <c r="B1403" s="37">
        <v>959</v>
      </c>
      <c r="C1403" s="38">
        <v>0.505</v>
      </c>
      <c r="D1403" s="39">
        <v>0.41299999999999998</v>
      </c>
      <c r="E1403" s="37">
        <v>70</v>
      </c>
      <c r="F1403" s="37">
        <v>1</v>
      </c>
      <c r="G1403" s="37">
        <v>6</v>
      </c>
      <c r="H1403" s="40">
        <f ca="1">LEFT(Music_Data[[#This Row],[Duration_minutes]],3)/60</f>
        <v>3.7333333333333334</v>
      </c>
      <c r="I1403" s="39">
        <v>2.53E-2</v>
      </c>
      <c r="J1403" s="41" t="str">
        <f t="shared" si="21"/>
        <v>Casi nada popular</v>
      </c>
      <c r="K1403" s="43">
        <v>40267</v>
      </c>
    </row>
    <row r="1404" spans="1:11">
      <c r="A1404" s="34">
        <v>0.316</v>
      </c>
      <c r="B1404" s="32">
        <v>132</v>
      </c>
      <c r="C1404" s="33">
        <v>0.625</v>
      </c>
      <c r="D1404" s="34">
        <v>0.45200000000000001</v>
      </c>
      <c r="E1404" s="32">
        <v>70</v>
      </c>
      <c r="F1404" s="32">
        <v>0</v>
      </c>
      <c r="G1404" s="32">
        <v>6</v>
      </c>
      <c r="H1404" s="35">
        <f ca="1">LEFT(Music_Data[[#This Row],[Duration_minutes]],3)/60</f>
        <v>3.7166666666666668</v>
      </c>
      <c r="I1404" s="34">
        <v>0.77700000000000002</v>
      </c>
      <c r="J1404" s="36" t="str">
        <f t="shared" si="21"/>
        <v>Casi nada popular</v>
      </c>
      <c r="K1404" s="42">
        <v>43868</v>
      </c>
    </row>
    <row r="1405" spans="1:11">
      <c r="A1405" s="39">
        <v>0.128</v>
      </c>
      <c r="B1405" s="37">
        <v>920</v>
      </c>
      <c r="C1405" s="38">
        <v>0.52200000000000002</v>
      </c>
      <c r="D1405" s="39">
        <v>0.124</v>
      </c>
      <c r="E1405" s="37">
        <v>70</v>
      </c>
      <c r="F1405" s="37">
        <v>1</v>
      </c>
      <c r="G1405" s="37">
        <v>4</v>
      </c>
      <c r="H1405" s="40">
        <f ca="1">LEFT(Music_Data[[#This Row],[Duration_minutes]],3)/60</f>
        <v>2.6333333333333333</v>
      </c>
      <c r="I1405" s="39">
        <v>0.89400000000000002</v>
      </c>
      <c r="J1405" s="41" t="str">
        <f t="shared" si="21"/>
        <v>Casi nada popular</v>
      </c>
      <c r="K1405" s="43">
        <v>43392</v>
      </c>
    </row>
    <row r="1406" spans="1:11">
      <c r="A1406" s="34">
        <v>3.62E-3</v>
      </c>
      <c r="B1406" s="32">
        <v>135</v>
      </c>
      <c r="C1406" s="33">
        <v>0.23499999999999999</v>
      </c>
      <c r="D1406" s="34">
        <v>8.8499999999999995E-2</v>
      </c>
      <c r="E1406" s="32">
        <v>70</v>
      </c>
      <c r="F1406" s="32">
        <v>0</v>
      </c>
      <c r="G1406" s="32">
        <v>3</v>
      </c>
      <c r="H1406" s="35">
        <f ca="1">LEFT(Music_Data[[#This Row],[Duration_minutes]],3)/60</f>
        <v>2.95</v>
      </c>
      <c r="I1406" s="34">
        <v>0.995</v>
      </c>
      <c r="J1406" s="36" t="str">
        <f t="shared" si="21"/>
        <v>Casi nada popular</v>
      </c>
      <c r="K1406" s="42">
        <v>45226</v>
      </c>
    </row>
    <row r="1407" spans="1:11">
      <c r="A1407" s="39">
        <v>0.79100000000000004</v>
      </c>
      <c r="B1407" s="37">
        <v>102</v>
      </c>
      <c r="C1407" s="38">
        <v>0.57099999999999995</v>
      </c>
      <c r="D1407" s="39">
        <v>0.58499999999999996</v>
      </c>
      <c r="E1407" s="37">
        <v>70</v>
      </c>
      <c r="F1407" s="37">
        <v>1</v>
      </c>
      <c r="G1407" s="37">
        <v>1</v>
      </c>
      <c r="H1407" s="40">
        <f ca="1">LEFT(Music_Data[[#This Row],[Duration_minutes]],3)/60</f>
        <v>4.2</v>
      </c>
      <c r="I1407" s="39">
        <v>4.9399999999999999E-2</v>
      </c>
      <c r="J1407" s="41" t="str">
        <f t="shared" si="21"/>
        <v>Casi nada popular</v>
      </c>
      <c r="K1407" s="43">
        <v>43707</v>
      </c>
    </row>
    <row r="1408" spans="1:11">
      <c r="A1408" s="34">
        <v>0.86699999999999999</v>
      </c>
      <c r="B1408" s="32">
        <v>828</v>
      </c>
      <c r="C1408" s="33">
        <v>0.747</v>
      </c>
      <c r="D1408" s="34">
        <v>0.68400000000000005</v>
      </c>
      <c r="E1408" s="32">
        <v>70</v>
      </c>
      <c r="F1408" s="32">
        <v>1</v>
      </c>
      <c r="G1408" s="32">
        <v>0</v>
      </c>
      <c r="H1408" s="35">
        <f ca="1">LEFT(Music_Data[[#This Row],[Duration_minutes]],3)/60</f>
        <v>6.3666666666666663</v>
      </c>
      <c r="I1408" s="34">
        <v>0.58199999999999996</v>
      </c>
      <c r="J1408" s="36" t="str">
        <f t="shared" si="21"/>
        <v>Casi nada popular</v>
      </c>
      <c r="K1408" s="42">
        <v>41275</v>
      </c>
    </row>
    <row r="1409" spans="1:11">
      <c r="A1409" s="39">
        <v>0.39200000000000002</v>
      </c>
      <c r="B1409" s="37">
        <v>945</v>
      </c>
      <c r="C1409" s="38">
        <v>0.59899999999999998</v>
      </c>
      <c r="D1409" s="39">
        <v>0.26</v>
      </c>
      <c r="E1409" s="37">
        <v>70</v>
      </c>
      <c r="F1409" s="37">
        <v>0</v>
      </c>
      <c r="G1409" s="37">
        <v>10</v>
      </c>
      <c r="H1409" s="40">
        <f ca="1">LEFT(Music_Data[[#This Row],[Duration_minutes]],3)/60</f>
        <v>4.1500000000000004</v>
      </c>
      <c r="I1409" s="39">
        <v>0.378</v>
      </c>
      <c r="J1409" s="41" t="str">
        <f t="shared" si="21"/>
        <v>Casi nada popular</v>
      </c>
      <c r="K1409" s="43">
        <v>38061</v>
      </c>
    </row>
    <row r="1410" spans="1:11">
      <c r="A1410" s="34">
        <v>0.64500000000000002</v>
      </c>
      <c r="B1410" s="32">
        <v>860</v>
      </c>
      <c r="C1410" s="33">
        <v>0.80100000000000005</v>
      </c>
      <c r="D1410" s="34">
        <v>0.52800000000000002</v>
      </c>
      <c r="E1410" s="32">
        <v>70</v>
      </c>
      <c r="F1410" s="32">
        <v>0</v>
      </c>
      <c r="G1410" s="32">
        <v>6</v>
      </c>
      <c r="H1410" s="35">
        <f ca="1">LEFT(Music_Data[[#This Row],[Duration_minutes]],3)/60</f>
        <v>4.2</v>
      </c>
      <c r="I1410" s="34">
        <v>0.60399999999999998</v>
      </c>
      <c r="J1410" s="36" t="str">
        <f t="shared" si="21"/>
        <v>Casi nada popular</v>
      </c>
      <c r="K1410" s="42">
        <v>39392</v>
      </c>
    </row>
    <row r="1411" spans="1:11">
      <c r="A1411" s="39">
        <v>0.84799999999999998</v>
      </c>
      <c r="B1411" s="37">
        <v>109</v>
      </c>
      <c r="C1411" s="38">
        <v>0.68500000000000005</v>
      </c>
      <c r="D1411" s="39">
        <v>0.76100000000000001</v>
      </c>
      <c r="E1411" s="37">
        <v>70</v>
      </c>
      <c r="F1411" s="37">
        <v>0</v>
      </c>
      <c r="G1411" s="37">
        <v>8</v>
      </c>
      <c r="H1411" s="40">
        <f ca="1">LEFT(Music_Data[[#This Row],[Duration_minutes]],3)/60</f>
        <v>4.4333333333333336</v>
      </c>
      <c r="I1411" s="39">
        <v>8.6099999999999996E-2</v>
      </c>
      <c r="J1411" s="41" t="str">
        <f t="shared" si="21"/>
        <v>Casi nada popular</v>
      </c>
      <c r="K1411" s="43">
        <v>39083</v>
      </c>
    </row>
    <row r="1412" spans="1:11">
      <c r="A1412" s="34">
        <v>0.59599999999999997</v>
      </c>
      <c r="B1412" s="32">
        <v>129</v>
      </c>
      <c r="C1412" s="33">
        <v>0.81899999999999995</v>
      </c>
      <c r="D1412" s="34">
        <v>0.622</v>
      </c>
      <c r="E1412" s="32">
        <v>70</v>
      </c>
      <c r="F1412" s="32">
        <v>1</v>
      </c>
      <c r="G1412" s="32">
        <v>2</v>
      </c>
      <c r="H1412" s="35">
        <f ca="1">LEFT(Music_Data[[#This Row],[Duration_minutes]],3)/60</f>
        <v>2.85</v>
      </c>
      <c r="I1412" s="34">
        <v>0.22500000000000001</v>
      </c>
      <c r="J1412" s="36" t="str">
        <f t="shared" ref="J1412:J1475" si="22">IF(E1412&gt;=94,"Muy Popular",IF(E1412&gt;=86,"Popular",IF(E1412&gt;=78,"No muy popular","Casi nada popular")))</f>
        <v>Casi nada popular</v>
      </c>
      <c r="K1412" s="42">
        <v>45590</v>
      </c>
    </row>
    <row r="1413" spans="1:11">
      <c r="A1413" s="39">
        <v>0.83599999999999997</v>
      </c>
      <c r="B1413" s="37">
        <v>140</v>
      </c>
      <c r="C1413" s="38">
        <v>0.746</v>
      </c>
      <c r="D1413" s="39">
        <v>0.874</v>
      </c>
      <c r="E1413" s="37">
        <v>70</v>
      </c>
      <c r="F1413" s="37">
        <v>0</v>
      </c>
      <c r="G1413" s="37">
        <v>5</v>
      </c>
      <c r="H1413" s="40">
        <f ca="1">LEFT(Music_Data[[#This Row],[Duration_minutes]],3)/60</f>
        <v>4.3166666666666664</v>
      </c>
      <c r="I1413" s="39">
        <v>0.14499999999999999</v>
      </c>
      <c r="J1413" s="41" t="str">
        <f t="shared" si="22"/>
        <v>Casi nada popular</v>
      </c>
      <c r="K1413" s="43">
        <v>39595</v>
      </c>
    </row>
    <row r="1414" spans="1:11">
      <c r="A1414" s="34">
        <v>0.69</v>
      </c>
      <c r="B1414" s="32">
        <v>931</v>
      </c>
      <c r="C1414" s="33">
        <v>0.79900000000000004</v>
      </c>
      <c r="D1414" s="34">
        <v>0.68200000000000005</v>
      </c>
      <c r="E1414" s="32">
        <v>70</v>
      </c>
      <c r="F1414" s="32">
        <v>1</v>
      </c>
      <c r="G1414" s="32">
        <v>7</v>
      </c>
      <c r="H1414" s="35">
        <f ca="1">LEFT(Music_Data[[#This Row],[Duration_minutes]],3)/60</f>
        <v>4.9000000000000004</v>
      </c>
      <c r="I1414" s="34">
        <v>0.28199999999999997</v>
      </c>
      <c r="J1414" s="36" t="str">
        <f t="shared" si="22"/>
        <v>Casi nada popular</v>
      </c>
      <c r="K1414" s="42">
        <v>35944</v>
      </c>
    </row>
    <row r="1415" spans="1:11">
      <c r="A1415" s="39">
        <v>0.61699999999999999</v>
      </c>
      <c r="B1415" s="37">
        <v>146</v>
      </c>
      <c r="C1415" s="38">
        <v>0.71299999999999997</v>
      </c>
      <c r="D1415" s="39">
        <v>0.68200000000000005</v>
      </c>
      <c r="E1415" s="37">
        <v>70</v>
      </c>
      <c r="F1415" s="37">
        <v>1</v>
      </c>
      <c r="G1415" s="37">
        <v>8</v>
      </c>
      <c r="H1415" s="40">
        <f ca="1">LEFT(Music_Data[[#This Row],[Duration_minutes]],3)/60</f>
        <v>3.35</v>
      </c>
      <c r="I1415" s="39">
        <v>0.122</v>
      </c>
      <c r="J1415" s="41" t="str">
        <f t="shared" si="22"/>
        <v>Casi nada popular</v>
      </c>
      <c r="K1415" s="43">
        <v>43518</v>
      </c>
    </row>
    <row r="1416" spans="1:11">
      <c r="A1416" s="34">
        <v>0.70599999999999996</v>
      </c>
      <c r="B1416" s="32">
        <v>130</v>
      </c>
      <c r="C1416" s="33">
        <v>0.63500000000000001</v>
      </c>
      <c r="D1416" s="34">
        <v>0.443</v>
      </c>
      <c r="E1416" s="32">
        <v>70</v>
      </c>
      <c r="F1416" s="32">
        <v>0</v>
      </c>
      <c r="G1416" s="32">
        <v>5</v>
      </c>
      <c r="H1416" s="35">
        <f ca="1">LEFT(Music_Data[[#This Row],[Duration_minutes]],3)/60</f>
        <v>4.55</v>
      </c>
      <c r="I1416" s="34">
        <v>0.25600000000000001</v>
      </c>
      <c r="J1416" s="36" t="str">
        <f t="shared" si="22"/>
        <v>Casi nada popular</v>
      </c>
      <c r="K1416" s="42">
        <v>39083</v>
      </c>
    </row>
    <row r="1417" spans="1:11">
      <c r="A1417" s="39">
        <v>0.76600000000000001</v>
      </c>
      <c r="B1417" s="37">
        <v>733</v>
      </c>
      <c r="C1417" s="38">
        <v>0.73699999999999999</v>
      </c>
      <c r="D1417" s="39">
        <v>0.66200000000000003</v>
      </c>
      <c r="E1417" s="37">
        <v>70</v>
      </c>
      <c r="F1417" s="37">
        <v>0</v>
      </c>
      <c r="G1417" s="37">
        <v>10</v>
      </c>
      <c r="H1417" s="40">
        <f ca="1">LEFT(Music_Data[[#This Row],[Duration_minutes]],3)/60</f>
        <v>4.5333333333333332</v>
      </c>
      <c r="I1417" s="39">
        <v>0.31</v>
      </c>
      <c r="J1417" s="41" t="str">
        <f t="shared" si="22"/>
        <v>Casi nada popular</v>
      </c>
      <c r="K1417" s="43">
        <v>42895</v>
      </c>
    </row>
    <row r="1418" spans="1:11">
      <c r="A1418" s="34">
        <v>0.70299999999999996</v>
      </c>
      <c r="B1418" s="32">
        <v>901</v>
      </c>
      <c r="C1418" s="33">
        <v>0.63900000000000001</v>
      </c>
      <c r="D1418" s="34">
        <v>0.13800000000000001</v>
      </c>
      <c r="E1418" s="32">
        <v>70</v>
      </c>
      <c r="F1418" s="32">
        <v>0</v>
      </c>
      <c r="G1418" s="32">
        <v>4</v>
      </c>
      <c r="H1418" s="35">
        <f ca="1">LEFT(Music_Data[[#This Row],[Duration_minutes]],3)/60</f>
        <v>3.7833333333333332</v>
      </c>
      <c r="I1418" s="34">
        <v>8.8900000000000007E-2</v>
      </c>
      <c r="J1418" s="36" t="str">
        <f t="shared" si="22"/>
        <v>Casi nada popular</v>
      </c>
      <c r="K1418" s="42">
        <v>37257</v>
      </c>
    </row>
    <row r="1419" spans="1:11">
      <c r="A1419" s="39">
        <v>0.63600000000000001</v>
      </c>
      <c r="B1419" s="37">
        <v>966</v>
      </c>
      <c r="C1419" s="38">
        <v>0.69499999999999995</v>
      </c>
      <c r="D1419" s="39">
        <v>0.57499999999999996</v>
      </c>
      <c r="E1419" s="37">
        <v>70</v>
      </c>
      <c r="F1419" s="37">
        <v>1</v>
      </c>
      <c r="G1419" s="37">
        <v>5</v>
      </c>
      <c r="H1419" s="40">
        <f ca="1">LEFT(Music_Data[[#This Row],[Duration_minutes]],3)/60</f>
        <v>4.083333333333333</v>
      </c>
      <c r="I1419" s="39">
        <v>0.23400000000000001</v>
      </c>
      <c r="J1419" s="41" t="str">
        <f t="shared" si="22"/>
        <v>Casi nada popular</v>
      </c>
      <c r="K1419" s="43">
        <v>37166</v>
      </c>
    </row>
    <row r="1420" spans="1:11">
      <c r="A1420" s="34">
        <v>0.67300000000000004</v>
      </c>
      <c r="B1420" s="32">
        <v>133</v>
      </c>
      <c r="C1420" s="33">
        <v>0.65500000000000003</v>
      </c>
      <c r="D1420" s="34">
        <v>0.34200000000000003</v>
      </c>
      <c r="E1420" s="32">
        <v>70</v>
      </c>
      <c r="F1420" s="32">
        <v>0</v>
      </c>
      <c r="G1420" s="32">
        <v>0</v>
      </c>
      <c r="H1420" s="35">
        <f ca="1">LEFT(Music_Data[[#This Row],[Duration_minutes]],3)/60</f>
        <v>3.85</v>
      </c>
      <c r="I1420" s="34">
        <v>0.47299999999999998</v>
      </c>
      <c r="J1420" s="36" t="str">
        <f t="shared" si="22"/>
        <v>Casi nada popular</v>
      </c>
      <c r="K1420" s="42">
        <v>44505</v>
      </c>
    </row>
    <row r="1421" spans="1:11">
      <c r="A1421" s="39">
        <v>0.73899999999999999</v>
      </c>
      <c r="B1421" s="37">
        <v>144</v>
      </c>
      <c r="C1421" s="38">
        <v>0.70399999999999996</v>
      </c>
      <c r="D1421" s="39">
        <v>0.42499999999999999</v>
      </c>
      <c r="E1421" s="37">
        <v>70</v>
      </c>
      <c r="F1421" s="37">
        <v>1</v>
      </c>
      <c r="G1421" s="37">
        <v>8</v>
      </c>
      <c r="H1421" s="40">
        <f ca="1">LEFT(Music_Data[[#This Row],[Duration_minutes]],3)/60</f>
        <v>3</v>
      </c>
      <c r="I1421" s="39">
        <v>0.32800000000000001</v>
      </c>
      <c r="J1421" s="41" t="str">
        <f t="shared" si="22"/>
        <v>Casi nada popular</v>
      </c>
      <c r="K1421" s="43">
        <v>43868</v>
      </c>
    </row>
    <row r="1422" spans="1:11">
      <c r="A1422" s="34">
        <v>0.84599999999999997</v>
      </c>
      <c r="B1422" s="32">
        <v>867</v>
      </c>
      <c r="C1422" s="33">
        <v>0.73399999999999999</v>
      </c>
      <c r="D1422" s="34">
        <v>0.60399999999999998</v>
      </c>
      <c r="E1422" s="32">
        <v>70</v>
      </c>
      <c r="F1422" s="32">
        <v>0</v>
      </c>
      <c r="G1422" s="32">
        <v>9</v>
      </c>
      <c r="H1422" s="35">
        <f ca="1">LEFT(Music_Data[[#This Row],[Duration_minutes]],3)/60</f>
        <v>3.8166666666666669</v>
      </c>
      <c r="I1422" s="34">
        <v>0.16600000000000001</v>
      </c>
      <c r="J1422" s="36" t="str">
        <f t="shared" si="22"/>
        <v>Casi nada popular</v>
      </c>
      <c r="K1422" s="42">
        <v>2005</v>
      </c>
    </row>
    <row r="1423" spans="1:11">
      <c r="A1423" s="39">
        <v>0.71</v>
      </c>
      <c r="B1423" s="37">
        <v>119</v>
      </c>
      <c r="C1423" s="38">
        <v>0.53500000000000003</v>
      </c>
      <c r="D1423" s="39">
        <v>0.52300000000000002</v>
      </c>
      <c r="E1423" s="37">
        <v>70</v>
      </c>
      <c r="F1423" s="37">
        <v>0</v>
      </c>
      <c r="G1423" s="37">
        <v>1</v>
      </c>
      <c r="H1423" s="40">
        <f ca="1">LEFT(Music_Data[[#This Row],[Duration_minutes]],3)/60</f>
        <v>3.85</v>
      </c>
      <c r="I1423" s="39">
        <v>0.42799999999999999</v>
      </c>
      <c r="J1423" s="41" t="str">
        <f t="shared" si="22"/>
        <v>Casi nada popular</v>
      </c>
      <c r="K1423" s="43">
        <v>38069</v>
      </c>
    </row>
    <row r="1424" spans="1:11">
      <c r="A1424" s="34">
        <v>0.82699999999999996</v>
      </c>
      <c r="B1424" s="32">
        <v>939</v>
      </c>
      <c r="C1424" s="33">
        <v>0.95599999999999996</v>
      </c>
      <c r="D1424" s="34">
        <v>0.61399999999999999</v>
      </c>
      <c r="E1424" s="32">
        <v>70</v>
      </c>
      <c r="F1424" s="32">
        <v>1</v>
      </c>
      <c r="G1424" s="32">
        <v>9</v>
      </c>
      <c r="H1424" s="35">
        <f ca="1">LEFT(Music_Data[[#This Row],[Duration_minutes]],3)/60</f>
        <v>4.4333333333333336</v>
      </c>
      <c r="I1424" s="34">
        <v>0.13600000000000001</v>
      </c>
      <c r="J1424" s="36" t="str">
        <f t="shared" si="22"/>
        <v>Casi nada popular</v>
      </c>
      <c r="K1424" s="42">
        <v>37110</v>
      </c>
    </row>
    <row r="1425" spans="1:11">
      <c r="A1425" s="39">
        <v>0.59</v>
      </c>
      <c r="B1425" s="37">
        <v>124</v>
      </c>
      <c r="C1425" s="38">
        <v>0.71099999999999997</v>
      </c>
      <c r="D1425" s="39">
        <v>0.70199999999999996</v>
      </c>
      <c r="E1425" s="37">
        <v>70</v>
      </c>
      <c r="F1425" s="37">
        <v>0</v>
      </c>
      <c r="G1425" s="37">
        <v>6</v>
      </c>
      <c r="H1425" s="40">
        <f ca="1">LEFT(Music_Data[[#This Row],[Duration_minutes]],3)/60</f>
        <v>4.1166666666666663</v>
      </c>
      <c r="I1425" s="39">
        <v>0.26</v>
      </c>
      <c r="J1425" s="41" t="str">
        <f t="shared" si="22"/>
        <v>Casi nada popular</v>
      </c>
      <c r="K1425" s="43">
        <v>37110</v>
      </c>
    </row>
    <row r="1426" spans="1:11">
      <c r="A1426" s="34">
        <v>0.65600000000000003</v>
      </c>
      <c r="B1426" s="32">
        <v>179</v>
      </c>
      <c r="C1426" s="33">
        <v>0.68500000000000005</v>
      </c>
      <c r="D1426" s="34">
        <v>0.55600000000000005</v>
      </c>
      <c r="E1426" s="32">
        <v>70</v>
      </c>
      <c r="F1426" s="32">
        <v>0</v>
      </c>
      <c r="G1426" s="32">
        <v>7</v>
      </c>
      <c r="H1426" s="35">
        <f ca="1">LEFT(Music_Data[[#This Row],[Duration_minutes]],3)/60</f>
        <v>3.2166666666666668</v>
      </c>
      <c r="I1426" s="34">
        <v>0.70199999999999996</v>
      </c>
      <c r="J1426" s="36" t="str">
        <f t="shared" si="22"/>
        <v>Casi nada popular</v>
      </c>
      <c r="K1426" s="42">
        <v>2012</v>
      </c>
    </row>
    <row r="1427" spans="1:11">
      <c r="A1427" s="39">
        <v>0.57899999999999996</v>
      </c>
      <c r="B1427" s="37">
        <v>138</v>
      </c>
      <c r="C1427" s="38">
        <v>0.56200000000000006</v>
      </c>
      <c r="D1427" s="39">
        <v>0.57699999999999996</v>
      </c>
      <c r="E1427" s="37">
        <v>70</v>
      </c>
      <c r="F1427" s="37">
        <v>0</v>
      </c>
      <c r="G1427" s="37">
        <v>10</v>
      </c>
      <c r="H1427" s="40">
        <f ca="1">LEFT(Music_Data[[#This Row],[Duration_minutes]],3)/60</f>
        <v>3.5166666666666666</v>
      </c>
      <c r="I1427" s="39">
        <v>0.27400000000000002</v>
      </c>
      <c r="J1427" s="41" t="str">
        <f t="shared" si="22"/>
        <v>Casi nada popular</v>
      </c>
      <c r="K1427" s="43">
        <v>38069</v>
      </c>
    </row>
    <row r="1428" spans="1:11">
      <c r="A1428" s="34">
        <v>0.73399999999999999</v>
      </c>
      <c r="B1428" s="32">
        <v>103</v>
      </c>
      <c r="C1428" s="33">
        <v>0.91800000000000004</v>
      </c>
      <c r="D1428" s="34">
        <v>0.60799999999999998</v>
      </c>
      <c r="E1428" s="32">
        <v>70</v>
      </c>
      <c r="F1428" s="32">
        <v>0</v>
      </c>
      <c r="G1428" s="32">
        <v>11</v>
      </c>
      <c r="H1428" s="35">
        <f ca="1">LEFT(Music_Data[[#This Row],[Duration_minutes]],3)/60</f>
        <v>3.95</v>
      </c>
      <c r="I1428" s="34">
        <v>2.9600000000000001E-2</v>
      </c>
      <c r="J1428" s="36" t="str">
        <f t="shared" si="22"/>
        <v>Casi nada popular</v>
      </c>
      <c r="K1428" s="42">
        <v>29382</v>
      </c>
    </row>
    <row r="1429" spans="1:11">
      <c r="A1429" s="39">
        <v>0.63100000000000001</v>
      </c>
      <c r="B1429" s="37">
        <v>124</v>
      </c>
      <c r="C1429" s="38">
        <v>0.48</v>
      </c>
      <c r="D1429" s="39">
        <v>0.51500000000000001</v>
      </c>
      <c r="E1429" s="37">
        <v>70</v>
      </c>
      <c r="F1429" s="37">
        <v>1</v>
      </c>
      <c r="G1429" s="37">
        <v>7</v>
      </c>
      <c r="H1429" s="40">
        <f ca="1">LEFT(Music_Data[[#This Row],[Duration_minutes]],3)/60</f>
        <v>4.25</v>
      </c>
      <c r="I1429" s="39">
        <v>7.9100000000000004E-2</v>
      </c>
      <c r="J1429" s="41" t="str">
        <f t="shared" si="22"/>
        <v>Casi nada popular</v>
      </c>
      <c r="K1429" s="43">
        <v>30459</v>
      </c>
    </row>
    <row r="1430" spans="1:11">
      <c r="A1430" s="34">
        <v>0.41499999999999998</v>
      </c>
      <c r="B1430" s="32">
        <v>951</v>
      </c>
      <c r="C1430" s="33">
        <v>0.82299999999999995</v>
      </c>
      <c r="D1430" s="34">
        <v>0.48799999999999999</v>
      </c>
      <c r="E1430" s="32">
        <v>70</v>
      </c>
      <c r="F1430" s="32">
        <v>0</v>
      </c>
      <c r="G1430" s="32">
        <v>5</v>
      </c>
      <c r="H1430" s="35">
        <f ca="1">LEFT(Music_Data[[#This Row],[Duration_minutes]],3)/60</f>
        <v>4.083333333333333</v>
      </c>
      <c r="I1430" s="34">
        <v>0.47099999999999997</v>
      </c>
      <c r="J1430" s="36" t="str">
        <f t="shared" si="22"/>
        <v>Casi nada popular</v>
      </c>
      <c r="K1430" s="42">
        <v>33970</v>
      </c>
    </row>
    <row r="1431" spans="1:11">
      <c r="A1431" s="39">
        <v>0.80100000000000005</v>
      </c>
      <c r="B1431" s="37">
        <v>767</v>
      </c>
      <c r="C1431" s="38">
        <v>0.77800000000000002</v>
      </c>
      <c r="D1431" s="39">
        <v>0.91400000000000003</v>
      </c>
      <c r="E1431" s="37">
        <v>70</v>
      </c>
      <c r="F1431" s="37">
        <v>0</v>
      </c>
      <c r="G1431" s="37">
        <v>6</v>
      </c>
      <c r="H1431" s="40">
        <f ca="1">LEFT(Music_Data[[#This Row],[Duration_minutes]],3)/60</f>
        <v>3.55</v>
      </c>
      <c r="I1431" s="39">
        <v>0.69199999999999995</v>
      </c>
      <c r="J1431" s="41" t="str">
        <f t="shared" si="22"/>
        <v>Casi nada popular</v>
      </c>
      <c r="K1431" s="43">
        <v>38353</v>
      </c>
    </row>
    <row r="1432" spans="1:11">
      <c r="A1432" s="34">
        <v>0.70699999999999996</v>
      </c>
      <c r="B1432" s="32">
        <v>767</v>
      </c>
      <c r="C1432" s="33">
        <v>0.84899999999999998</v>
      </c>
      <c r="D1432" s="34">
        <v>0.60199999999999998</v>
      </c>
      <c r="E1432" s="32">
        <v>70</v>
      </c>
      <c r="F1432" s="32">
        <v>1</v>
      </c>
      <c r="G1432" s="32">
        <v>0</v>
      </c>
      <c r="H1432" s="35">
        <f ca="1">LEFT(Music_Data[[#This Row],[Duration_minutes]],3)/60</f>
        <v>3.55</v>
      </c>
      <c r="I1432" s="34">
        <v>2.6599999999999999E-2</v>
      </c>
      <c r="J1432" s="36" t="str">
        <f t="shared" si="22"/>
        <v>Casi nada popular</v>
      </c>
      <c r="K1432" s="42">
        <v>38353</v>
      </c>
    </row>
    <row r="1433" spans="1:11">
      <c r="A1433" s="39">
        <v>0.65500000000000003</v>
      </c>
      <c r="B1433" s="37">
        <v>184</v>
      </c>
      <c r="C1433" s="38">
        <v>0.64900000000000002</v>
      </c>
      <c r="D1433" s="39">
        <v>0.79300000000000004</v>
      </c>
      <c r="E1433" s="37">
        <v>70</v>
      </c>
      <c r="F1433" s="37">
        <v>0</v>
      </c>
      <c r="G1433" s="37">
        <v>10</v>
      </c>
      <c r="H1433" s="40">
        <f ca="1">LEFT(Music_Data[[#This Row],[Duration_minutes]],3)/60</f>
        <v>3.1666666666666665</v>
      </c>
      <c r="I1433" s="39">
        <v>0.307</v>
      </c>
      <c r="J1433" s="41" t="str">
        <f t="shared" si="22"/>
        <v>Casi nada popular</v>
      </c>
      <c r="K1433" s="43">
        <v>45540</v>
      </c>
    </row>
    <row r="1434" spans="1:11">
      <c r="A1434" s="34">
        <v>0.128</v>
      </c>
      <c r="B1434" s="32">
        <v>105</v>
      </c>
      <c r="C1434" s="33">
        <v>0.59899999999999998</v>
      </c>
      <c r="D1434" s="34">
        <v>0.36699999999999999</v>
      </c>
      <c r="E1434" s="32">
        <v>70</v>
      </c>
      <c r="F1434" s="32">
        <v>1</v>
      </c>
      <c r="G1434" s="32">
        <v>10</v>
      </c>
      <c r="H1434" s="35">
        <f ca="1">LEFT(Music_Data[[#This Row],[Duration_minutes]],3)/60</f>
        <v>3.6</v>
      </c>
      <c r="I1434" s="34">
        <v>0.97399999999999998</v>
      </c>
      <c r="J1434" s="36" t="str">
        <f t="shared" si="22"/>
        <v>Casi nada popular</v>
      </c>
      <c r="K1434" s="42">
        <v>2000</v>
      </c>
    </row>
    <row r="1435" spans="1:11">
      <c r="A1435" s="39">
        <v>0.30399999999999999</v>
      </c>
      <c r="B1435" s="37">
        <v>155</v>
      </c>
      <c r="C1435" s="38">
        <v>0.53800000000000003</v>
      </c>
      <c r="D1435" s="39">
        <v>6.5000000000000002E-2</v>
      </c>
      <c r="E1435" s="37">
        <v>70</v>
      </c>
      <c r="F1435" s="37">
        <v>1</v>
      </c>
      <c r="G1435" s="37">
        <v>9</v>
      </c>
      <c r="H1435" s="40">
        <f ca="1">LEFT(Music_Data[[#This Row],[Duration_minutes]],3)/60</f>
        <v>4.8166666666666664</v>
      </c>
      <c r="I1435" s="39">
        <v>0.61299999999999999</v>
      </c>
      <c r="J1435" s="41" t="str">
        <f t="shared" si="22"/>
        <v>Casi nada popular</v>
      </c>
      <c r="K1435" s="43">
        <v>1998</v>
      </c>
    </row>
    <row r="1436" spans="1:11">
      <c r="A1436" s="34">
        <v>0.28799999999999998</v>
      </c>
      <c r="B1436" s="32">
        <v>918</v>
      </c>
      <c r="C1436" s="33">
        <v>0.68700000000000006</v>
      </c>
      <c r="D1436" s="34">
        <v>0.308</v>
      </c>
      <c r="E1436" s="32">
        <v>70</v>
      </c>
      <c r="F1436" s="32">
        <v>1</v>
      </c>
      <c r="G1436" s="32">
        <v>2</v>
      </c>
      <c r="H1436" s="35">
        <f ca="1">LEFT(Music_Data[[#This Row],[Duration_minutes]],3)/60</f>
        <v>3.9666666666666668</v>
      </c>
      <c r="I1436" s="34">
        <v>0.86299999999999999</v>
      </c>
      <c r="J1436" s="36" t="str">
        <f t="shared" si="22"/>
        <v>Casi nada popular</v>
      </c>
      <c r="K1436" s="42">
        <v>34022</v>
      </c>
    </row>
    <row r="1437" spans="1:11">
      <c r="A1437" s="39">
        <v>0.76700000000000002</v>
      </c>
      <c r="B1437" s="37">
        <v>112</v>
      </c>
      <c r="C1437" s="38">
        <v>0.71799999999999997</v>
      </c>
      <c r="D1437" s="39">
        <v>0.51900000000000002</v>
      </c>
      <c r="E1437" s="37">
        <v>70</v>
      </c>
      <c r="F1437" s="37">
        <v>1</v>
      </c>
      <c r="G1437" s="37">
        <v>9</v>
      </c>
      <c r="H1437" s="40">
        <f ca="1">LEFT(Music_Data[[#This Row],[Duration_minutes]],3)/60</f>
        <v>4.1833333333333336</v>
      </c>
      <c r="I1437" s="39">
        <v>0.13800000000000001</v>
      </c>
      <c r="J1437" s="41" t="str">
        <f t="shared" si="22"/>
        <v>Casi nada popular</v>
      </c>
      <c r="K1437" s="43">
        <v>31103</v>
      </c>
    </row>
    <row r="1438" spans="1:11">
      <c r="A1438" s="34">
        <v>0.66200000000000003</v>
      </c>
      <c r="B1438" s="32">
        <v>115</v>
      </c>
      <c r="C1438" s="33">
        <v>0.70899999999999996</v>
      </c>
      <c r="D1438" s="34">
        <v>0.439</v>
      </c>
      <c r="E1438" s="32">
        <v>70</v>
      </c>
      <c r="F1438" s="32">
        <v>1</v>
      </c>
      <c r="G1438" s="32">
        <v>8</v>
      </c>
      <c r="H1438" s="35">
        <f ca="1">LEFT(Music_Data[[#This Row],[Duration_minutes]],3)/60</f>
        <v>3.4666666666666668</v>
      </c>
      <c r="I1438" s="34">
        <v>9.6600000000000002E-3</v>
      </c>
      <c r="J1438" s="36" t="str">
        <f t="shared" si="22"/>
        <v>Casi nada popular</v>
      </c>
      <c r="K1438" s="42">
        <v>29063</v>
      </c>
    </row>
    <row r="1439" spans="1:11">
      <c r="A1439" s="39">
        <v>0.58799999999999997</v>
      </c>
      <c r="B1439" s="37">
        <v>140</v>
      </c>
      <c r="C1439" s="38">
        <v>0.71199999999999997</v>
      </c>
      <c r="D1439" s="39">
        <v>0.47099999999999997</v>
      </c>
      <c r="E1439" s="37">
        <v>70</v>
      </c>
      <c r="F1439" s="37">
        <v>0</v>
      </c>
      <c r="G1439" s="37">
        <v>9</v>
      </c>
      <c r="H1439" s="40">
        <f ca="1">LEFT(Music_Data[[#This Row],[Duration_minutes]],3)/60</f>
        <v>4.2166666666666668</v>
      </c>
      <c r="I1439" s="39">
        <v>0.112</v>
      </c>
      <c r="J1439" s="41" t="str">
        <f t="shared" si="22"/>
        <v>Casi nada popular</v>
      </c>
      <c r="K1439" s="43">
        <v>39194</v>
      </c>
    </row>
    <row r="1440" spans="1:11">
      <c r="A1440" s="34">
        <v>0.50600000000000001</v>
      </c>
      <c r="B1440" s="32">
        <v>850</v>
      </c>
      <c r="C1440" s="33">
        <v>0.46899999999999997</v>
      </c>
      <c r="D1440" s="34">
        <v>0.217</v>
      </c>
      <c r="E1440" s="32">
        <v>70</v>
      </c>
      <c r="F1440" s="32">
        <v>1</v>
      </c>
      <c r="G1440" s="32">
        <v>0</v>
      </c>
      <c r="H1440" s="35">
        <f ca="1">LEFT(Music_Data[[#This Row],[Duration_minutes]],3)/60</f>
        <v>4.5333333333333332</v>
      </c>
      <c r="I1440" s="34">
        <v>0.58699999999999997</v>
      </c>
      <c r="J1440" s="36" t="str">
        <f t="shared" si="22"/>
        <v>Casi nada popular</v>
      </c>
      <c r="K1440" s="42">
        <v>41526</v>
      </c>
    </row>
    <row r="1441" spans="1:11">
      <c r="A1441" s="39">
        <v>0.64500000000000002</v>
      </c>
      <c r="B1441" s="37">
        <v>116</v>
      </c>
      <c r="C1441" s="38">
        <v>0.71399999999999997</v>
      </c>
      <c r="D1441" s="39">
        <v>0.434</v>
      </c>
      <c r="E1441" s="37">
        <v>70</v>
      </c>
      <c r="F1441" s="37">
        <v>1</v>
      </c>
      <c r="G1441" s="37">
        <v>10</v>
      </c>
      <c r="H1441" s="40">
        <f ca="1">LEFT(Music_Data[[#This Row],[Duration_minutes]],3)/60</f>
        <v>2.6666666666666665</v>
      </c>
      <c r="I1441" s="39">
        <v>0.22900000000000001</v>
      </c>
      <c r="J1441" s="41" t="str">
        <f t="shared" si="22"/>
        <v>Casi nada popular</v>
      </c>
      <c r="K1441" s="43">
        <v>25909</v>
      </c>
    </row>
    <row r="1442" spans="1:11">
      <c r="A1442" s="34">
        <v>0.79800000000000004</v>
      </c>
      <c r="B1442" s="32">
        <v>120</v>
      </c>
      <c r="C1442" s="33">
        <v>0.50900000000000001</v>
      </c>
      <c r="D1442" s="34">
        <v>0.48</v>
      </c>
      <c r="E1442" s="32">
        <v>70</v>
      </c>
      <c r="F1442" s="32">
        <v>1</v>
      </c>
      <c r="G1442" s="32">
        <v>2</v>
      </c>
      <c r="H1442" s="35">
        <f ca="1">LEFT(Music_Data[[#This Row],[Duration_minutes]],3)/60</f>
        <v>4.2833333333333332</v>
      </c>
      <c r="I1442" s="34">
        <v>6.2500000000000003E-3</v>
      </c>
      <c r="J1442" s="36" t="str">
        <f t="shared" si="22"/>
        <v>Casi nada popular</v>
      </c>
      <c r="K1442" s="42">
        <v>28160</v>
      </c>
    </row>
    <row r="1443" spans="1:11">
      <c r="A1443" s="39">
        <v>0.57199999999999995</v>
      </c>
      <c r="B1443" s="37">
        <v>125</v>
      </c>
      <c r="C1443" s="38">
        <v>0.74199999999999999</v>
      </c>
      <c r="D1443" s="39">
        <v>0.64400000000000002</v>
      </c>
      <c r="E1443" s="37">
        <v>70</v>
      </c>
      <c r="F1443" s="37">
        <v>0</v>
      </c>
      <c r="G1443" s="37">
        <v>7</v>
      </c>
      <c r="H1443" s="40">
        <f ca="1">LEFT(Music_Data[[#This Row],[Duration_minutes]],3)/60</f>
        <v>5.9333333333333336</v>
      </c>
      <c r="I1443" s="39">
        <v>0.39100000000000001</v>
      </c>
      <c r="J1443" s="41" t="str">
        <f t="shared" si="22"/>
        <v>Casi nada popular</v>
      </c>
      <c r="K1443" s="43">
        <v>31979</v>
      </c>
    </row>
    <row r="1444" spans="1:11">
      <c r="A1444" s="34">
        <v>0.75</v>
      </c>
      <c r="B1444" s="32">
        <v>133</v>
      </c>
      <c r="C1444" s="33">
        <v>0.83099999999999996</v>
      </c>
      <c r="D1444" s="34">
        <v>0.66200000000000003</v>
      </c>
      <c r="E1444" s="32">
        <v>70</v>
      </c>
      <c r="F1444" s="32">
        <v>0</v>
      </c>
      <c r="G1444" s="32">
        <v>10</v>
      </c>
      <c r="H1444" s="35">
        <f ca="1">LEFT(Music_Data[[#This Row],[Duration_minutes]],3)/60</f>
        <v>4.8666666666666663</v>
      </c>
      <c r="I1444" s="34">
        <v>1.8800000000000001E-2</v>
      </c>
      <c r="J1444" s="36" t="str">
        <f t="shared" si="22"/>
        <v>Casi nada popular</v>
      </c>
      <c r="K1444" s="42">
        <v>33140</v>
      </c>
    </row>
    <row r="1445" spans="1:11">
      <c r="A1445" s="39">
        <v>0.72299999999999998</v>
      </c>
      <c r="B1445" s="37">
        <v>188</v>
      </c>
      <c r="C1445" s="38">
        <v>0.78700000000000003</v>
      </c>
      <c r="D1445" s="39">
        <v>0.57899999999999996</v>
      </c>
      <c r="E1445" s="37">
        <v>70</v>
      </c>
      <c r="F1445" s="37">
        <v>0</v>
      </c>
      <c r="G1445" s="37">
        <v>10</v>
      </c>
      <c r="H1445" s="40">
        <f ca="1">LEFT(Music_Data[[#This Row],[Duration_minutes]],3)/60</f>
        <v>4.25</v>
      </c>
      <c r="I1445" s="39">
        <v>5.0900000000000001E-2</v>
      </c>
      <c r="J1445" s="41" t="str">
        <f t="shared" si="22"/>
        <v>Casi nada popular</v>
      </c>
      <c r="K1445" s="43">
        <v>29427</v>
      </c>
    </row>
    <row r="1446" spans="1:11">
      <c r="A1446" s="34">
        <v>0.56999999999999995</v>
      </c>
      <c r="B1446" s="32">
        <v>188</v>
      </c>
      <c r="C1446" s="33">
        <v>0.65500000000000003</v>
      </c>
      <c r="D1446" s="34">
        <v>0.48699999999999999</v>
      </c>
      <c r="E1446" s="32">
        <v>70</v>
      </c>
      <c r="F1446" s="32">
        <v>0</v>
      </c>
      <c r="G1446" s="32">
        <v>5</v>
      </c>
      <c r="H1446" s="35">
        <f ca="1">LEFT(Music_Data[[#This Row],[Duration_minutes]],3)/60</f>
        <v>4.25</v>
      </c>
      <c r="I1446" s="34">
        <v>0.52700000000000002</v>
      </c>
      <c r="J1446" s="36" t="str">
        <f t="shared" si="22"/>
        <v>Casi nada popular</v>
      </c>
      <c r="K1446" s="42">
        <v>29427</v>
      </c>
    </row>
    <row r="1447" spans="1:11">
      <c r="A1447" s="39">
        <v>5.8200000000000002E-2</v>
      </c>
      <c r="B1447" s="37">
        <v>927</v>
      </c>
      <c r="C1447" s="38">
        <v>0.191</v>
      </c>
      <c r="D1447" s="39">
        <v>4.5400000000000003E-2</v>
      </c>
      <c r="E1447" s="37">
        <v>70</v>
      </c>
      <c r="F1447" s="37">
        <v>1</v>
      </c>
      <c r="G1447" s="37">
        <v>8</v>
      </c>
      <c r="H1447" s="40">
        <f ca="1">LEFT(Music_Data[[#This Row],[Duration_minutes]],3)/60</f>
        <v>4.916666666666667</v>
      </c>
      <c r="I1447" s="39">
        <v>0.96099999999999997</v>
      </c>
      <c r="J1447" s="41" t="str">
        <f t="shared" si="22"/>
        <v>Casi nada popular</v>
      </c>
      <c r="K1447" s="43">
        <v>30049</v>
      </c>
    </row>
    <row r="1448" spans="1:11">
      <c r="A1448" s="34">
        <v>5.5899999999999998E-2</v>
      </c>
      <c r="B1448" s="32">
        <v>927</v>
      </c>
      <c r="C1448" s="33">
        <v>0.39600000000000002</v>
      </c>
      <c r="D1448" s="34">
        <v>0.27800000000000002</v>
      </c>
      <c r="E1448" s="32">
        <v>70</v>
      </c>
      <c r="F1448" s="32">
        <v>0</v>
      </c>
      <c r="G1448" s="32">
        <v>9</v>
      </c>
      <c r="H1448" s="35">
        <f ca="1">LEFT(Music_Data[[#This Row],[Duration_minutes]],3)/60</f>
        <v>4.916666666666667</v>
      </c>
      <c r="I1448" s="34">
        <v>0.98699999999999999</v>
      </c>
      <c r="J1448" s="36" t="str">
        <f t="shared" si="22"/>
        <v>Casi nada popular</v>
      </c>
      <c r="K1448" s="42">
        <v>30049</v>
      </c>
    </row>
    <row r="1449" spans="1:11">
      <c r="A1449" s="39">
        <v>0.14899999999999999</v>
      </c>
      <c r="B1449" s="37">
        <v>148</v>
      </c>
      <c r="C1449" s="38">
        <v>0.48499999999999999</v>
      </c>
      <c r="D1449" s="39">
        <v>0.112</v>
      </c>
      <c r="E1449" s="37">
        <v>70</v>
      </c>
      <c r="F1449" s="37">
        <v>0</v>
      </c>
      <c r="G1449" s="37">
        <v>8</v>
      </c>
      <c r="H1449" s="40">
        <f ca="1">LEFT(Music_Data[[#This Row],[Duration_minutes]],3)/60</f>
        <v>4.0166666666666666</v>
      </c>
      <c r="I1449" s="39">
        <v>0.88600000000000001</v>
      </c>
      <c r="J1449" s="41" t="str">
        <f t="shared" si="22"/>
        <v>Casi nada popular</v>
      </c>
      <c r="K1449" s="43">
        <v>30837</v>
      </c>
    </row>
    <row r="1450" spans="1:11">
      <c r="A1450" s="34">
        <v>8.2299999999999998E-2</v>
      </c>
      <c r="B1450" s="32">
        <v>845</v>
      </c>
      <c r="C1450" s="33">
        <v>0.252</v>
      </c>
      <c r="D1450" s="34">
        <v>3.8100000000000002E-2</v>
      </c>
      <c r="E1450" s="32">
        <v>70</v>
      </c>
      <c r="F1450" s="32">
        <v>1</v>
      </c>
      <c r="G1450" s="32">
        <v>5</v>
      </c>
      <c r="H1450" s="35">
        <f ca="1">LEFT(Music_Data[[#This Row],[Duration_minutes]],3)/60</f>
        <v>4.4000000000000004</v>
      </c>
      <c r="I1450" s="34">
        <v>0.95099999999999996</v>
      </c>
      <c r="J1450" s="36" t="str">
        <f t="shared" si="22"/>
        <v>Casi nada popular</v>
      </c>
      <c r="K1450" s="42">
        <v>33505</v>
      </c>
    </row>
    <row r="1451" spans="1:11">
      <c r="A1451" s="39">
        <v>0.68700000000000006</v>
      </c>
      <c r="B1451" s="37">
        <v>889</v>
      </c>
      <c r="C1451" s="38">
        <v>0.60499999999999998</v>
      </c>
      <c r="D1451" s="39">
        <v>0.12</v>
      </c>
      <c r="E1451" s="37">
        <v>70</v>
      </c>
      <c r="F1451" s="37">
        <v>0</v>
      </c>
      <c r="G1451" s="37">
        <v>9</v>
      </c>
      <c r="H1451" s="40">
        <f ca="1">LEFT(Music_Data[[#This Row],[Duration_minutes]],3)/60</f>
        <v>3.5833333333333335</v>
      </c>
      <c r="I1451" s="39">
        <v>0.47899999999999998</v>
      </c>
      <c r="J1451" s="41" t="str">
        <f t="shared" si="22"/>
        <v>Casi nada popular</v>
      </c>
      <c r="K1451" s="43">
        <v>36319</v>
      </c>
    </row>
    <row r="1452" spans="1:11">
      <c r="A1452" s="34">
        <v>0.44700000000000001</v>
      </c>
      <c r="B1452" s="32">
        <v>123</v>
      </c>
      <c r="C1452" s="33">
        <v>0.65700000000000003</v>
      </c>
      <c r="D1452" s="34">
        <v>0.52300000000000002</v>
      </c>
      <c r="E1452" s="32">
        <v>70</v>
      </c>
      <c r="F1452" s="32">
        <v>1</v>
      </c>
      <c r="G1452" s="32">
        <v>0</v>
      </c>
      <c r="H1452" s="35">
        <f ca="1">LEFT(Music_Data[[#This Row],[Duration_minutes]],3)/60</f>
        <v>3.8666666666666667</v>
      </c>
      <c r="I1452" s="34">
        <v>0.47799999999999998</v>
      </c>
      <c r="J1452" s="36" t="str">
        <f t="shared" si="22"/>
        <v>Casi nada popular</v>
      </c>
      <c r="K1452" s="42">
        <v>37712</v>
      </c>
    </row>
    <row r="1453" spans="1:11">
      <c r="A1453" s="39">
        <v>0.77700000000000002</v>
      </c>
      <c r="B1453" s="37">
        <v>127</v>
      </c>
      <c r="C1453" s="38">
        <v>0.64900000000000002</v>
      </c>
      <c r="D1453" s="39">
        <v>0.66700000000000004</v>
      </c>
      <c r="E1453" s="37">
        <v>70</v>
      </c>
      <c r="F1453" s="37">
        <v>1</v>
      </c>
      <c r="G1453" s="37">
        <v>7</v>
      </c>
      <c r="H1453" s="40">
        <f ca="1">LEFT(Music_Data[[#This Row],[Duration_minutes]],3)/60</f>
        <v>3.5</v>
      </c>
      <c r="I1453" s="39">
        <v>7.3800000000000003E-3</v>
      </c>
      <c r="J1453" s="41" t="str">
        <f t="shared" si="22"/>
        <v>Casi nada popular</v>
      </c>
      <c r="K1453" s="43">
        <v>29427</v>
      </c>
    </row>
    <row r="1454" spans="1:11">
      <c r="A1454" s="34">
        <v>0.64300000000000002</v>
      </c>
      <c r="B1454" s="32">
        <v>127</v>
      </c>
      <c r="C1454" s="33">
        <v>0.60099999999999998</v>
      </c>
      <c r="D1454" s="34">
        <v>0.38700000000000001</v>
      </c>
      <c r="E1454" s="32">
        <v>70</v>
      </c>
      <c r="F1454" s="32">
        <v>1</v>
      </c>
      <c r="G1454" s="32">
        <v>0</v>
      </c>
      <c r="H1454" s="35">
        <f ca="1">LEFT(Music_Data[[#This Row],[Duration_minutes]],3)/60</f>
        <v>3.5</v>
      </c>
      <c r="I1454" s="34">
        <v>0.155</v>
      </c>
      <c r="J1454" s="36" t="str">
        <f t="shared" si="22"/>
        <v>Casi nada popular</v>
      </c>
      <c r="K1454" s="42">
        <v>29427</v>
      </c>
    </row>
    <row r="1455" spans="1:11">
      <c r="A1455" s="39">
        <v>0.82399999999999995</v>
      </c>
      <c r="B1455" s="37">
        <v>122</v>
      </c>
      <c r="C1455" s="38">
        <v>0.77</v>
      </c>
      <c r="D1455" s="39">
        <v>0.49</v>
      </c>
      <c r="E1455" s="37">
        <v>70</v>
      </c>
      <c r="F1455" s="37">
        <v>0</v>
      </c>
      <c r="G1455" s="37">
        <v>1</v>
      </c>
      <c r="H1455" s="40">
        <f ca="1">LEFT(Music_Data[[#This Row],[Duration_minutes]],3)/60</f>
        <v>3.7</v>
      </c>
      <c r="I1455" s="39">
        <v>0.48499999999999999</v>
      </c>
      <c r="J1455" s="41" t="str">
        <f t="shared" si="22"/>
        <v>Casi nada popular</v>
      </c>
      <c r="K1455" s="43">
        <v>31640</v>
      </c>
    </row>
    <row r="1456" spans="1:11">
      <c r="A1456" s="34">
        <v>0.80900000000000005</v>
      </c>
      <c r="B1456" s="32">
        <v>147</v>
      </c>
      <c r="C1456" s="33">
        <v>0.73199999999999998</v>
      </c>
      <c r="D1456" s="34">
        <v>0.253</v>
      </c>
      <c r="E1456" s="32">
        <v>70</v>
      </c>
      <c r="F1456" s="32">
        <v>0</v>
      </c>
      <c r="G1456" s="32">
        <v>10</v>
      </c>
      <c r="H1456" s="35">
        <f ca="1">LEFT(Music_Data[[#This Row],[Duration_minutes]],3)/60</f>
        <v>6.5166666666666666</v>
      </c>
      <c r="I1456" s="34">
        <v>2.6599999999999999E-2</v>
      </c>
      <c r="J1456" s="36" t="str">
        <f t="shared" si="22"/>
        <v>Casi nada popular</v>
      </c>
      <c r="K1456" s="42">
        <v>28102</v>
      </c>
    </row>
    <row r="1457" spans="1:11">
      <c r="A1457" s="39">
        <v>0.91300000000000003</v>
      </c>
      <c r="B1457" s="37">
        <v>158</v>
      </c>
      <c r="C1457" s="38">
        <v>0.60599999999999998</v>
      </c>
      <c r="D1457" s="39">
        <v>0.83799999999999997</v>
      </c>
      <c r="E1457" s="37">
        <v>70</v>
      </c>
      <c r="F1457" s="37">
        <v>0</v>
      </c>
      <c r="G1457" s="37">
        <v>8</v>
      </c>
      <c r="H1457" s="40">
        <f ca="1">LEFT(Music_Data[[#This Row],[Duration_minutes]],3)/60</f>
        <v>4.166666666666667</v>
      </c>
      <c r="I1457" s="39">
        <v>0.246</v>
      </c>
      <c r="J1457" s="41" t="str">
        <f t="shared" si="22"/>
        <v>Casi nada popular</v>
      </c>
      <c r="K1457" s="43">
        <v>35570</v>
      </c>
    </row>
    <row r="1458" spans="1:11">
      <c r="A1458" s="34">
        <v>0.629</v>
      </c>
      <c r="B1458" s="32">
        <v>158</v>
      </c>
      <c r="C1458" s="33">
        <v>0.51300000000000001</v>
      </c>
      <c r="D1458" s="34">
        <v>0.498</v>
      </c>
      <c r="E1458" s="32">
        <v>70</v>
      </c>
      <c r="F1458" s="32">
        <v>0</v>
      </c>
      <c r="G1458" s="32">
        <v>4</v>
      </c>
      <c r="H1458" s="35">
        <f ca="1">LEFT(Music_Data[[#This Row],[Duration_minutes]],3)/60</f>
        <v>4.166666666666667</v>
      </c>
      <c r="I1458" s="34">
        <v>9.8599999999999993E-2</v>
      </c>
      <c r="J1458" s="36" t="str">
        <f t="shared" si="22"/>
        <v>Casi nada popular</v>
      </c>
      <c r="K1458" s="42">
        <v>35570</v>
      </c>
    </row>
    <row r="1459" spans="1:11">
      <c r="A1459" s="39">
        <v>0.65500000000000003</v>
      </c>
      <c r="B1459" s="37">
        <v>120</v>
      </c>
      <c r="C1459" s="38">
        <v>0.64900000000000002</v>
      </c>
      <c r="D1459" s="39">
        <v>0.79300000000000004</v>
      </c>
      <c r="E1459" s="37">
        <v>70</v>
      </c>
      <c r="F1459" s="37">
        <v>0</v>
      </c>
      <c r="G1459" s="37">
        <v>10</v>
      </c>
      <c r="H1459" s="40">
        <f ca="1">LEFT(Music_Data[[#This Row],[Duration_minutes]],3)/60</f>
        <v>3.4166666666666665</v>
      </c>
      <c r="I1459" s="39">
        <v>0.307</v>
      </c>
      <c r="J1459" s="41" t="str">
        <f t="shared" si="22"/>
        <v>Casi nada popular</v>
      </c>
      <c r="K1459" s="43">
        <v>39216</v>
      </c>
    </row>
    <row r="1460" spans="1:11">
      <c r="A1460" s="34">
        <v>0.57899999999999996</v>
      </c>
      <c r="B1460" s="32">
        <v>790</v>
      </c>
      <c r="C1460" s="33">
        <v>0.62</v>
      </c>
      <c r="D1460" s="34">
        <v>0.69099999999999995</v>
      </c>
      <c r="E1460" s="32">
        <v>69</v>
      </c>
      <c r="F1460" s="32">
        <v>1</v>
      </c>
      <c r="G1460" s="32">
        <v>4</v>
      </c>
      <c r="H1460" s="35">
        <f ca="1">LEFT(Music_Data[[#This Row],[Duration_minutes]],3)/60</f>
        <v>2.7166666666666668</v>
      </c>
      <c r="I1460" s="34">
        <v>1.52E-2</v>
      </c>
      <c r="J1460" s="36" t="str">
        <f t="shared" si="22"/>
        <v>Casi nada popular</v>
      </c>
      <c r="K1460" s="42">
        <v>42902</v>
      </c>
    </row>
    <row r="1461" spans="1:11">
      <c r="A1461" s="39">
        <v>0.86399999999999999</v>
      </c>
      <c r="B1461" s="37">
        <v>964</v>
      </c>
      <c r="C1461" s="38">
        <v>0.437</v>
      </c>
      <c r="D1461" s="39">
        <v>0.749</v>
      </c>
      <c r="E1461" s="37">
        <v>69</v>
      </c>
      <c r="F1461" s="37">
        <v>0</v>
      </c>
      <c r="G1461" s="37">
        <v>4</v>
      </c>
      <c r="H1461" s="40">
        <f ca="1">LEFT(Music_Data[[#This Row],[Duration_minutes]],3)/60</f>
        <v>5.4833333333333334</v>
      </c>
      <c r="I1461" s="39">
        <v>0.39600000000000002</v>
      </c>
      <c r="J1461" s="41" t="str">
        <f t="shared" si="22"/>
        <v>Casi nada popular</v>
      </c>
      <c r="K1461" s="43">
        <v>36319</v>
      </c>
    </row>
    <row r="1462" spans="1:11">
      <c r="A1462" s="34">
        <v>0.58399999999999996</v>
      </c>
      <c r="B1462" s="32">
        <v>964</v>
      </c>
      <c r="C1462" s="33">
        <v>0.50900000000000001</v>
      </c>
      <c r="D1462" s="34">
        <v>0.68500000000000005</v>
      </c>
      <c r="E1462" s="32">
        <v>69</v>
      </c>
      <c r="F1462" s="32">
        <v>1</v>
      </c>
      <c r="G1462" s="32">
        <v>0</v>
      </c>
      <c r="H1462" s="35">
        <f ca="1">LEFT(Music_Data[[#This Row],[Duration_minutes]],3)/60</f>
        <v>5.4833333333333334</v>
      </c>
      <c r="I1462" s="34">
        <v>3.6799999999999999E-2</v>
      </c>
      <c r="J1462" s="36" t="str">
        <f t="shared" si="22"/>
        <v>Casi nada popular</v>
      </c>
      <c r="K1462" s="42">
        <v>36319</v>
      </c>
    </row>
    <row r="1463" spans="1:11">
      <c r="A1463" s="39">
        <v>0.91200000000000003</v>
      </c>
      <c r="B1463" s="37">
        <v>123</v>
      </c>
      <c r="C1463" s="38">
        <v>0.57499999999999996</v>
      </c>
      <c r="D1463" s="39">
        <v>0.84299999999999997</v>
      </c>
      <c r="E1463" s="37">
        <v>69</v>
      </c>
      <c r="F1463" s="37">
        <v>0</v>
      </c>
      <c r="G1463" s="37">
        <v>7</v>
      </c>
      <c r="H1463" s="40">
        <f ca="1">LEFT(Music_Data[[#This Row],[Duration_minutes]],3)/60</f>
        <v>4.25</v>
      </c>
      <c r="I1463" s="39">
        <v>9.1600000000000001E-2</v>
      </c>
      <c r="J1463" s="41" t="str">
        <f t="shared" si="22"/>
        <v>Casi nada popular</v>
      </c>
      <c r="K1463" s="43">
        <v>36319</v>
      </c>
    </row>
    <row r="1464" spans="1:11">
      <c r="A1464" s="34">
        <v>0.61099999999999999</v>
      </c>
      <c r="B1464" s="32">
        <v>914</v>
      </c>
      <c r="C1464" s="33">
        <v>0.65400000000000003</v>
      </c>
      <c r="D1464" s="34">
        <v>0.78600000000000003</v>
      </c>
      <c r="E1464" s="32">
        <v>69</v>
      </c>
      <c r="F1464" s="32">
        <v>1</v>
      </c>
      <c r="G1464" s="32">
        <v>2</v>
      </c>
      <c r="H1464" s="35">
        <f ca="1">LEFT(Music_Data[[#This Row],[Duration_minutes]],3)/60</f>
        <v>4.4833333333333334</v>
      </c>
      <c r="I1464" s="34">
        <v>3.3700000000000001E-2</v>
      </c>
      <c r="J1464" s="36" t="str">
        <f t="shared" si="22"/>
        <v>Casi nada popular</v>
      </c>
      <c r="K1464" s="42">
        <v>37446</v>
      </c>
    </row>
    <row r="1465" spans="1:11">
      <c r="A1465" s="39">
        <v>0.7</v>
      </c>
      <c r="B1465" s="37">
        <v>158</v>
      </c>
      <c r="C1465" s="38">
        <v>0.58599999999999997</v>
      </c>
      <c r="D1465" s="39">
        <v>0.89700000000000002</v>
      </c>
      <c r="E1465" s="37">
        <v>69</v>
      </c>
      <c r="F1465" s="37">
        <v>1</v>
      </c>
      <c r="G1465" s="37">
        <v>0</v>
      </c>
      <c r="H1465" s="40">
        <f ca="1">LEFT(Music_Data[[#This Row],[Duration_minutes]],3)/60</f>
        <v>3.3666666666666667</v>
      </c>
      <c r="I1465" s="39">
        <v>5.8900000000000001E-2</v>
      </c>
      <c r="J1465" s="41" t="str">
        <f t="shared" si="22"/>
        <v>Casi nada popular</v>
      </c>
      <c r="K1465" s="43">
        <v>24212</v>
      </c>
    </row>
    <row r="1466" spans="1:11">
      <c r="A1466" s="34">
        <v>0.73699999999999999</v>
      </c>
      <c r="B1466" s="32">
        <v>139</v>
      </c>
      <c r="C1466" s="33">
        <v>0.66200000000000003</v>
      </c>
      <c r="D1466" s="34">
        <v>0.74399999999999999</v>
      </c>
      <c r="E1466" s="32">
        <v>69</v>
      </c>
      <c r="F1466" s="32">
        <v>1</v>
      </c>
      <c r="G1466" s="32">
        <v>0</v>
      </c>
      <c r="H1466" s="35">
        <f ca="1">LEFT(Music_Data[[#This Row],[Duration_minutes]],3)/60</f>
        <v>3.6</v>
      </c>
      <c r="I1466" s="34">
        <v>0.108</v>
      </c>
      <c r="J1466" s="36" t="str">
        <f t="shared" si="22"/>
        <v>Casi nada popular</v>
      </c>
      <c r="K1466" s="42">
        <v>30991</v>
      </c>
    </row>
    <row r="1467" spans="1:11">
      <c r="A1467" s="39">
        <v>0.182</v>
      </c>
      <c r="B1467" s="37">
        <v>119</v>
      </c>
      <c r="C1467" s="38">
        <v>0.34899999999999998</v>
      </c>
      <c r="D1467" s="39">
        <v>0.17799999999999999</v>
      </c>
      <c r="E1467" s="37">
        <v>69</v>
      </c>
      <c r="F1467" s="37">
        <v>1</v>
      </c>
      <c r="G1467" s="37">
        <v>5</v>
      </c>
      <c r="H1467" s="40">
        <f ca="1">LEFT(Music_Data[[#This Row],[Duration_minutes]],3)/60</f>
        <v>12.383333333333333</v>
      </c>
      <c r="I1467" s="39">
        <v>0.92</v>
      </c>
      <c r="J1467" s="41" t="str">
        <f t="shared" si="22"/>
        <v>Casi nada popular</v>
      </c>
      <c r="K1467" s="43">
        <v>45415</v>
      </c>
    </row>
    <row r="1468" spans="1:11">
      <c r="A1468" s="34">
        <v>0.4</v>
      </c>
      <c r="B1468" s="32">
        <v>104</v>
      </c>
      <c r="C1468" s="33">
        <v>0.60799999999999998</v>
      </c>
      <c r="D1468" s="34">
        <v>8.8999999999999996E-2</v>
      </c>
      <c r="E1468" s="32">
        <v>69</v>
      </c>
      <c r="F1468" s="32">
        <v>1</v>
      </c>
      <c r="G1468" s="32">
        <v>1</v>
      </c>
      <c r="H1468" s="35">
        <f ca="1">LEFT(Music_Data[[#This Row],[Duration_minutes]],3)/60</f>
        <v>3.95</v>
      </c>
      <c r="I1468" s="34">
        <v>2.9000000000000001E-2</v>
      </c>
      <c r="J1468" s="36" t="str">
        <f t="shared" si="22"/>
        <v>Casi nada popular</v>
      </c>
      <c r="K1468" s="42">
        <v>38033</v>
      </c>
    </row>
    <row r="1469" spans="1:11">
      <c r="A1469" s="39">
        <v>0.68100000000000005</v>
      </c>
      <c r="B1469" s="37">
        <v>850</v>
      </c>
      <c r="C1469" s="38">
        <v>0.88400000000000001</v>
      </c>
      <c r="D1469" s="39">
        <v>0.32400000000000001</v>
      </c>
      <c r="E1469" s="37">
        <v>69</v>
      </c>
      <c r="F1469" s="37">
        <v>1</v>
      </c>
      <c r="G1469" s="37">
        <v>8</v>
      </c>
      <c r="H1469" s="40">
        <f ca="1">LEFT(Music_Data[[#This Row],[Duration_minutes]],3)/60</f>
        <v>3.0166666666666666</v>
      </c>
      <c r="I1469" s="39">
        <v>4.3900000000000002E-2</v>
      </c>
      <c r="J1469" s="41" t="str">
        <f t="shared" si="22"/>
        <v>Casi nada popular</v>
      </c>
      <c r="K1469" s="43">
        <v>34366</v>
      </c>
    </row>
    <row r="1470" spans="1:11">
      <c r="A1470" s="34">
        <v>0.47799999999999998</v>
      </c>
      <c r="B1470" s="32">
        <v>113</v>
      </c>
      <c r="C1470" s="33">
        <v>0.67500000000000004</v>
      </c>
      <c r="D1470" s="34">
        <v>0.39</v>
      </c>
      <c r="E1470" s="32">
        <v>69</v>
      </c>
      <c r="F1470" s="32">
        <v>1</v>
      </c>
      <c r="G1470" s="32">
        <v>1</v>
      </c>
      <c r="H1470" s="35">
        <f ca="1">LEFT(Music_Data[[#This Row],[Duration_minutes]],3)/60</f>
        <v>3.1333333333333333</v>
      </c>
      <c r="I1470" s="34">
        <v>7.3099999999999998E-2</v>
      </c>
      <c r="J1470" s="36" t="str">
        <f t="shared" si="22"/>
        <v>Casi nada popular</v>
      </c>
      <c r="K1470" s="42">
        <v>1982</v>
      </c>
    </row>
    <row r="1471" spans="1:11">
      <c r="A1471" s="39">
        <v>0.70199999999999996</v>
      </c>
      <c r="B1471" s="37">
        <v>113</v>
      </c>
      <c r="C1471" s="38">
        <v>0.871</v>
      </c>
      <c r="D1471" s="39">
        <v>0.67500000000000004</v>
      </c>
      <c r="E1471" s="37">
        <v>69</v>
      </c>
      <c r="F1471" s="37">
        <v>1</v>
      </c>
      <c r="G1471" s="37">
        <v>5</v>
      </c>
      <c r="H1471" s="40">
        <f ca="1">LEFT(Music_Data[[#This Row],[Duration_minutes]],3)/60</f>
        <v>3.1333333333333333</v>
      </c>
      <c r="I1471" s="39">
        <v>0.29599999999999999</v>
      </c>
      <c r="J1471" s="41" t="str">
        <f t="shared" si="22"/>
        <v>Casi nada popular</v>
      </c>
      <c r="K1471" s="43">
        <v>1982</v>
      </c>
    </row>
    <row r="1472" spans="1:11">
      <c r="A1472" s="34">
        <v>0.56999999999999995</v>
      </c>
      <c r="B1472" s="32">
        <v>749</v>
      </c>
      <c r="C1472" s="33">
        <v>0.78700000000000003</v>
      </c>
      <c r="D1472" s="34">
        <v>0.73299999999999998</v>
      </c>
      <c r="E1472" s="32">
        <v>69</v>
      </c>
      <c r="F1472" s="32">
        <v>1</v>
      </c>
      <c r="G1472" s="32">
        <v>3</v>
      </c>
      <c r="H1472" s="35">
        <f ca="1">LEFT(Music_Data[[#This Row],[Duration_minutes]],3)/60</f>
        <v>3.5666666666666669</v>
      </c>
      <c r="I1472" s="34">
        <v>4.4900000000000002E-2</v>
      </c>
      <c r="J1472" s="36" t="str">
        <f t="shared" si="22"/>
        <v>Casi nada popular</v>
      </c>
      <c r="K1472" s="42">
        <v>42139</v>
      </c>
    </row>
    <row r="1473" spans="1:11">
      <c r="A1473" s="39">
        <v>0.67600000000000005</v>
      </c>
      <c r="B1473" s="37">
        <v>124</v>
      </c>
      <c r="C1473" s="38">
        <v>0.59399999999999997</v>
      </c>
      <c r="D1473" s="39">
        <v>0.47199999999999998</v>
      </c>
      <c r="E1473" s="37">
        <v>69</v>
      </c>
      <c r="F1473" s="37">
        <v>1</v>
      </c>
      <c r="G1473" s="37">
        <v>2</v>
      </c>
      <c r="H1473" s="40">
        <f ca="1">LEFT(Music_Data[[#This Row],[Duration_minutes]],3)/60</f>
        <v>3.5666666666666669</v>
      </c>
      <c r="I1473" s="39">
        <v>0.13500000000000001</v>
      </c>
      <c r="J1473" s="41" t="str">
        <f t="shared" si="22"/>
        <v>Casi nada popular</v>
      </c>
      <c r="K1473" s="43">
        <v>1977</v>
      </c>
    </row>
    <row r="1474" spans="1:11">
      <c r="A1474" s="34">
        <v>0.39500000000000002</v>
      </c>
      <c r="B1474" s="32">
        <v>136</v>
      </c>
      <c r="C1474" s="33">
        <v>0.79300000000000004</v>
      </c>
      <c r="D1474" s="34">
        <v>0.128</v>
      </c>
      <c r="E1474" s="32">
        <v>69</v>
      </c>
      <c r="F1474" s="32">
        <v>1</v>
      </c>
      <c r="G1474" s="32">
        <v>1</v>
      </c>
      <c r="H1474" s="35">
        <f ca="1">LEFT(Music_Data[[#This Row],[Duration_minutes]],3)/60</f>
        <v>4.6833333333333336</v>
      </c>
      <c r="I1474" s="34">
        <v>0.27700000000000002</v>
      </c>
      <c r="J1474" s="36" t="str">
        <f t="shared" si="22"/>
        <v>Casi nada popular</v>
      </c>
      <c r="K1474" s="42">
        <v>26438</v>
      </c>
    </row>
    <row r="1475" spans="1:11">
      <c r="A1475" s="39">
        <v>0.77400000000000002</v>
      </c>
      <c r="B1475" s="37">
        <v>114</v>
      </c>
      <c r="C1475" s="38">
        <v>0.86699999999999999</v>
      </c>
      <c r="D1475" s="39">
        <v>0.54900000000000004</v>
      </c>
      <c r="E1475" s="37">
        <v>69</v>
      </c>
      <c r="F1475" s="37">
        <v>0</v>
      </c>
      <c r="G1475" s="37">
        <v>11</v>
      </c>
      <c r="H1475" s="40">
        <f ca="1">LEFT(Music_Data[[#This Row],[Duration_minutes]],3)/60</f>
        <v>3.7666666666666666</v>
      </c>
      <c r="I1475" s="39">
        <v>0.11</v>
      </c>
      <c r="J1475" s="41" t="str">
        <f t="shared" si="22"/>
        <v>Casi nada popular</v>
      </c>
      <c r="K1475" s="43">
        <v>31880</v>
      </c>
    </row>
    <row r="1476" spans="1:11">
      <c r="A1476" s="34">
        <v>0.82199999999999995</v>
      </c>
      <c r="B1476" s="32">
        <v>946</v>
      </c>
      <c r="C1476" s="33">
        <v>0.51300000000000001</v>
      </c>
      <c r="D1476" s="34">
        <v>0.76800000000000002</v>
      </c>
      <c r="E1476" s="32">
        <v>69</v>
      </c>
      <c r="F1476" s="32">
        <v>1</v>
      </c>
      <c r="G1476" s="32">
        <v>1</v>
      </c>
      <c r="H1476" s="35">
        <f ca="1">LEFT(Music_Data[[#This Row],[Duration_minutes]],3)/60</f>
        <v>2.5499999999999998</v>
      </c>
      <c r="I1476" s="34">
        <v>0.14000000000000001</v>
      </c>
      <c r="J1476" s="36" t="str">
        <f t="shared" ref="J1476:J1539" si="23">IF(E1476&gt;=94,"Muy Popular",IF(E1476&gt;=86,"Popular",IF(E1476&gt;=78,"No muy popular","Casi nada popular")))</f>
        <v>Casi nada popular</v>
      </c>
      <c r="K1476" s="42">
        <v>35717</v>
      </c>
    </row>
    <row r="1477" spans="1:11">
      <c r="A1477" s="39">
        <v>0.53600000000000003</v>
      </c>
      <c r="B1477" s="37">
        <v>117</v>
      </c>
      <c r="C1477" s="38">
        <v>0.68899999999999995</v>
      </c>
      <c r="D1477" s="39">
        <v>0.34899999999999998</v>
      </c>
      <c r="E1477" s="37">
        <v>69</v>
      </c>
      <c r="F1477" s="37">
        <v>1</v>
      </c>
      <c r="G1477" s="37">
        <v>8</v>
      </c>
      <c r="H1477" s="40">
        <f ca="1">LEFT(Music_Data[[#This Row],[Duration_minutes]],3)/60</f>
        <v>4.1833333333333336</v>
      </c>
      <c r="I1477" s="39">
        <v>0.25</v>
      </c>
      <c r="J1477" s="41" t="str">
        <f t="shared" si="23"/>
        <v>Casi nada popular</v>
      </c>
      <c r="K1477" s="43">
        <v>45373</v>
      </c>
    </row>
    <row r="1478" spans="1:11">
      <c r="A1478" s="34">
        <v>0.69599999999999995</v>
      </c>
      <c r="B1478" s="32">
        <v>117</v>
      </c>
      <c r="C1478" s="33">
        <v>0.74399999999999999</v>
      </c>
      <c r="D1478" s="34">
        <v>0.40600000000000003</v>
      </c>
      <c r="E1478" s="32">
        <v>69</v>
      </c>
      <c r="F1478" s="32">
        <v>0</v>
      </c>
      <c r="G1478" s="32">
        <v>8</v>
      </c>
      <c r="H1478" s="35">
        <f ca="1">LEFT(Music_Data[[#This Row],[Duration_minutes]],3)/60</f>
        <v>4.1833333333333336</v>
      </c>
      <c r="I1478" s="34">
        <v>0.71</v>
      </c>
      <c r="J1478" s="36" t="str">
        <f t="shared" si="23"/>
        <v>Casi nada popular</v>
      </c>
      <c r="K1478" s="42">
        <v>45373</v>
      </c>
    </row>
    <row r="1479" spans="1:11">
      <c r="A1479" s="39">
        <v>0.59</v>
      </c>
      <c r="B1479" s="37">
        <v>935</v>
      </c>
      <c r="C1479" s="38">
        <v>0.86399999999999999</v>
      </c>
      <c r="D1479" s="39">
        <v>0.57899999999999996</v>
      </c>
      <c r="E1479" s="37">
        <v>69</v>
      </c>
      <c r="F1479" s="37">
        <v>1</v>
      </c>
      <c r="G1479" s="37">
        <v>1</v>
      </c>
      <c r="H1479" s="40">
        <f ca="1">LEFT(Music_Data[[#This Row],[Duration_minutes]],3)/60</f>
        <v>3.4333333333333331</v>
      </c>
      <c r="I1479" s="39">
        <v>1.9599999999999999E-2</v>
      </c>
      <c r="J1479" s="41" t="str">
        <f t="shared" si="23"/>
        <v>Casi nada popular</v>
      </c>
      <c r="K1479" s="43">
        <v>1977</v>
      </c>
    </row>
    <row r="1480" spans="1:11">
      <c r="A1480" s="34">
        <v>0.52100000000000002</v>
      </c>
      <c r="B1480" s="32">
        <v>919</v>
      </c>
      <c r="C1480" s="33">
        <v>0.53900000000000003</v>
      </c>
      <c r="D1480" s="34">
        <v>0.67900000000000005</v>
      </c>
      <c r="E1480" s="32">
        <v>69</v>
      </c>
      <c r="F1480" s="32">
        <v>1</v>
      </c>
      <c r="G1480" s="32">
        <v>9</v>
      </c>
      <c r="H1480" s="35">
        <f ca="1">LEFT(Music_Data[[#This Row],[Duration_minutes]],3)/60</f>
        <v>3.05</v>
      </c>
      <c r="I1480" s="34">
        <v>4.2500000000000003E-3</v>
      </c>
      <c r="J1480" s="36" t="str">
        <f t="shared" si="23"/>
        <v>Casi nada popular</v>
      </c>
      <c r="K1480" s="42">
        <v>45611</v>
      </c>
    </row>
    <row r="1481" spans="1:11">
      <c r="A1481" s="39">
        <v>0.54400000000000004</v>
      </c>
      <c r="B1481" s="37">
        <v>184</v>
      </c>
      <c r="C1481" s="38">
        <v>0.82299999999999995</v>
      </c>
      <c r="D1481" s="39">
        <v>0.82599999999999996</v>
      </c>
      <c r="E1481" s="37">
        <v>69</v>
      </c>
      <c r="F1481" s="37">
        <v>1</v>
      </c>
      <c r="G1481" s="37">
        <v>5</v>
      </c>
      <c r="H1481" s="40">
        <f ca="1">LEFT(Music_Data[[#This Row],[Duration_minutes]],3)/60</f>
        <v>3.1666666666666665</v>
      </c>
      <c r="I1481" s="39">
        <v>0.38900000000000001</v>
      </c>
      <c r="J1481" s="41" t="str">
        <f t="shared" si="23"/>
        <v>Casi nada popular</v>
      </c>
      <c r="K1481" s="43">
        <v>45611</v>
      </c>
    </row>
    <row r="1482" spans="1:11">
      <c r="A1482" s="34">
        <v>0.629</v>
      </c>
      <c r="B1482" s="32">
        <v>203</v>
      </c>
      <c r="C1482" s="33">
        <v>0.65700000000000003</v>
      </c>
      <c r="D1482" s="34">
        <v>0.72599999999999998</v>
      </c>
      <c r="E1482" s="32">
        <v>69</v>
      </c>
      <c r="F1482" s="32">
        <v>1</v>
      </c>
      <c r="G1482" s="32">
        <v>6</v>
      </c>
      <c r="H1482" s="35">
        <f ca="1">LEFT(Music_Data[[#This Row],[Duration_minutes]],3)/60</f>
        <v>4.6833333333333336</v>
      </c>
      <c r="I1482" s="34">
        <v>0.19400000000000001</v>
      </c>
      <c r="J1482" s="36" t="str">
        <f t="shared" si="23"/>
        <v>Casi nada popular</v>
      </c>
      <c r="K1482" s="42">
        <v>34233</v>
      </c>
    </row>
    <row r="1483" spans="1:11">
      <c r="A1483" s="39">
        <v>0.5</v>
      </c>
      <c r="B1483" s="37">
        <v>113</v>
      </c>
      <c r="C1483" s="38">
        <v>0.81599999999999995</v>
      </c>
      <c r="D1483" s="39">
        <v>0.64900000000000002</v>
      </c>
      <c r="E1483" s="37">
        <v>69</v>
      </c>
      <c r="F1483" s="37">
        <v>1</v>
      </c>
      <c r="G1483" s="37">
        <v>1</v>
      </c>
      <c r="H1483" s="40">
        <f ca="1">LEFT(Music_Data[[#This Row],[Duration_minutes]],3)/60</f>
        <v>4.1333333333333337</v>
      </c>
      <c r="I1483" s="39">
        <v>2.2700000000000001E-2</v>
      </c>
      <c r="J1483" s="41" t="str">
        <f t="shared" si="23"/>
        <v>Casi nada popular</v>
      </c>
      <c r="K1483" s="43">
        <v>30074</v>
      </c>
    </row>
    <row r="1484" spans="1:11">
      <c r="A1484" s="34">
        <v>0.52900000000000003</v>
      </c>
      <c r="B1484" s="32">
        <v>171</v>
      </c>
      <c r="C1484" s="33">
        <v>0.78200000000000003</v>
      </c>
      <c r="D1484" s="34">
        <v>0.44</v>
      </c>
      <c r="E1484" s="32">
        <v>69</v>
      </c>
      <c r="F1484" s="32">
        <v>1</v>
      </c>
      <c r="G1484" s="32">
        <v>0</v>
      </c>
      <c r="H1484" s="35">
        <f ca="1">LEFT(Music_Data[[#This Row],[Duration_minutes]],3)/60</f>
        <v>5.95</v>
      </c>
      <c r="I1484" s="34">
        <v>0.50900000000000001</v>
      </c>
      <c r="J1484" s="36" t="str">
        <f t="shared" si="23"/>
        <v>Casi nada popular</v>
      </c>
      <c r="K1484" s="42">
        <v>35702</v>
      </c>
    </row>
    <row r="1485" spans="1:11">
      <c r="A1485" s="39">
        <v>0.81100000000000005</v>
      </c>
      <c r="B1485" s="37">
        <v>129</v>
      </c>
      <c r="C1485" s="38">
        <v>0.69299999999999995</v>
      </c>
      <c r="D1485" s="39">
        <v>0.94399999999999995</v>
      </c>
      <c r="E1485" s="37">
        <v>69</v>
      </c>
      <c r="F1485" s="37">
        <v>1</v>
      </c>
      <c r="G1485" s="37">
        <v>5</v>
      </c>
      <c r="H1485" s="40">
        <f ca="1">LEFT(Music_Data[[#This Row],[Duration_minutes]],3)/60</f>
        <v>2.0166666666666666</v>
      </c>
      <c r="I1485" s="39">
        <v>0.39500000000000002</v>
      </c>
      <c r="J1485" s="41" t="str">
        <f t="shared" si="23"/>
        <v>Casi nada popular</v>
      </c>
      <c r="K1485" s="43">
        <v>35471</v>
      </c>
    </row>
    <row r="1486" spans="1:11">
      <c r="A1486" s="34">
        <v>0.76300000000000001</v>
      </c>
      <c r="B1486" s="32">
        <v>120</v>
      </c>
      <c r="C1486" s="33">
        <v>0.36499999999999999</v>
      </c>
      <c r="D1486" s="34">
        <v>0.34200000000000003</v>
      </c>
      <c r="E1486" s="32">
        <v>69</v>
      </c>
      <c r="F1486" s="32">
        <v>0</v>
      </c>
      <c r="G1486" s="32">
        <v>11</v>
      </c>
      <c r="H1486" s="35">
        <f ca="1">LEFT(Music_Data[[#This Row],[Duration_minutes]],3)/60</f>
        <v>2.6166666666666667</v>
      </c>
      <c r="I1486" s="34">
        <v>7.26E-3</v>
      </c>
      <c r="J1486" s="36" t="str">
        <f t="shared" si="23"/>
        <v>Casi nada popular</v>
      </c>
      <c r="K1486" s="42">
        <v>45379</v>
      </c>
    </row>
    <row r="1487" spans="1:11">
      <c r="A1487" s="39">
        <v>0.73499999999999999</v>
      </c>
      <c r="B1487" s="37">
        <v>172</v>
      </c>
      <c r="C1487" s="38">
        <v>0.93400000000000005</v>
      </c>
      <c r="D1487" s="39">
        <v>0.76800000000000002</v>
      </c>
      <c r="E1487" s="37">
        <v>69</v>
      </c>
      <c r="F1487" s="37">
        <v>1</v>
      </c>
      <c r="G1487" s="37">
        <v>1</v>
      </c>
      <c r="H1487" s="40">
        <f ca="1">LEFT(Music_Data[[#This Row],[Duration_minutes]],3)/60</f>
        <v>3.2333333333333334</v>
      </c>
      <c r="I1487" s="39">
        <v>3.1E-2</v>
      </c>
      <c r="J1487" s="41" t="str">
        <f t="shared" si="23"/>
        <v>Casi nada popular</v>
      </c>
      <c r="K1487" s="43">
        <v>1985</v>
      </c>
    </row>
    <row r="1488" spans="1:11">
      <c r="A1488" s="34">
        <v>0.76300000000000001</v>
      </c>
      <c r="B1488" s="32">
        <v>103</v>
      </c>
      <c r="C1488" s="33">
        <v>0.36499999999999999</v>
      </c>
      <c r="D1488" s="34">
        <v>0.34200000000000003</v>
      </c>
      <c r="E1488" s="32">
        <v>69</v>
      </c>
      <c r="F1488" s="32">
        <v>0</v>
      </c>
      <c r="G1488" s="32">
        <v>11</v>
      </c>
      <c r="H1488" s="35">
        <f ca="1">LEFT(Music_Data[[#This Row],[Duration_minutes]],3)/60</f>
        <v>2.1666666666666665</v>
      </c>
      <c r="I1488" s="34">
        <v>7.26E-3</v>
      </c>
      <c r="J1488" s="36" t="str">
        <f t="shared" si="23"/>
        <v>Casi nada popular</v>
      </c>
      <c r="K1488" s="42">
        <v>45119</v>
      </c>
    </row>
    <row r="1489" spans="1:11">
      <c r="A1489" s="39">
        <v>0.80400000000000005</v>
      </c>
      <c r="B1489" s="37">
        <v>977</v>
      </c>
      <c r="C1489" s="38">
        <v>0.59099999999999997</v>
      </c>
      <c r="D1489" s="39">
        <v>0.65800000000000003</v>
      </c>
      <c r="E1489" s="37">
        <v>69</v>
      </c>
      <c r="F1489" s="37">
        <v>1</v>
      </c>
      <c r="G1489" s="37">
        <v>0</v>
      </c>
      <c r="H1489" s="40">
        <f ca="1">LEFT(Music_Data[[#This Row],[Duration_minutes]],3)/60</f>
        <v>4.7166666666666668</v>
      </c>
      <c r="I1489" s="39">
        <v>0.32700000000000001</v>
      </c>
      <c r="J1489" s="41" t="str">
        <f t="shared" si="23"/>
        <v>Casi nada popular</v>
      </c>
      <c r="K1489" s="43">
        <v>27134</v>
      </c>
    </row>
    <row r="1490" spans="1:11">
      <c r="A1490" s="34">
        <v>0.42699999999999999</v>
      </c>
      <c r="B1490" s="32">
        <v>120</v>
      </c>
      <c r="C1490" s="33">
        <v>0.753</v>
      </c>
      <c r="D1490" s="34">
        <v>0.29499999999999998</v>
      </c>
      <c r="E1490" s="32">
        <v>69</v>
      </c>
      <c r="F1490" s="32">
        <v>1</v>
      </c>
      <c r="G1490" s="32">
        <v>0</v>
      </c>
      <c r="H1490" s="35">
        <f ca="1">LEFT(Music_Data[[#This Row],[Duration_minutes]],3)/60</f>
        <v>3.5333333333333332</v>
      </c>
      <c r="I1490" s="34">
        <v>7.8700000000000003E-3</v>
      </c>
      <c r="J1490" s="36" t="str">
        <f t="shared" si="23"/>
        <v>Casi nada popular</v>
      </c>
      <c r="K1490" s="42">
        <v>38887</v>
      </c>
    </row>
    <row r="1491" spans="1:11">
      <c r="A1491" s="39">
        <v>0.50600000000000001</v>
      </c>
      <c r="B1491" s="37">
        <v>887</v>
      </c>
      <c r="C1491" s="38">
        <v>0.79900000000000004</v>
      </c>
      <c r="D1491" s="39">
        <v>0.51800000000000002</v>
      </c>
      <c r="E1491" s="37">
        <v>69</v>
      </c>
      <c r="F1491" s="37">
        <v>1</v>
      </c>
      <c r="G1491" s="37">
        <v>2</v>
      </c>
      <c r="H1491" s="40">
        <f ca="1">LEFT(Music_Data[[#This Row],[Duration_minutes]],3)/60</f>
        <v>5.2166666666666668</v>
      </c>
      <c r="I1491" s="39">
        <v>4.53E-2</v>
      </c>
      <c r="J1491" s="41" t="str">
        <f t="shared" si="23"/>
        <v>Casi nada popular</v>
      </c>
      <c r="K1491" s="43">
        <v>1992</v>
      </c>
    </row>
    <row r="1492" spans="1:11">
      <c r="A1492" s="34">
        <v>0.73699999999999999</v>
      </c>
      <c r="B1492" s="32">
        <v>107</v>
      </c>
      <c r="C1492" s="33">
        <v>0.78500000000000003</v>
      </c>
      <c r="D1492" s="34">
        <v>0.97099999999999997</v>
      </c>
      <c r="E1492" s="32">
        <v>69</v>
      </c>
      <c r="F1492" s="32">
        <v>1</v>
      </c>
      <c r="G1492" s="32">
        <v>9</v>
      </c>
      <c r="H1492" s="35">
        <f ca="1">LEFT(Music_Data[[#This Row],[Duration_minutes]],3)/60</f>
        <v>4.8833333333333337</v>
      </c>
      <c r="I1492" s="34">
        <v>4.2000000000000003E-2</v>
      </c>
      <c r="J1492" s="36" t="str">
        <f t="shared" si="23"/>
        <v>Casi nada popular</v>
      </c>
      <c r="K1492" s="42">
        <v>37577</v>
      </c>
    </row>
    <row r="1493" spans="1:11">
      <c r="A1493" s="39">
        <v>0.84599999999999997</v>
      </c>
      <c r="B1493" s="37">
        <v>170</v>
      </c>
      <c r="C1493" s="38">
        <v>0.65900000000000003</v>
      </c>
      <c r="D1493" s="39">
        <v>0.65900000000000003</v>
      </c>
      <c r="E1493" s="37">
        <v>69</v>
      </c>
      <c r="F1493" s="37">
        <v>1</v>
      </c>
      <c r="G1493" s="37">
        <v>7</v>
      </c>
      <c r="H1493" s="40">
        <f ca="1">LEFT(Music_Data[[#This Row],[Duration_minutes]],3)/60</f>
        <v>3.4166666666666665</v>
      </c>
      <c r="I1493" s="39">
        <v>3.1800000000000002E-2</v>
      </c>
      <c r="J1493" s="41" t="str">
        <f t="shared" si="23"/>
        <v>Casi nada popular</v>
      </c>
      <c r="K1493" s="43">
        <v>40218</v>
      </c>
    </row>
    <row r="1494" spans="1:11">
      <c r="A1494" s="34">
        <v>0.83299999999999996</v>
      </c>
      <c r="B1494" s="32">
        <v>151</v>
      </c>
      <c r="C1494" s="33">
        <v>0.55300000000000005</v>
      </c>
      <c r="D1494" s="34">
        <v>0.77300000000000002</v>
      </c>
      <c r="E1494" s="32">
        <v>69</v>
      </c>
      <c r="F1494" s="32">
        <v>0</v>
      </c>
      <c r="G1494" s="32">
        <v>2</v>
      </c>
      <c r="H1494" s="35">
        <f ca="1">LEFT(Music_Data[[#This Row],[Duration_minutes]],3)/60</f>
        <v>2.95</v>
      </c>
      <c r="I1494" s="34">
        <v>6.4599999999999998E-4</v>
      </c>
      <c r="J1494" s="36" t="str">
        <f t="shared" si="23"/>
        <v>Casi nada popular</v>
      </c>
      <c r="K1494" s="42">
        <v>43389</v>
      </c>
    </row>
    <row r="1495" spans="1:11">
      <c r="A1495" s="39">
        <v>0.77400000000000002</v>
      </c>
      <c r="B1495" s="37">
        <v>943</v>
      </c>
      <c r="C1495" s="38">
        <v>0.80100000000000005</v>
      </c>
      <c r="D1495" s="39">
        <v>0.38300000000000001</v>
      </c>
      <c r="E1495" s="37">
        <v>69</v>
      </c>
      <c r="F1495" s="37">
        <v>1</v>
      </c>
      <c r="G1495" s="37">
        <v>1</v>
      </c>
      <c r="H1495" s="40">
        <f ca="1">LEFT(Music_Data[[#This Row],[Duration_minutes]],3)/60</f>
        <v>2.9166666666666665</v>
      </c>
      <c r="I1495" s="39">
        <v>8.7100000000000007E-3</v>
      </c>
      <c r="J1495" s="41" t="str">
        <f t="shared" si="23"/>
        <v>Casi nada popular</v>
      </c>
      <c r="K1495" s="43">
        <v>29908</v>
      </c>
    </row>
    <row r="1496" spans="1:11">
      <c r="A1496" s="34">
        <v>0.39500000000000002</v>
      </c>
      <c r="B1496" s="32">
        <v>943</v>
      </c>
      <c r="C1496" s="33">
        <v>0.79300000000000004</v>
      </c>
      <c r="D1496" s="34">
        <v>0.128</v>
      </c>
      <c r="E1496" s="32">
        <v>69</v>
      </c>
      <c r="F1496" s="32">
        <v>1</v>
      </c>
      <c r="G1496" s="32">
        <v>1</v>
      </c>
      <c r="H1496" s="35">
        <f ca="1">LEFT(Music_Data[[#This Row],[Duration_minutes]],3)/60</f>
        <v>2.9166666666666665</v>
      </c>
      <c r="I1496" s="34">
        <v>0.27700000000000002</v>
      </c>
      <c r="J1496" s="36" t="str">
        <f t="shared" si="23"/>
        <v>Casi nada popular</v>
      </c>
      <c r="K1496" s="42">
        <v>29908</v>
      </c>
    </row>
    <row r="1497" spans="1:11">
      <c r="A1497" s="39">
        <v>0.66200000000000003</v>
      </c>
      <c r="B1497" s="37">
        <v>129</v>
      </c>
      <c r="C1497" s="38">
        <v>0.76700000000000002</v>
      </c>
      <c r="D1497" s="39">
        <v>0.25900000000000001</v>
      </c>
      <c r="E1497" s="37">
        <v>69</v>
      </c>
      <c r="F1497" s="37">
        <v>0</v>
      </c>
      <c r="G1497" s="37">
        <v>5</v>
      </c>
      <c r="H1497" s="40">
        <f ca="1">LEFT(Music_Data[[#This Row],[Duration_minutes]],3)/60</f>
        <v>4.166666666666667</v>
      </c>
      <c r="I1497" s="39">
        <v>0.10299999999999999</v>
      </c>
      <c r="J1497" s="41" t="str">
        <f t="shared" si="23"/>
        <v>Casi nada popular</v>
      </c>
      <c r="K1497" s="43">
        <v>37257</v>
      </c>
    </row>
    <row r="1498" spans="1:11">
      <c r="A1498" s="34">
        <v>0.57199999999999995</v>
      </c>
      <c r="B1498" s="32">
        <v>123</v>
      </c>
      <c r="C1498" s="33">
        <v>0.82299999999999995</v>
      </c>
      <c r="D1498" s="34">
        <v>0.56799999999999995</v>
      </c>
      <c r="E1498" s="32">
        <v>69</v>
      </c>
      <c r="F1498" s="32">
        <v>0</v>
      </c>
      <c r="G1498" s="32">
        <v>6</v>
      </c>
      <c r="H1498" s="35">
        <f ca="1">LEFT(Music_Data[[#This Row],[Duration_minutes]],3)/60</f>
        <v>3.7</v>
      </c>
      <c r="I1498" s="34">
        <v>7.9000000000000008E-3</v>
      </c>
      <c r="J1498" s="36" t="str">
        <f t="shared" si="23"/>
        <v>Casi nada popular</v>
      </c>
      <c r="K1498" s="42">
        <v>34335</v>
      </c>
    </row>
    <row r="1499" spans="1:11">
      <c r="A1499" s="39">
        <v>0.34799999999999998</v>
      </c>
      <c r="B1499" s="37">
        <v>105</v>
      </c>
      <c r="C1499" s="38">
        <v>0.34899999999999998</v>
      </c>
      <c r="D1499" s="39">
        <v>8.8599999999999998E-2</v>
      </c>
      <c r="E1499" s="37">
        <v>69</v>
      </c>
      <c r="F1499" s="37">
        <v>1</v>
      </c>
      <c r="G1499" s="37">
        <v>3</v>
      </c>
      <c r="H1499" s="40">
        <f ca="1">LEFT(Music_Data[[#This Row],[Duration_minutes]],3)/60</f>
        <v>4.8666666666666663</v>
      </c>
      <c r="I1499" s="39">
        <v>0.72599999999999998</v>
      </c>
      <c r="J1499" s="41" t="str">
        <f t="shared" si="23"/>
        <v>Casi nada popular</v>
      </c>
      <c r="K1499" s="43">
        <v>33477</v>
      </c>
    </row>
    <row r="1500" spans="1:11">
      <c r="A1500" s="34">
        <v>0.78700000000000003</v>
      </c>
      <c r="B1500" s="32">
        <v>105</v>
      </c>
      <c r="C1500" s="33">
        <v>0.39900000000000002</v>
      </c>
      <c r="D1500" s="34">
        <v>0.57199999999999995</v>
      </c>
      <c r="E1500" s="32">
        <v>69</v>
      </c>
      <c r="F1500" s="32">
        <v>1</v>
      </c>
      <c r="G1500" s="32">
        <v>1</v>
      </c>
      <c r="H1500" s="35">
        <f ca="1">LEFT(Music_Data[[#This Row],[Duration_minutes]],3)/60</f>
        <v>4.8666666666666663</v>
      </c>
      <c r="I1500" s="34">
        <v>1.9699999999999999E-2</v>
      </c>
      <c r="J1500" s="36" t="str">
        <f t="shared" si="23"/>
        <v>Casi nada popular</v>
      </c>
      <c r="K1500" s="42">
        <v>33477</v>
      </c>
    </row>
    <row r="1501" spans="1:11">
      <c r="A1501" s="39">
        <v>0.46500000000000002</v>
      </c>
      <c r="B1501" s="37">
        <v>104</v>
      </c>
      <c r="C1501" s="38">
        <v>0.6</v>
      </c>
      <c r="D1501" s="39">
        <v>6.8199999999999997E-2</v>
      </c>
      <c r="E1501" s="37">
        <v>69</v>
      </c>
      <c r="F1501" s="37">
        <v>1</v>
      </c>
      <c r="G1501" s="37">
        <v>4</v>
      </c>
      <c r="H1501" s="40">
        <f ca="1">LEFT(Music_Data[[#This Row],[Duration_minutes]],3)/60</f>
        <v>5.5666666666666664</v>
      </c>
      <c r="I1501" s="39">
        <v>0.64300000000000002</v>
      </c>
      <c r="J1501" s="41" t="str">
        <f t="shared" si="23"/>
        <v>Casi nada popular</v>
      </c>
      <c r="K1501" s="43">
        <v>38846</v>
      </c>
    </row>
    <row r="1502" spans="1:11">
      <c r="A1502" s="34">
        <v>0.58399999999999996</v>
      </c>
      <c r="B1502" s="32">
        <v>961</v>
      </c>
      <c r="C1502" s="33">
        <v>0.50900000000000001</v>
      </c>
      <c r="D1502" s="34">
        <v>0.68500000000000005</v>
      </c>
      <c r="E1502" s="32">
        <v>69</v>
      </c>
      <c r="F1502" s="32">
        <v>1</v>
      </c>
      <c r="G1502" s="32">
        <v>0</v>
      </c>
      <c r="H1502" s="35">
        <f ca="1">LEFT(Music_Data[[#This Row],[Duration_minutes]],3)/60</f>
        <v>4.7</v>
      </c>
      <c r="I1502" s="34">
        <v>3.6799999999999999E-2</v>
      </c>
      <c r="J1502" s="36" t="str">
        <f t="shared" si="23"/>
        <v>Casi nada popular</v>
      </c>
      <c r="K1502" s="42">
        <v>38846</v>
      </c>
    </row>
    <row r="1503" spans="1:11">
      <c r="A1503" s="39">
        <v>0.86199999999999999</v>
      </c>
      <c r="B1503" s="37">
        <v>134</v>
      </c>
      <c r="C1503" s="38">
        <v>0.51100000000000001</v>
      </c>
      <c r="D1503" s="39">
        <v>0.36099999999999999</v>
      </c>
      <c r="E1503" s="37">
        <v>69</v>
      </c>
      <c r="F1503" s="37">
        <v>1</v>
      </c>
      <c r="G1503" s="37">
        <v>10</v>
      </c>
      <c r="H1503" s="40">
        <f ca="1">LEFT(Music_Data[[#This Row],[Duration_minutes]],3)/60</f>
        <v>3.1833333333333331</v>
      </c>
      <c r="I1503" s="39">
        <v>6.5600000000000006E-2</v>
      </c>
      <c r="J1503" s="41" t="str">
        <f t="shared" si="23"/>
        <v>Casi nada popular</v>
      </c>
      <c r="K1503" s="43">
        <v>28796</v>
      </c>
    </row>
    <row r="1504" spans="1:11">
      <c r="A1504" s="34">
        <v>0.81200000000000006</v>
      </c>
      <c r="B1504" s="32">
        <v>126</v>
      </c>
      <c r="C1504" s="33">
        <v>0.41699999999999998</v>
      </c>
      <c r="D1504" s="34">
        <v>0.41899999999999998</v>
      </c>
      <c r="E1504" s="32">
        <v>69</v>
      </c>
      <c r="F1504" s="32">
        <v>1</v>
      </c>
      <c r="G1504" s="32">
        <v>10</v>
      </c>
      <c r="H1504" s="35">
        <f ca="1">LEFT(Music_Data[[#This Row],[Duration_minutes]],3)/60</f>
        <v>4.4333333333333336</v>
      </c>
      <c r="I1504" s="34">
        <v>1.54E-2</v>
      </c>
      <c r="J1504" s="36" t="str">
        <f t="shared" si="23"/>
        <v>Casi nada popular</v>
      </c>
      <c r="K1504" s="42">
        <v>1995</v>
      </c>
    </row>
    <row r="1505" spans="1:11">
      <c r="A1505" s="39">
        <v>0.86599999999999999</v>
      </c>
      <c r="B1505" s="37">
        <v>103</v>
      </c>
      <c r="C1505" s="38">
        <v>0.308</v>
      </c>
      <c r="D1505" s="39">
        <v>0.22700000000000001</v>
      </c>
      <c r="E1505" s="37">
        <v>69</v>
      </c>
      <c r="F1505" s="37">
        <v>0</v>
      </c>
      <c r="G1505" s="37">
        <v>2</v>
      </c>
      <c r="H1505" s="40">
        <f ca="1">LEFT(Music_Data[[#This Row],[Duration_minutes]],3)/60</f>
        <v>2.7</v>
      </c>
      <c r="I1505" s="39">
        <v>7.3899999999999997E-4</v>
      </c>
      <c r="J1505" s="41" t="str">
        <f t="shared" si="23"/>
        <v>Casi nada popular</v>
      </c>
      <c r="K1505" s="43">
        <v>30732</v>
      </c>
    </row>
    <row r="1506" spans="1:11">
      <c r="A1506" s="34">
        <v>0.76300000000000001</v>
      </c>
      <c r="B1506" s="32">
        <v>164</v>
      </c>
      <c r="C1506" s="33">
        <v>0.36499999999999999</v>
      </c>
      <c r="D1506" s="34">
        <v>0.34200000000000003</v>
      </c>
      <c r="E1506" s="32">
        <v>69</v>
      </c>
      <c r="F1506" s="32">
        <v>0</v>
      </c>
      <c r="G1506" s="32">
        <v>11</v>
      </c>
      <c r="H1506" s="35">
        <f ca="1">LEFT(Music_Data[[#This Row],[Duration_minutes]],3)/60</f>
        <v>5.15</v>
      </c>
      <c r="I1506" s="34">
        <v>7.26E-3</v>
      </c>
      <c r="J1506" s="36" t="str">
        <f t="shared" si="23"/>
        <v>Casi nada popular</v>
      </c>
      <c r="K1506" s="42">
        <v>43931</v>
      </c>
    </row>
    <row r="1507" spans="1:11">
      <c r="A1507" s="39">
        <v>0.69099999999999995</v>
      </c>
      <c r="B1507" s="37">
        <v>112</v>
      </c>
      <c r="C1507" s="38">
        <v>0.71799999999999997</v>
      </c>
      <c r="D1507" s="39">
        <v>0.55200000000000005</v>
      </c>
      <c r="E1507" s="37">
        <v>69</v>
      </c>
      <c r="F1507" s="37">
        <v>1</v>
      </c>
      <c r="G1507" s="37">
        <v>4</v>
      </c>
      <c r="H1507" s="40">
        <f ca="1">LEFT(Music_Data[[#This Row],[Duration_minutes]],3)/60</f>
        <v>3.05</v>
      </c>
      <c r="I1507" s="39">
        <v>1.5900000000000001E-2</v>
      </c>
      <c r="J1507" s="41" t="str">
        <f t="shared" si="23"/>
        <v>Casi nada popular</v>
      </c>
      <c r="K1507" s="43">
        <v>39194</v>
      </c>
    </row>
    <row r="1508" spans="1:11">
      <c r="A1508" s="34">
        <v>0.88700000000000001</v>
      </c>
      <c r="B1508" s="32">
        <v>988</v>
      </c>
      <c r="C1508" s="33">
        <v>0.60599999999999998</v>
      </c>
      <c r="D1508" s="34">
        <v>0.90300000000000002</v>
      </c>
      <c r="E1508" s="32">
        <v>69</v>
      </c>
      <c r="F1508" s="32">
        <v>1</v>
      </c>
      <c r="G1508" s="32">
        <v>4</v>
      </c>
      <c r="H1508" s="35">
        <f ca="1">LEFT(Music_Data[[#This Row],[Duration_minutes]],3)/60</f>
        <v>2.5499999999999998</v>
      </c>
      <c r="I1508" s="34">
        <v>2.42E-4</v>
      </c>
      <c r="J1508" s="36" t="str">
        <f t="shared" si="23"/>
        <v>Casi nada popular</v>
      </c>
      <c r="K1508" s="42">
        <v>24446</v>
      </c>
    </row>
    <row r="1509" spans="1:11">
      <c r="A1509" s="39">
        <v>0.88300000000000001</v>
      </c>
      <c r="B1509" s="37">
        <v>156</v>
      </c>
      <c r="C1509" s="38">
        <v>0.45</v>
      </c>
      <c r="D1509" s="39">
        <v>0.32800000000000001</v>
      </c>
      <c r="E1509" s="37">
        <v>69</v>
      </c>
      <c r="F1509" s="37">
        <v>1</v>
      </c>
      <c r="G1509" s="37">
        <v>7</v>
      </c>
      <c r="H1509" s="40">
        <f ca="1">LEFT(Music_Data[[#This Row],[Duration_minutes]],3)/60</f>
        <v>2.9166666666666665</v>
      </c>
      <c r="I1509" s="39">
        <v>1.9300000000000001E-3</v>
      </c>
      <c r="J1509" s="41" t="str">
        <f t="shared" si="23"/>
        <v>Casi nada popular</v>
      </c>
      <c r="K1509" s="43">
        <v>39896</v>
      </c>
    </row>
    <row r="1510" spans="1:11">
      <c r="A1510" s="34">
        <v>0.95899999999999996</v>
      </c>
      <c r="B1510" s="32">
        <v>100</v>
      </c>
      <c r="C1510" s="33">
        <v>0.40899999999999997</v>
      </c>
      <c r="D1510" s="34">
        <v>0.83</v>
      </c>
      <c r="E1510" s="32">
        <v>69</v>
      </c>
      <c r="F1510" s="32">
        <v>1</v>
      </c>
      <c r="G1510" s="32">
        <v>9</v>
      </c>
      <c r="H1510" s="35">
        <f ca="1">LEFT(Music_Data[[#This Row],[Duration_minutes]],3)/60</f>
        <v>4.2333333333333334</v>
      </c>
      <c r="I1510" s="34">
        <v>3.2400000000000001E-4</v>
      </c>
      <c r="J1510" s="36" t="str">
        <f t="shared" si="23"/>
        <v>Casi nada popular</v>
      </c>
      <c r="K1510" s="42">
        <v>26456</v>
      </c>
    </row>
    <row r="1511" spans="1:11">
      <c r="A1511" s="39">
        <v>0.82699999999999996</v>
      </c>
      <c r="B1511" s="37">
        <v>177</v>
      </c>
      <c r="C1511" s="38">
        <v>0.28999999999999998</v>
      </c>
      <c r="D1511" s="39">
        <v>0.45</v>
      </c>
      <c r="E1511" s="37">
        <v>69</v>
      </c>
      <c r="F1511" s="37">
        <v>1</v>
      </c>
      <c r="G1511" s="37">
        <v>8</v>
      </c>
      <c r="H1511" s="40">
        <f ca="1">LEFT(Music_Data[[#This Row],[Duration_minutes]],3)/60</f>
        <v>5.05</v>
      </c>
      <c r="I1511" s="39">
        <v>6.5899999999999997E-4</v>
      </c>
      <c r="J1511" s="41" t="str">
        <f t="shared" si="23"/>
        <v>Casi nada popular</v>
      </c>
      <c r="K1511" s="43">
        <v>1977</v>
      </c>
    </row>
    <row r="1512" spans="1:11">
      <c r="A1512" s="34">
        <v>0.317</v>
      </c>
      <c r="B1512" s="32">
        <v>137</v>
      </c>
      <c r="C1512" s="33">
        <v>0.50900000000000001</v>
      </c>
      <c r="D1512" s="34">
        <v>0.247</v>
      </c>
      <c r="E1512" s="32">
        <v>69</v>
      </c>
      <c r="F1512" s="32">
        <v>1</v>
      </c>
      <c r="G1512" s="32">
        <v>5</v>
      </c>
      <c r="H1512" s="35">
        <f ca="1">LEFT(Music_Data[[#This Row],[Duration_minutes]],3)/60</f>
        <v>3.8333333333333335</v>
      </c>
      <c r="I1512" s="34">
        <v>0.621</v>
      </c>
      <c r="J1512" s="36" t="str">
        <f t="shared" si="23"/>
        <v>Casi nada popular</v>
      </c>
      <c r="K1512" s="42">
        <v>39714</v>
      </c>
    </row>
    <row r="1513" spans="1:11">
      <c r="A1513" s="39">
        <v>0.74</v>
      </c>
      <c r="B1513" s="37">
        <v>110</v>
      </c>
      <c r="C1513" s="38">
        <v>0.59299999999999997</v>
      </c>
      <c r="D1513" s="39">
        <v>0.501</v>
      </c>
      <c r="E1513" s="37">
        <v>69</v>
      </c>
      <c r="F1513" s="37">
        <v>1</v>
      </c>
      <c r="G1513" s="37">
        <v>8</v>
      </c>
      <c r="H1513" s="40">
        <f ca="1">LEFT(Music_Data[[#This Row],[Duration_minutes]],3)/60</f>
        <v>3.8333333333333335</v>
      </c>
      <c r="I1513" s="39">
        <v>0.36399999999999999</v>
      </c>
      <c r="J1513" s="41" t="str">
        <f t="shared" si="23"/>
        <v>Casi nada popular</v>
      </c>
      <c r="K1513" s="43">
        <v>41079</v>
      </c>
    </row>
    <row r="1514" spans="1:11">
      <c r="A1514" s="34">
        <v>0.64</v>
      </c>
      <c r="B1514" s="32">
        <v>120</v>
      </c>
      <c r="C1514" s="33">
        <v>0.69099999999999995</v>
      </c>
      <c r="D1514" s="34">
        <v>0.45200000000000001</v>
      </c>
      <c r="E1514" s="32">
        <v>69</v>
      </c>
      <c r="F1514" s="32">
        <v>1</v>
      </c>
      <c r="G1514" s="32">
        <v>8</v>
      </c>
      <c r="H1514" s="35">
        <f ca="1">LEFT(Music_Data[[#This Row],[Duration_minutes]],3)/60</f>
        <v>3.6333333333333333</v>
      </c>
      <c r="I1514" s="34">
        <v>2.47E-2</v>
      </c>
      <c r="J1514" s="36" t="str">
        <f t="shared" si="23"/>
        <v>Casi nada popular</v>
      </c>
      <c r="K1514" s="42">
        <v>33507</v>
      </c>
    </row>
    <row r="1515" spans="1:11">
      <c r="A1515" s="39">
        <v>0.629</v>
      </c>
      <c r="B1515" s="37">
        <v>116</v>
      </c>
      <c r="C1515" s="38">
        <v>0.65700000000000003</v>
      </c>
      <c r="D1515" s="39">
        <v>0.72599999999999998</v>
      </c>
      <c r="E1515" s="37">
        <v>69</v>
      </c>
      <c r="F1515" s="37">
        <v>1</v>
      </c>
      <c r="G1515" s="37">
        <v>6</v>
      </c>
      <c r="H1515" s="40">
        <f ca="1">LEFT(Music_Data[[#This Row],[Duration_minutes]],3)/60</f>
        <v>5.0166666666666666</v>
      </c>
      <c r="I1515" s="39">
        <v>0.19400000000000001</v>
      </c>
      <c r="J1515" s="41" t="str">
        <f t="shared" si="23"/>
        <v>Casi nada popular</v>
      </c>
      <c r="K1515" s="43">
        <v>33507</v>
      </c>
    </row>
    <row r="1516" spans="1:11">
      <c r="A1516" s="34">
        <v>0.73</v>
      </c>
      <c r="B1516" s="32">
        <v>189</v>
      </c>
      <c r="C1516" s="33">
        <v>0.63700000000000001</v>
      </c>
      <c r="D1516" s="34">
        <v>0.73099999999999998</v>
      </c>
      <c r="E1516" s="32">
        <v>69</v>
      </c>
      <c r="F1516" s="32">
        <v>0</v>
      </c>
      <c r="G1516" s="32">
        <v>5</v>
      </c>
      <c r="H1516" s="35">
        <f ca="1">LEFT(Music_Data[[#This Row],[Duration_minutes]],3)/60</f>
        <v>5.6</v>
      </c>
      <c r="I1516" s="34">
        <v>0.32200000000000001</v>
      </c>
      <c r="J1516" s="36" t="str">
        <f t="shared" si="23"/>
        <v>Casi nada popular</v>
      </c>
      <c r="K1516" s="42">
        <v>29587</v>
      </c>
    </row>
    <row r="1517" spans="1:11">
      <c r="A1517" s="39">
        <v>0.47899999999999998</v>
      </c>
      <c r="B1517" s="37">
        <v>813</v>
      </c>
      <c r="C1517" s="38">
        <v>0.65600000000000003</v>
      </c>
      <c r="D1517" s="39">
        <v>0.70799999999999996</v>
      </c>
      <c r="E1517" s="37">
        <v>69</v>
      </c>
      <c r="F1517" s="37">
        <v>0</v>
      </c>
      <c r="G1517" s="37">
        <v>7</v>
      </c>
      <c r="H1517" s="40">
        <f ca="1">LEFT(Music_Data[[#This Row],[Duration_minutes]],3)/60</f>
        <v>3.9</v>
      </c>
      <c r="I1517" s="39">
        <v>6.6500000000000004E-2</v>
      </c>
      <c r="J1517" s="41" t="str">
        <f t="shared" si="23"/>
        <v>Casi nada popular</v>
      </c>
      <c r="K1517" s="43">
        <v>32223</v>
      </c>
    </row>
    <row r="1518" spans="1:11">
      <c r="A1518" s="34">
        <v>0.59599999999999997</v>
      </c>
      <c r="B1518" s="32">
        <v>168</v>
      </c>
      <c r="C1518" s="33">
        <v>0.56899999999999995</v>
      </c>
      <c r="D1518" s="34">
        <v>0.754</v>
      </c>
      <c r="E1518" s="32">
        <v>69</v>
      </c>
      <c r="F1518" s="32">
        <v>1</v>
      </c>
      <c r="G1518" s="32">
        <v>8</v>
      </c>
      <c r="H1518" s="35">
        <f ca="1">LEFT(Music_Data[[#This Row],[Duration_minutes]],3)/60</f>
        <v>2.7</v>
      </c>
      <c r="I1518" s="34">
        <v>0.45200000000000001</v>
      </c>
      <c r="J1518" s="36" t="str">
        <f t="shared" si="23"/>
        <v>Casi nada popular</v>
      </c>
      <c r="K1518" s="42">
        <v>44630</v>
      </c>
    </row>
    <row r="1519" spans="1:11">
      <c r="A1519" s="39">
        <v>0.46700000000000003</v>
      </c>
      <c r="B1519" s="37">
        <v>105</v>
      </c>
      <c r="C1519" s="38">
        <v>0.41299999999999998</v>
      </c>
      <c r="D1519" s="39">
        <v>0.377</v>
      </c>
      <c r="E1519" s="37">
        <v>69</v>
      </c>
      <c r="F1519" s="37">
        <v>1</v>
      </c>
      <c r="G1519" s="37">
        <v>9</v>
      </c>
      <c r="H1519" s="40">
        <f ca="1">LEFT(Music_Data[[#This Row],[Duration_minutes]],3)/60</f>
        <v>5.3</v>
      </c>
      <c r="I1519" s="39">
        <v>0.73199999999999998</v>
      </c>
      <c r="J1519" s="41" t="str">
        <f t="shared" si="23"/>
        <v>Casi nada popular</v>
      </c>
      <c r="K1519" s="43">
        <v>34402</v>
      </c>
    </row>
    <row r="1520" spans="1:11">
      <c r="A1520" s="34">
        <v>0.45200000000000001</v>
      </c>
      <c r="B1520" s="32">
        <v>123</v>
      </c>
      <c r="C1520" s="33">
        <v>0.41299999999999998</v>
      </c>
      <c r="D1520" s="34">
        <v>0.10199999999999999</v>
      </c>
      <c r="E1520" s="32">
        <v>69</v>
      </c>
      <c r="F1520" s="32">
        <v>1</v>
      </c>
      <c r="G1520" s="32">
        <v>0</v>
      </c>
      <c r="H1520" s="35">
        <f ca="1">LEFT(Music_Data[[#This Row],[Duration_minutes]],3)/60</f>
        <v>4.3499999999999996</v>
      </c>
      <c r="I1520" s="34">
        <v>0.58799999999999997</v>
      </c>
      <c r="J1520" s="36" t="str">
        <f t="shared" si="23"/>
        <v>Casi nada popular</v>
      </c>
      <c r="K1520" s="42">
        <v>28384</v>
      </c>
    </row>
    <row r="1521" spans="1:11">
      <c r="A1521" s="39">
        <v>0.86399999999999999</v>
      </c>
      <c r="B1521" s="37">
        <v>136</v>
      </c>
      <c r="C1521" s="38">
        <v>0.63700000000000001</v>
      </c>
      <c r="D1521" s="39">
        <v>0.70599999999999996</v>
      </c>
      <c r="E1521" s="37">
        <v>69</v>
      </c>
      <c r="F1521" s="37">
        <v>1</v>
      </c>
      <c r="G1521" s="37">
        <v>8</v>
      </c>
      <c r="H1521" s="40">
        <f ca="1">LEFT(Music_Data[[#This Row],[Duration_minutes]],3)/60</f>
        <v>3.7</v>
      </c>
      <c r="I1521" s="39">
        <v>0.48399999999999999</v>
      </c>
      <c r="J1521" s="41" t="str">
        <f t="shared" si="23"/>
        <v>Casi nada popular</v>
      </c>
      <c r="K1521" s="43">
        <v>23953</v>
      </c>
    </row>
    <row r="1522" spans="1:11">
      <c r="A1522" s="34">
        <v>0.312</v>
      </c>
      <c r="B1522" s="32">
        <v>122</v>
      </c>
      <c r="C1522" s="33">
        <v>0.68100000000000005</v>
      </c>
      <c r="D1522" s="34">
        <v>0.78900000000000003</v>
      </c>
      <c r="E1522" s="32">
        <v>69</v>
      </c>
      <c r="F1522" s="32">
        <v>0</v>
      </c>
      <c r="G1522" s="32">
        <v>6</v>
      </c>
      <c r="H1522" s="35">
        <f ca="1">LEFT(Music_Data[[#This Row],[Duration_minutes]],3)/60</f>
        <v>3.55</v>
      </c>
      <c r="I1522" s="34">
        <v>0.81599999999999995</v>
      </c>
      <c r="J1522" s="36" t="str">
        <f t="shared" si="23"/>
        <v>Casi nada popular</v>
      </c>
      <c r="K1522" s="42">
        <v>29822</v>
      </c>
    </row>
    <row r="1523" spans="1:11">
      <c r="A1523" s="39">
        <v>0.93700000000000006</v>
      </c>
      <c r="B1523" s="37">
        <v>141</v>
      </c>
      <c r="C1523" s="38">
        <v>0.65100000000000002</v>
      </c>
      <c r="D1523" s="39">
        <v>0.66600000000000004</v>
      </c>
      <c r="E1523" s="37">
        <v>69</v>
      </c>
      <c r="F1523" s="37">
        <v>1</v>
      </c>
      <c r="G1523" s="37">
        <v>7</v>
      </c>
      <c r="H1523" s="40">
        <f ca="1">LEFT(Music_Data[[#This Row],[Duration_minutes]],3)/60</f>
        <v>5.1333333333333337</v>
      </c>
      <c r="I1523" s="39">
        <v>0.23599999999999999</v>
      </c>
      <c r="J1523" s="41" t="str">
        <f t="shared" si="23"/>
        <v>Casi nada popular</v>
      </c>
      <c r="K1523" s="43">
        <v>1976</v>
      </c>
    </row>
    <row r="1524" spans="1:11">
      <c r="A1524" s="34">
        <v>0.88800000000000001</v>
      </c>
      <c r="B1524" s="32">
        <v>173</v>
      </c>
      <c r="C1524" s="33">
        <v>0.67100000000000004</v>
      </c>
      <c r="D1524" s="34">
        <v>0.41199999999999998</v>
      </c>
      <c r="E1524" s="32">
        <v>69</v>
      </c>
      <c r="F1524" s="32">
        <v>0</v>
      </c>
      <c r="G1524" s="32">
        <v>10</v>
      </c>
      <c r="H1524" s="35">
        <f ca="1">LEFT(Music_Data[[#This Row],[Duration_minutes]],3)/60</f>
        <v>3.2166666666666668</v>
      </c>
      <c r="I1524" s="34">
        <v>2.2000000000000001E-3</v>
      </c>
      <c r="J1524" s="36" t="str">
        <f t="shared" si="23"/>
        <v>Casi nada popular</v>
      </c>
      <c r="K1524" s="42">
        <v>2006</v>
      </c>
    </row>
    <row r="1525" spans="1:11">
      <c r="A1525" s="39">
        <v>0.71399999999999997</v>
      </c>
      <c r="B1525" s="37">
        <v>124</v>
      </c>
      <c r="C1525" s="38">
        <v>0.63400000000000001</v>
      </c>
      <c r="D1525" s="39">
        <v>0.40899999999999997</v>
      </c>
      <c r="E1525" s="37">
        <v>69</v>
      </c>
      <c r="F1525" s="37">
        <v>1</v>
      </c>
      <c r="G1525" s="37">
        <v>7</v>
      </c>
      <c r="H1525" s="40">
        <f ca="1">LEFT(Music_Data[[#This Row],[Duration_minutes]],3)/60</f>
        <v>4.7166666666666668</v>
      </c>
      <c r="I1525" s="39">
        <v>8.8199999999999997E-3</v>
      </c>
      <c r="J1525" s="41" t="str">
        <f t="shared" si="23"/>
        <v>Casi nada popular</v>
      </c>
      <c r="K1525" s="43">
        <v>33498</v>
      </c>
    </row>
    <row r="1526" spans="1:11">
      <c r="A1526" s="34">
        <v>0.89700000000000002</v>
      </c>
      <c r="B1526" s="32">
        <v>112</v>
      </c>
      <c r="C1526" s="33">
        <v>0.68899999999999995</v>
      </c>
      <c r="D1526" s="34">
        <v>0.58199999999999996</v>
      </c>
      <c r="E1526" s="32">
        <v>69</v>
      </c>
      <c r="F1526" s="32">
        <v>0</v>
      </c>
      <c r="G1526" s="32">
        <v>10</v>
      </c>
      <c r="H1526" s="35">
        <f ca="1">LEFT(Music_Data[[#This Row],[Duration_minutes]],3)/60</f>
        <v>2.4333333333333331</v>
      </c>
      <c r="I1526" s="34">
        <v>0.14499999999999999</v>
      </c>
      <c r="J1526" s="36" t="str">
        <f t="shared" si="23"/>
        <v>Casi nada popular</v>
      </c>
      <c r="K1526" s="42">
        <v>1970</v>
      </c>
    </row>
    <row r="1527" spans="1:11">
      <c r="A1527" s="39">
        <v>0.86299999999999999</v>
      </c>
      <c r="B1527" s="37">
        <v>118</v>
      </c>
      <c r="C1527" s="38">
        <v>0.65200000000000002</v>
      </c>
      <c r="D1527" s="39">
        <v>0.80500000000000005</v>
      </c>
      <c r="E1527" s="37">
        <v>69</v>
      </c>
      <c r="F1527" s="37">
        <v>0</v>
      </c>
      <c r="G1527" s="37">
        <v>7</v>
      </c>
      <c r="H1527" s="40">
        <f ca="1">LEFT(Music_Data[[#This Row],[Duration_minutes]],3)/60</f>
        <v>9.1166666666666671</v>
      </c>
      <c r="I1527" s="39">
        <v>9.2100000000000001E-2</v>
      </c>
      <c r="J1527" s="41" t="str">
        <f t="shared" si="23"/>
        <v>Casi nada popular</v>
      </c>
      <c r="K1527" s="43">
        <v>26665</v>
      </c>
    </row>
    <row r="1528" spans="1:11">
      <c r="A1528" s="34">
        <v>0.70299999999999996</v>
      </c>
      <c r="B1528" s="32">
        <v>128</v>
      </c>
      <c r="C1528" s="33">
        <v>0.71299999999999997</v>
      </c>
      <c r="D1528" s="34">
        <v>0.57599999999999996</v>
      </c>
      <c r="E1528" s="32">
        <v>69</v>
      </c>
      <c r="F1528" s="32">
        <v>1</v>
      </c>
      <c r="G1528" s="32">
        <v>8</v>
      </c>
      <c r="H1528" s="35">
        <f ca="1">LEFT(Music_Data[[#This Row],[Duration_minutes]],3)/60</f>
        <v>5.0666666666666664</v>
      </c>
      <c r="I1528" s="34">
        <v>0.29799999999999999</v>
      </c>
      <c r="J1528" s="36" t="str">
        <f t="shared" si="23"/>
        <v>Casi nada popular</v>
      </c>
      <c r="K1528" s="42">
        <v>40066</v>
      </c>
    </row>
    <row r="1529" spans="1:11">
      <c r="A1529" s="39">
        <v>0.75900000000000001</v>
      </c>
      <c r="B1529" s="37">
        <v>128</v>
      </c>
      <c r="C1529" s="38">
        <v>0.78</v>
      </c>
      <c r="D1529" s="39">
        <v>0.57899999999999996</v>
      </c>
      <c r="E1529" s="37">
        <v>69</v>
      </c>
      <c r="F1529" s="37">
        <v>1</v>
      </c>
      <c r="G1529" s="37">
        <v>1</v>
      </c>
      <c r="H1529" s="40">
        <f ca="1">LEFT(Music_Data[[#This Row],[Duration_minutes]],3)/60</f>
        <v>5.0666666666666664</v>
      </c>
      <c r="I1529" s="39">
        <v>0.46200000000000002</v>
      </c>
      <c r="J1529" s="41" t="str">
        <f t="shared" si="23"/>
        <v>Casi nada popular</v>
      </c>
      <c r="K1529" s="43">
        <v>40066</v>
      </c>
    </row>
    <row r="1530" spans="1:11">
      <c r="A1530" s="34">
        <v>0.75800000000000001</v>
      </c>
      <c r="B1530" s="32">
        <v>122</v>
      </c>
      <c r="C1530" s="33">
        <v>0.86</v>
      </c>
      <c r="D1530" s="34">
        <v>0.45300000000000001</v>
      </c>
      <c r="E1530" s="32">
        <v>69</v>
      </c>
      <c r="F1530" s="32">
        <v>1</v>
      </c>
      <c r="G1530" s="32">
        <v>11</v>
      </c>
      <c r="H1530" s="35">
        <f ca="1">LEFT(Music_Data[[#This Row],[Duration_minutes]],3)/60</f>
        <v>5.5666666666666664</v>
      </c>
      <c r="I1530" s="34">
        <v>2.1000000000000001E-2</v>
      </c>
      <c r="J1530" s="36" t="str">
        <f t="shared" si="23"/>
        <v>Casi nada popular</v>
      </c>
      <c r="K1530" s="42">
        <v>27649</v>
      </c>
    </row>
    <row r="1531" spans="1:11">
      <c r="A1531" s="39">
        <v>0.68899999999999995</v>
      </c>
      <c r="B1531" s="37">
        <v>164</v>
      </c>
      <c r="C1531" s="38">
        <v>0.88200000000000001</v>
      </c>
      <c r="D1531" s="39">
        <v>0.746</v>
      </c>
      <c r="E1531" s="37">
        <v>69</v>
      </c>
      <c r="F1531" s="37">
        <v>1</v>
      </c>
      <c r="G1531" s="37">
        <v>6</v>
      </c>
      <c r="H1531" s="40">
        <f ca="1">LEFT(Music_Data[[#This Row],[Duration_minutes]],3)/60</f>
        <v>4.3166666666666664</v>
      </c>
      <c r="I1531" s="39">
        <v>0.39</v>
      </c>
      <c r="J1531" s="41" t="str">
        <f t="shared" si="23"/>
        <v>Casi nada popular</v>
      </c>
      <c r="K1531" s="43">
        <v>25472</v>
      </c>
    </row>
    <row r="1532" spans="1:11">
      <c r="A1532" s="34">
        <v>0.64700000000000002</v>
      </c>
      <c r="B1532" s="32">
        <v>151</v>
      </c>
      <c r="C1532" s="33">
        <v>0.85699999999999998</v>
      </c>
      <c r="D1532" s="34">
        <v>0.55300000000000005</v>
      </c>
      <c r="E1532" s="32">
        <v>69</v>
      </c>
      <c r="F1532" s="32">
        <v>0</v>
      </c>
      <c r="G1532" s="32">
        <v>11</v>
      </c>
      <c r="H1532" s="35">
        <f ca="1">LEFT(Music_Data[[#This Row],[Duration_minutes]],3)/60</f>
        <v>4.833333333333333</v>
      </c>
      <c r="I1532" s="34">
        <v>0.39100000000000001</v>
      </c>
      <c r="J1532" s="36" t="str">
        <f t="shared" si="23"/>
        <v>Casi nada popular</v>
      </c>
      <c r="K1532" s="42">
        <v>29130</v>
      </c>
    </row>
    <row r="1533" spans="1:11">
      <c r="A1533" s="39">
        <v>0.746</v>
      </c>
      <c r="B1533" s="37">
        <v>843</v>
      </c>
      <c r="C1533" s="38">
        <v>0.746</v>
      </c>
      <c r="D1533" s="39">
        <v>0.73299999999999998</v>
      </c>
      <c r="E1533" s="37">
        <v>69</v>
      </c>
      <c r="F1533" s="37">
        <v>0</v>
      </c>
      <c r="G1533" s="37">
        <v>5</v>
      </c>
      <c r="H1533" s="40">
        <f ca="1">LEFT(Music_Data[[#This Row],[Duration_minutes]],3)/60</f>
        <v>4.2666666666666666</v>
      </c>
      <c r="I1533" s="39">
        <v>0.152</v>
      </c>
      <c r="J1533" s="41" t="str">
        <f t="shared" si="23"/>
        <v>Casi nada popular</v>
      </c>
      <c r="K1533" s="43">
        <v>32509</v>
      </c>
    </row>
    <row r="1534" spans="1:11">
      <c r="A1534" s="34">
        <v>0.68100000000000005</v>
      </c>
      <c r="B1534" s="32">
        <v>843</v>
      </c>
      <c r="C1534" s="33">
        <v>0.80700000000000005</v>
      </c>
      <c r="D1534" s="34">
        <v>0.67600000000000005</v>
      </c>
      <c r="E1534" s="32">
        <v>69</v>
      </c>
      <c r="F1534" s="32">
        <v>1</v>
      </c>
      <c r="G1534" s="32">
        <v>11</v>
      </c>
      <c r="H1534" s="35">
        <f ca="1">LEFT(Music_Data[[#This Row],[Duration_minutes]],3)/60</f>
        <v>4.2666666666666666</v>
      </c>
      <c r="I1534" s="34">
        <v>0.42299999999999999</v>
      </c>
      <c r="J1534" s="36" t="str">
        <f t="shared" si="23"/>
        <v>Casi nada popular</v>
      </c>
      <c r="K1534" s="42">
        <v>32509</v>
      </c>
    </row>
    <row r="1535" spans="1:11">
      <c r="A1535" s="39">
        <v>0.81200000000000006</v>
      </c>
      <c r="B1535" s="37">
        <v>129</v>
      </c>
      <c r="C1535" s="38">
        <v>0.68300000000000005</v>
      </c>
      <c r="D1535" s="39">
        <v>0.72399999999999998</v>
      </c>
      <c r="E1535" s="37">
        <v>69</v>
      </c>
      <c r="F1535" s="37">
        <v>1</v>
      </c>
      <c r="G1535" s="37">
        <v>7</v>
      </c>
      <c r="H1535" s="40">
        <f ca="1">LEFT(Music_Data[[#This Row],[Duration_minutes]],3)/60</f>
        <v>4.0166666666666666</v>
      </c>
      <c r="I1535" s="39">
        <v>0.161</v>
      </c>
      <c r="J1535" s="41" t="str">
        <f t="shared" si="23"/>
        <v>Casi nada popular</v>
      </c>
      <c r="K1535" s="43">
        <v>30685</v>
      </c>
    </row>
    <row r="1536" spans="1:11">
      <c r="A1536" s="34">
        <v>0.76100000000000001</v>
      </c>
      <c r="B1536" s="32">
        <v>119</v>
      </c>
      <c r="C1536" s="33">
        <v>0.71399999999999997</v>
      </c>
      <c r="D1536" s="34">
        <v>0.90600000000000003</v>
      </c>
      <c r="E1536" s="32">
        <v>69</v>
      </c>
      <c r="F1536" s="32">
        <v>0</v>
      </c>
      <c r="G1536" s="32">
        <v>5</v>
      </c>
      <c r="H1536" s="35">
        <f ca="1">LEFT(Music_Data[[#This Row],[Duration_minutes]],3)/60</f>
        <v>3.65</v>
      </c>
      <c r="I1536" s="34">
        <v>0.13900000000000001</v>
      </c>
      <c r="J1536" s="36" t="str">
        <f t="shared" si="23"/>
        <v>Casi nada popular</v>
      </c>
      <c r="K1536" s="42">
        <v>37740</v>
      </c>
    </row>
    <row r="1537" spans="1:11">
      <c r="A1537" s="39">
        <v>0.745</v>
      </c>
      <c r="B1537" s="37">
        <v>149</v>
      </c>
      <c r="C1537" s="38">
        <v>0.79300000000000004</v>
      </c>
      <c r="D1537" s="39">
        <v>0.71599999999999997</v>
      </c>
      <c r="E1537" s="37">
        <v>69</v>
      </c>
      <c r="F1537" s="37">
        <v>1</v>
      </c>
      <c r="G1537" s="37">
        <v>7</v>
      </c>
      <c r="H1537" s="40">
        <f ca="1">LEFT(Music_Data[[#This Row],[Duration_minutes]],3)/60</f>
        <v>4.45</v>
      </c>
      <c r="I1537" s="39">
        <v>0.182</v>
      </c>
      <c r="J1537" s="41" t="str">
        <f t="shared" si="23"/>
        <v>Casi nada popular</v>
      </c>
      <c r="K1537" s="43">
        <v>37803</v>
      </c>
    </row>
    <row r="1538" spans="1:11">
      <c r="A1538" s="34">
        <v>0.7</v>
      </c>
      <c r="B1538" s="32">
        <v>144</v>
      </c>
      <c r="C1538" s="33">
        <v>0.84299999999999997</v>
      </c>
      <c r="D1538" s="34">
        <v>0.89900000000000002</v>
      </c>
      <c r="E1538" s="32">
        <v>69</v>
      </c>
      <c r="F1538" s="32">
        <v>0</v>
      </c>
      <c r="G1538" s="32">
        <v>4</v>
      </c>
      <c r="H1538" s="35">
        <f ca="1">LEFT(Music_Data[[#This Row],[Duration_minutes]],3)/60</f>
        <v>3.7666666666666666</v>
      </c>
      <c r="I1538" s="34">
        <v>9.3399999999999997E-2</v>
      </c>
      <c r="J1538" s="36" t="str">
        <f t="shared" si="23"/>
        <v>Casi nada popular</v>
      </c>
      <c r="K1538" s="42">
        <v>37495</v>
      </c>
    </row>
    <row r="1539" spans="1:11">
      <c r="A1539" s="39">
        <v>0.79400000000000004</v>
      </c>
      <c r="B1539" s="37">
        <v>109</v>
      </c>
      <c r="C1539" s="38">
        <v>0.84299999999999997</v>
      </c>
      <c r="D1539" s="39">
        <v>0.79600000000000004</v>
      </c>
      <c r="E1539" s="37">
        <v>69</v>
      </c>
      <c r="F1539" s="37">
        <v>0</v>
      </c>
      <c r="G1539" s="37">
        <v>1</v>
      </c>
      <c r="H1539" s="40">
        <f ca="1">LEFT(Music_Data[[#This Row],[Duration_minutes]],3)/60</f>
        <v>5.6166666666666663</v>
      </c>
      <c r="I1539" s="39">
        <v>0.22600000000000001</v>
      </c>
      <c r="J1539" s="41" t="str">
        <f t="shared" si="23"/>
        <v>Casi nada popular</v>
      </c>
      <c r="K1539" s="43">
        <v>41414</v>
      </c>
    </row>
    <row r="1540" spans="1:11">
      <c r="A1540" s="34">
        <v>0.76600000000000001</v>
      </c>
      <c r="B1540" s="32">
        <v>138</v>
      </c>
      <c r="C1540" s="33">
        <v>0.88</v>
      </c>
      <c r="D1540" s="34">
        <v>0.59399999999999997</v>
      </c>
      <c r="E1540" s="32">
        <v>69</v>
      </c>
      <c r="F1540" s="32">
        <v>0</v>
      </c>
      <c r="G1540" s="32">
        <v>1</v>
      </c>
      <c r="H1540" s="35">
        <f ca="1">LEFT(Music_Data[[#This Row],[Duration_minutes]],3)/60</f>
        <v>8.6</v>
      </c>
      <c r="I1540" s="34">
        <v>8.8099999999999998E-2</v>
      </c>
      <c r="J1540" s="36" t="str">
        <f t="shared" ref="J1540:J1603" si="24">IF(E1540&gt;=94,"Muy Popular",IF(E1540&gt;=86,"Popular",IF(E1540&gt;=78,"No muy popular","Casi nada popular")))</f>
        <v>Casi nada popular</v>
      </c>
      <c r="K1540" s="42">
        <v>1971</v>
      </c>
    </row>
    <row r="1541" spans="1:11">
      <c r="A1541" s="39">
        <v>0.67100000000000004</v>
      </c>
      <c r="B1541" s="37">
        <v>117</v>
      </c>
      <c r="C1541" s="38">
        <v>0.71399999999999997</v>
      </c>
      <c r="D1541" s="39">
        <v>0.64100000000000001</v>
      </c>
      <c r="E1541" s="37">
        <v>69</v>
      </c>
      <c r="F1541" s="37">
        <v>1</v>
      </c>
      <c r="G1541" s="37">
        <v>5</v>
      </c>
      <c r="H1541" s="40">
        <f ca="1">LEFT(Music_Data[[#This Row],[Duration_minutes]],3)/60</f>
        <v>5.166666666666667</v>
      </c>
      <c r="I1541" s="39">
        <v>0.29199999999999998</v>
      </c>
      <c r="J1541" s="41" t="str">
        <f t="shared" si="24"/>
        <v>Casi nada popular</v>
      </c>
      <c r="K1541" s="43">
        <v>1986</v>
      </c>
    </row>
    <row r="1542" spans="1:11">
      <c r="A1542" s="34">
        <v>0.78900000000000003</v>
      </c>
      <c r="B1542" s="32">
        <v>106</v>
      </c>
      <c r="C1542" s="33">
        <v>0.89</v>
      </c>
      <c r="D1542" s="34">
        <v>0.75800000000000001</v>
      </c>
      <c r="E1542" s="32">
        <v>69</v>
      </c>
      <c r="F1542" s="32">
        <v>1</v>
      </c>
      <c r="G1542" s="32">
        <v>11</v>
      </c>
      <c r="H1542" s="35">
        <f ca="1">LEFT(Music_Data[[#This Row],[Duration_minutes]],3)/60</f>
        <v>3.4666666666666668</v>
      </c>
      <c r="I1542" s="34">
        <v>0.14699999999999999</v>
      </c>
      <c r="J1542" s="36" t="str">
        <f t="shared" si="24"/>
        <v>Casi nada popular</v>
      </c>
      <c r="K1542" s="42">
        <v>39083</v>
      </c>
    </row>
    <row r="1543" spans="1:11">
      <c r="A1543" s="39">
        <v>0.622</v>
      </c>
      <c r="B1543" s="37">
        <v>159</v>
      </c>
      <c r="C1543" s="38">
        <v>0.40600000000000003</v>
      </c>
      <c r="D1543" s="39">
        <v>0.56699999999999995</v>
      </c>
      <c r="E1543" s="37">
        <v>69</v>
      </c>
      <c r="F1543" s="37">
        <v>0</v>
      </c>
      <c r="G1543" s="37">
        <v>3</v>
      </c>
      <c r="H1543" s="40">
        <f ca="1">LEFT(Music_Data[[#This Row],[Duration_minutes]],3)/60</f>
        <v>5.35</v>
      </c>
      <c r="I1543" s="39">
        <v>0.497</v>
      </c>
      <c r="J1543" s="41" t="str">
        <f t="shared" si="24"/>
        <v>Casi nada popular</v>
      </c>
      <c r="K1543" s="43">
        <v>39948</v>
      </c>
    </row>
    <row r="1544" spans="1:11">
      <c r="A1544" s="34">
        <v>0.50600000000000001</v>
      </c>
      <c r="B1544" s="32">
        <v>137</v>
      </c>
      <c r="C1544" s="33">
        <v>0.84799999999999998</v>
      </c>
      <c r="D1544" s="34">
        <v>0.59299999999999997</v>
      </c>
      <c r="E1544" s="32">
        <v>69</v>
      </c>
      <c r="F1544" s="32">
        <v>0</v>
      </c>
      <c r="G1544" s="32">
        <v>4</v>
      </c>
      <c r="H1544" s="35">
        <f ca="1">LEFT(Music_Data[[#This Row],[Duration_minutes]],3)/60</f>
        <v>4.3499999999999996</v>
      </c>
      <c r="I1544" s="34">
        <v>0.376</v>
      </c>
      <c r="J1544" s="36" t="str">
        <f t="shared" si="24"/>
        <v>Casi nada popular</v>
      </c>
      <c r="K1544" s="42">
        <v>28259</v>
      </c>
    </row>
    <row r="1545" spans="1:11">
      <c r="A1545" s="39">
        <v>0.52900000000000003</v>
      </c>
      <c r="B1545" s="37">
        <v>100</v>
      </c>
      <c r="C1545" s="38">
        <v>0.78200000000000003</v>
      </c>
      <c r="D1545" s="39">
        <v>0.44</v>
      </c>
      <c r="E1545" s="37">
        <v>69</v>
      </c>
      <c r="F1545" s="37">
        <v>1</v>
      </c>
      <c r="G1545" s="37">
        <v>0</v>
      </c>
      <c r="H1545" s="40">
        <f ca="1">LEFT(Music_Data[[#This Row],[Duration_minutes]],3)/60</f>
        <v>3.2666666666666666</v>
      </c>
      <c r="I1545" s="39">
        <v>0.50900000000000001</v>
      </c>
      <c r="J1545" s="41" t="str">
        <f t="shared" si="24"/>
        <v>Casi nada popular</v>
      </c>
      <c r="K1545" s="43">
        <v>37880</v>
      </c>
    </row>
    <row r="1546" spans="1:11">
      <c r="A1546" s="34">
        <v>0.156</v>
      </c>
      <c r="B1546" s="32">
        <v>108</v>
      </c>
      <c r="C1546" s="33">
        <v>0.67100000000000004</v>
      </c>
      <c r="D1546" s="34">
        <v>0.20100000000000001</v>
      </c>
      <c r="E1546" s="32">
        <v>69</v>
      </c>
      <c r="F1546" s="32">
        <v>1</v>
      </c>
      <c r="G1546" s="32">
        <v>8</v>
      </c>
      <c r="H1546" s="35">
        <f ca="1">LEFT(Music_Data[[#This Row],[Duration_minutes]],3)/60</f>
        <v>3.4166666666666665</v>
      </c>
      <c r="I1546" s="34">
        <v>0.80400000000000005</v>
      </c>
      <c r="J1546" s="36" t="str">
        <f t="shared" si="24"/>
        <v>Casi nada popular</v>
      </c>
      <c r="K1546" s="42">
        <v>41079</v>
      </c>
    </row>
    <row r="1547" spans="1:11">
      <c r="A1547" s="39">
        <v>0.52600000000000002</v>
      </c>
      <c r="B1547" s="37">
        <v>104</v>
      </c>
      <c r="C1547" s="38">
        <v>0.55800000000000005</v>
      </c>
      <c r="D1547" s="39">
        <v>0.20200000000000001</v>
      </c>
      <c r="E1547" s="37">
        <v>69</v>
      </c>
      <c r="F1547" s="37">
        <v>0</v>
      </c>
      <c r="G1547" s="37">
        <v>0</v>
      </c>
      <c r="H1547" s="40">
        <f ca="1">LEFT(Music_Data[[#This Row],[Duration_minutes]],3)/60</f>
        <v>4.2333333333333334</v>
      </c>
      <c r="I1547" s="39">
        <v>0.43099999999999999</v>
      </c>
      <c r="J1547" s="41" t="str">
        <f t="shared" si="24"/>
        <v>Casi nada popular</v>
      </c>
      <c r="K1547" s="43">
        <v>26634</v>
      </c>
    </row>
    <row r="1548" spans="1:11">
      <c r="A1548" s="34">
        <v>0.38400000000000001</v>
      </c>
      <c r="B1548" s="32">
        <v>148</v>
      </c>
      <c r="C1548" s="33">
        <v>0.437</v>
      </c>
      <c r="D1548" s="34">
        <v>0.18099999999999999</v>
      </c>
      <c r="E1548" s="32">
        <v>69</v>
      </c>
      <c r="F1548" s="32">
        <v>1</v>
      </c>
      <c r="G1548" s="32">
        <v>5</v>
      </c>
      <c r="H1548" s="35">
        <f ca="1">LEFT(Music_Data[[#This Row],[Duration_minutes]],3)/60</f>
        <v>5.166666666666667</v>
      </c>
      <c r="I1548" s="34">
        <v>0.69899999999999995</v>
      </c>
      <c r="J1548" s="36" t="str">
        <f t="shared" si="24"/>
        <v>Casi nada popular</v>
      </c>
      <c r="K1548" s="42">
        <v>1997</v>
      </c>
    </row>
    <row r="1549" spans="1:11">
      <c r="A1549" s="39">
        <v>0.55700000000000005</v>
      </c>
      <c r="B1549" s="37">
        <v>169</v>
      </c>
      <c r="C1549" s="38">
        <v>0.81499999999999995</v>
      </c>
      <c r="D1549" s="39">
        <v>0.48199999999999998</v>
      </c>
      <c r="E1549" s="37">
        <v>69</v>
      </c>
      <c r="F1549" s="37">
        <v>1</v>
      </c>
      <c r="G1549" s="37">
        <v>5</v>
      </c>
      <c r="H1549" s="40">
        <f ca="1">LEFT(Music_Data[[#This Row],[Duration_minutes]],3)/60</f>
        <v>3.9666666666666668</v>
      </c>
      <c r="I1549" s="39">
        <v>0.109</v>
      </c>
      <c r="J1549" s="41" t="str">
        <f t="shared" si="24"/>
        <v>Casi nada popular</v>
      </c>
      <c r="K1549" s="43">
        <v>39013</v>
      </c>
    </row>
    <row r="1550" spans="1:11">
      <c r="A1550" s="34">
        <v>0.32600000000000001</v>
      </c>
      <c r="B1550" s="32">
        <v>113</v>
      </c>
      <c r="C1550" s="33">
        <v>0.46</v>
      </c>
      <c r="D1550" s="34">
        <v>0.214</v>
      </c>
      <c r="E1550" s="32">
        <v>69</v>
      </c>
      <c r="F1550" s="32">
        <v>1</v>
      </c>
      <c r="G1550" s="32">
        <v>4</v>
      </c>
      <c r="H1550" s="35">
        <f ca="1">LEFT(Music_Data[[#This Row],[Duration_minutes]],3)/60</f>
        <v>5</v>
      </c>
      <c r="I1550" s="34">
        <v>0.76300000000000001</v>
      </c>
      <c r="J1550" s="36" t="str">
        <f t="shared" si="24"/>
        <v>Casi nada popular</v>
      </c>
      <c r="K1550" s="42">
        <v>35796</v>
      </c>
    </row>
    <row r="1551" spans="1:11">
      <c r="A1551" s="39">
        <v>0.58799999999999997</v>
      </c>
      <c r="B1551" s="37">
        <v>113</v>
      </c>
      <c r="C1551" s="38">
        <v>0.67500000000000004</v>
      </c>
      <c r="D1551" s="39">
        <v>0.879</v>
      </c>
      <c r="E1551" s="37">
        <v>69</v>
      </c>
      <c r="F1551" s="37">
        <v>1</v>
      </c>
      <c r="G1551" s="37">
        <v>3</v>
      </c>
      <c r="H1551" s="40">
        <f ca="1">LEFT(Music_Data[[#This Row],[Duration_minutes]],3)/60</f>
        <v>5</v>
      </c>
      <c r="I1551" s="39">
        <v>0.78900000000000003</v>
      </c>
      <c r="J1551" s="41" t="str">
        <f t="shared" si="24"/>
        <v>Casi nada popular</v>
      </c>
      <c r="K1551" s="43">
        <v>35796</v>
      </c>
    </row>
    <row r="1552" spans="1:11">
      <c r="A1552" s="34">
        <v>0.36199999999999999</v>
      </c>
      <c r="B1552" s="32">
        <v>104</v>
      </c>
      <c r="C1552" s="33">
        <v>0.96699999999999997</v>
      </c>
      <c r="D1552" s="34">
        <v>0.63300000000000001</v>
      </c>
      <c r="E1552" s="32">
        <v>69</v>
      </c>
      <c r="F1552" s="32">
        <v>0</v>
      </c>
      <c r="G1552" s="32">
        <v>5</v>
      </c>
      <c r="H1552" s="35">
        <f ca="1">LEFT(Music_Data[[#This Row],[Duration_minutes]],3)/60</f>
        <v>3.9666666666666668</v>
      </c>
      <c r="I1552" s="34">
        <v>0.51400000000000001</v>
      </c>
      <c r="J1552" s="36" t="str">
        <f t="shared" si="24"/>
        <v>Casi nada popular</v>
      </c>
      <c r="K1552" s="42">
        <v>29189</v>
      </c>
    </row>
    <row r="1553" spans="1:11">
      <c r="A1553" s="39">
        <v>0.872</v>
      </c>
      <c r="B1553" s="37">
        <v>122</v>
      </c>
      <c r="C1553" s="38">
        <v>0.43</v>
      </c>
      <c r="D1553" s="39">
        <v>0.13600000000000001</v>
      </c>
      <c r="E1553" s="37">
        <v>69</v>
      </c>
      <c r="F1553" s="37">
        <v>1</v>
      </c>
      <c r="G1553" s="37">
        <v>1</v>
      </c>
      <c r="H1553" s="40">
        <f ca="1">LEFT(Music_Data[[#This Row],[Duration_minutes]],3)/60</f>
        <v>3.6</v>
      </c>
      <c r="I1553" s="39">
        <v>0.11799999999999999</v>
      </c>
      <c r="J1553" s="41" t="str">
        <f t="shared" si="24"/>
        <v>Casi nada popular</v>
      </c>
      <c r="K1553" s="43">
        <v>37446</v>
      </c>
    </row>
    <row r="1554" spans="1:11">
      <c r="A1554" s="34">
        <v>0.83</v>
      </c>
      <c r="B1554" s="32">
        <v>119</v>
      </c>
      <c r="C1554" s="33">
        <v>0.80800000000000005</v>
      </c>
      <c r="D1554" s="34">
        <v>0.46500000000000002</v>
      </c>
      <c r="E1554" s="32">
        <v>69</v>
      </c>
      <c r="F1554" s="32">
        <v>1</v>
      </c>
      <c r="G1554" s="32">
        <v>1</v>
      </c>
      <c r="H1554" s="35">
        <f ca="1">LEFT(Music_Data[[#This Row],[Duration_minutes]],3)/60</f>
        <v>3.0166666666666666</v>
      </c>
      <c r="I1554" s="34">
        <v>5.7499999999999999E-3</v>
      </c>
      <c r="J1554" s="36" t="str">
        <f t="shared" si="24"/>
        <v>Casi nada popular</v>
      </c>
      <c r="K1554" s="42">
        <v>44631</v>
      </c>
    </row>
    <row r="1555" spans="1:11">
      <c r="A1555" s="39">
        <v>0.85499999999999998</v>
      </c>
      <c r="B1555" s="37">
        <v>106</v>
      </c>
      <c r="C1555" s="38">
        <v>0.53400000000000003</v>
      </c>
      <c r="D1555" s="39">
        <v>0.60099999999999998</v>
      </c>
      <c r="E1555" s="37">
        <v>69</v>
      </c>
      <c r="F1555" s="37">
        <v>0</v>
      </c>
      <c r="G1555" s="37">
        <v>8</v>
      </c>
      <c r="H1555" s="40">
        <f ca="1">LEFT(Music_Data[[#This Row],[Duration_minutes]],3)/60</f>
        <v>5.2</v>
      </c>
      <c r="I1555" s="39">
        <v>4.2999999999999999E-4</v>
      </c>
      <c r="J1555" s="41" t="str">
        <f t="shared" si="24"/>
        <v>Casi nada popular</v>
      </c>
      <c r="K1555" s="43">
        <v>29427</v>
      </c>
    </row>
    <row r="1556" spans="1:11">
      <c r="A1556" s="34">
        <v>0.33200000000000002</v>
      </c>
      <c r="B1556" s="32">
        <v>143</v>
      </c>
      <c r="C1556" s="33">
        <v>0.88500000000000001</v>
      </c>
      <c r="D1556" s="34">
        <v>0.42299999999999999</v>
      </c>
      <c r="E1556" s="32">
        <v>69</v>
      </c>
      <c r="F1556" s="32">
        <v>1</v>
      </c>
      <c r="G1556" s="32">
        <v>1</v>
      </c>
      <c r="H1556" s="35">
        <f ca="1">LEFT(Music_Data[[#This Row],[Duration_minutes]],3)/60</f>
        <v>3.2666666666666666</v>
      </c>
      <c r="I1556" s="34">
        <v>1.8499999999999999E-2</v>
      </c>
      <c r="J1556" s="36" t="str">
        <f t="shared" si="24"/>
        <v>Casi nada popular</v>
      </c>
      <c r="K1556" s="42">
        <v>42678</v>
      </c>
    </row>
    <row r="1557" spans="1:11">
      <c r="A1557" s="39">
        <v>0.67400000000000004</v>
      </c>
      <c r="B1557" s="37">
        <v>131</v>
      </c>
      <c r="C1557" s="38">
        <v>0.92200000000000004</v>
      </c>
      <c r="D1557" s="39">
        <v>0.72599999999999998</v>
      </c>
      <c r="E1557" s="37">
        <v>69</v>
      </c>
      <c r="F1557" s="37">
        <v>1</v>
      </c>
      <c r="G1557" s="37">
        <v>1</v>
      </c>
      <c r="H1557" s="40">
        <f ca="1">LEFT(Music_Data[[#This Row],[Duration_minutes]],3)/60</f>
        <v>3.2</v>
      </c>
      <c r="I1557" s="39">
        <v>0.32300000000000001</v>
      </c>
      <c r="J1557" s="41" t="str">
        <f t="shared" si="24"/>
        <v>Casi nada popular</v>
      </c>
      <c r="K1557" s="43">
        <v>45126</v>
      </c>
    </row>
    <row r="1558" spans="1:11">
      <c r="A1558" s="34">
        <v>0.75900000000000001</v>
      </c>
      <c r="B1558" s="32">
        <v>148</v>
      </c>
      <c r="C1558" s="33">
        <v>0.79100000000000004</v>
      </c>
      <c r="D1558" s="34">
        <v>0.91700000000000004</v>
      </c>
      <c r="E1558" s="32">
        <v>69</v>
      </c>
      <c r="F1558" s="32">
        <v>1</v>
      </c>
      <c r="G1558" s="32">
        <v>9</v>
      </c>
      <c r="H1558" s="35">
        <f ca="1">LEFT(Music_Data[[#This Row],[Duration_minutes]],3)/60</f>
        <v>3.6166666666666667</v>
      </c>
      <c r="I1558" s="34">
        <v>8.2299999999999998E-2</v>
      </c>
      <c r="J1558" s="36" t="str">
        <f t="shared" si="24"/>
        <v>Casi nada popular</v>
      </c>
      <c r="K1558" s="42">
        <v>33604</v>
      </c>
    </row>
    <row r="1559" spans="1:11">
      <c r="A1559" s="39">
        <v>0.70799999999999996</v>
      </c>
      <c r="B1559" s="37">
        <v>126</v>
      </c>
      <c r="C1559" s="38">
        <v>0.872</v>
      </c>
      <c r="D1559" s="39">
        <v>0.308</v>
      </c>
      <c r="E1559" s="37">
        <v>69</v>
      </c>
      <c r="F1559" s="37">
        <v>1</v>
      </c>
      <c r="G1559" s="37">
        <v>10</v>
      </c>
      <c r="H1559" s="40">
        <f ca="1">LEFT(Music_Data[[#This Row],[Duration_minutes]],3)/60</f>
        <v>4.8</v>
      </c>
      <c r="I1559" s="39">
        <v>0.33600000000000002</v>
      </c>
      <c r="J1559" s="41" t="str">
        <f t="shared" si="24"/>
        <v>Casi nada popular</v>
      </c>
      <c r="K1559" s="43">
        <v>1994</v>
      </c>
    </row>
    <row r="1560" spans="1:11">
      <c r="A1560" s="34">
        <v>0.78100000000000003</v>
      </c>
      <c r="B1560" s="32">
        <v>176</v>
      </c>
      <c r="C1560" s="33">
        <v>0.81100000000000005</v>
      </c>
      <c r="D1560" s="34">
        <v>0.82399999999999995</v>
      </c>
      <c r="E1560" s="32">
        <v>69</v>
      </c>
      <c r="F1560" s="32">
        <v>1</v>
      </c>
      <c r="G1560" s="32">
        <v>11</v>
      </c>
      <c r="H1560" s="35">
        <f ca="1">LEFT(Music_Data[[#This Row],[Duration_minutes]],3)/60</f>
        <v>4.8</v>
      </c>
      <c r="I1560" s="34">
        <v>0.376</v>
      </c>
      <c r="J1560" s="36" t="str">
        <f t="shared" si="24"/>
        <v>Casi nada popular</v>
      </c>
      <c r="K1560" s="42">
        <v>31005</v>
      </c>
    </row>
    <row r="1561" spans="1:11">
      <c r="A1561" s="39">
        <v>0.64900000000000002</v>
      </c>
      <c r="B1561" s="37">
        <v>176</v>
      </c>
      <c r="C1561" s="38">
        <v>0.78800000000000003</v>
      </c>
      <c r="D1561" s="39">
        <v>0.22900000000000001</v>
      </c>
      <c r="E1561" s="37">
        <v>69</v>
      </c>
      <c r="F1561" s="37">
        <v>1</v>
      </c>
      <c r="G1561" s="37">
        <v>2</v>
      </c>
      <c r="H1561" s="40">
        <f ca="1">LEFT(Music_Data[[#This Row],[Duration_minutes]],3)/60</f>
        <v>4.8</v>
      </c>
      <c r="I1561" s="39">
        <v>0.253</v>
      </c>
      <c r="J1561" s="41" t="str">
        <f t="shared" si="24"/>
        <v>Casi nada popular</v>
      </c>
      <c r="K1561" s="43">
        <v>31005</v>
      </c>
    </row>
    <row r="1562" spans="1:11">
      <c r="A1562" s="34">
        <v>0.80900000000000005</v>
      </c>
      <c r="B1562" s="32">
        <v>135</v>
      </c>
      <c r="C1562" s="33">
        <v>0.72399999999999998</v>
      </c>
      <c r="D1562" s="34">
        <v>0.60599999999999998</v>
      </c>
      <c r="E1562" s="32">
        <v>69</v>
      </c>
      <c r="F1562" s="32">
        <v>0</v>
      </c>
      <c r="G1562" s="32">
        <v>6</v>
      </c>
      <c r="H1562" s="35">
        <f ca="1">LEFT(Music_Data[[#This Row],[Duration_minutes]],3)/60</f>
        <v>3.9166666666666665</v>
      </c>
      <c r="I1562" s="34">
        <v>0.182</v>
      </c>
      <c r="J1562" s="36" t="str">
        <f t="shared" si="24"/>
        <v>Casi nada popular</v>
      </c>
      <c r="K1562" s="42">
        <v>36466</v>
      </c>
    </row>
    <row r="1563" spans="1:11">
      <c r="A1563" s="39">
        <v>0.89</v>
      </c>
      <c r="B1563" s="37">
        <v>126</v>
      </c>
      <c r="C1563" s="38">
        <v>0.64500000000000002</v>
      </c>
      <c r="D1563" s="39">
        <v>0.42099999999999999</v>
      </c>
      <c r="E1563" s="37">
        <v>69</v>
      </c>
      <c r="F1563" s="37">
        <v>1</v>
      </c>
      <c r="G1563" s="37">
        <v>6</v>
      </c>
      <c r="H1563" s="40">
        <f ca="1">LEFT(Music_Data[[#This Row],[Duration_minutes]],3)/60</f>
        <v>5.3833333333333337</v>
      </c>
      <c r="I1563" s="39">
        <v>0.25900000000000001</v>
      </c>
      <c r="J1563" s="41" t="str">
        <f t="shared" si="24"/>
        <v>Casi nada popular</v>
      </c>
      <c r="K1563" s="43">
        <v>1976</v>
      </c>
    </row>
    <row r="1564" spans="1:11">
      <c r="A1564" s="34">
        <v>0.94599999999999995</v>
      </c>
      <c r="B1564" s="32">
        <v>940</v>
      </c>
      <c r="C1564" s="33">
        <v>0.45400000000000001</v>
      </c>
      <c r="D1564" s="34">
        <v>0.64700000000000002</v>
      </c>
      <c r="E1564" s="32">
        <v>68</v>
      </c>
      <c r="F1564" s="32">
        <v>0</v>
      </c>
      <c r="G1564" s="32">
        <v>1</v>
      </c>
      <c r="H1564" s="35">
        <f ca="1">LEFT(Music_Data[[#This Row],[Duration_minutes]],3)/60</f>
        <v>3.5833333333333335</v>
      </c>
      <c r="I1564" s="34">
        <v>2.23E-2</v>
      </c>
      <c r="J1564" s="36" t="str">
        <f t="shared" si="24"/>
        <v>Casi nada popular</v>
      </c>
      <c r="K1564" s="42">
        <v>38117</v>
      </c>
    </row>
    <row r="1565" spans="1:11">
      <c r="A1565" s="39">
        <v>0.755</v>
      </c>
      <c r="B1565" s="37">
        <v>159</v>
      </c>
      <c r="C1565" s="38">
        <v>0.66700000000000004</v>
      </c>
      <c r="D1565" s="39">
        <v>0.88300000000000001</v>
      </c>
      <c r="E1565" s="37">
        <v>68</v>
      </c>
      <c r="F1565" s="37">
        <v>1</v>
      </c>
      <c r="G1565" s="37">
        <v>9</v>
      </c>
      <c r="H1565" s="40">
        <f ca="1">LEFT(Music_Data[[#This Row],[Duration_minutes]],3)/60</f>
        <v>3.6833333333333331</v>
      </c>
      <c r="I1565" s="39">
        <v>9.6600000000000005E-2</v>
      </c>
      <c r="J1565" s="41" t="str">
        <f t="shared" si="24"/>
        <v>Casi nada popular</v>
      </c>
      <c r="K1565" s="43">
        <v>35927</v>
      </c>
    </row>
    <row r="1566" spans="1:11">
      <c r="A1566" s="34">
        <v>0.16400000000000001</v>
      </c>
      <c r="B1566" s="32">
        <v>120</v>
      </c>
      <c r="C1566" s="33">
        <v>0.13600000000000001</v>
      </c>
      <c r="D1566" s="34">
        <v>7.0999999999999994E-2</v>
      </c>
      <c r="E1566" s="32">
        <v>68</v>
      </c>
      <c r="F1566" s="32">
        <v>0</v>
      </c>
      <c r="G1566" s="32">
        <v>4</v>
      </c>
      <c r="H1566" s="35">
        <f ca="1">LEFT(Music_Data[[#This Row],[Duration_minutes]],3)/60</f>
        <v>5.9333333333333336</v>
      </c>
      <c r="I1566" s="34">
        <v>0.91100000000000003</v>
      </c>
      <c r="J1566" s="36" t="str">
        <f t="shared" si="24"/>
        <v>Casi nada popular</v>
      </c>
      <c r="K1566" s="42">
        <v>26665</v>
      </c>
    </row>
    <row r="1567" spans="1:11">
      <c r="A1567" s="39">
        <v>5.2700000000000004E-3</v>
      </c>
      <c r="B1567" s="37">
        <v>100</v>
      </c>
      <c r="C1567" s="38">
        <v>0.184</v>
      </c>
      <c r="D1567" s="39">
        <v>0.151</v>
      </c>
      <c r="E1567" s="37">
        <v>68</v>
      </c>
      <c r="F1567" s="37">
        <v>0</v>
      </c>
      <c r="G1567" s="37">
        <v>1</v>
      </c>
      <c r="H1567" s="40">
        <f ca="1">LEFT(Music_Data[[#This Row],[Duration_minutes]],3)/60</f>
        <v>4.3499999999999996</v>
      </c>
      <c r="I1567" s="39">
        <v>0.995</v>
      </c>
      <c r="J1567" s="41" t="str">
        <f t="shared" si="24"/>
        <v>Casi nada popular</v>
      </c>
      <c r="K1567" s="43">
        <v>39430</v>
      </c>
    </row>
    <row r="1568" spans="1:11">
      <c r="A1568" s="34">
        <v>0.83099999999999996</v>
      </c>
      <c r="B1568" s="32">
        <v>100</v>
      </c>
      <c r="C1568" s="33">
        <v>0.65200000000000002</v>
      </c>
      <c r="D1568" s="34">
        <v>0.64800000000000002</v>
      </c>
      <c r="E1568" s="32">
        <v>68</v>
      </c>
      <c r="F1568" s="32">
        <v>0</v>
      </c>
      <c r="G1568" s="32">
        <v>10</v>
      </c>
      <c r="H1568" s="35">
        <f ca="1">LEFT(Music_Data[[#This Row],[Duration_minutes]],3)/60</f>
        <v>4.3499999999999996</v>
      </c>
      <c r="I1568" s="34">
        <v>1.11E-2</v>
      </c>
      <c r="J1568" s="36" t="str">
        <f t="shared" si="24"/>
        <v>Casi nada popular</v>
      </c>
      <c r="K1568" s="42">
        <v>39430</v>
      </c>
    </row>
    <row r="1569" spans="1:11">
      <c r="A1569" s="39">
        <v>0.86699999999999999</v>
      </c>
      <c r="B1569" s="37">
        <v>750</v>
      </c>
      <c r="C1569" s="38">
        <v>0.90200000000000002</v>
      </c>
      <c r="D1569" s="39">
        <v>0.79900000000000004</v>
      </c>
      <c r="E1569" s="37">
        <v>68</v>
      </c>
      <c r="F1569" s="37">
        <v>0</v>
      </c>
      <c r="G1569" s="37">
        <v>10</v>
      </c>
      <c r="H1569" s="40">
        <f ca="1">LEFT(Music_Data[[#This Row],[Duration_minutes]],3)/60</f>
        <v>5.666666666666667</v>
      </c>
      <c r="I1569" s="39">
        <v>6.7799999999999999E-2</v>
      </c>
      <c r="J1569" s="41" t="str">
        <f t="shared" si="24"/>
        <v>Casi nada popular</v>
      </c>
      <c r="K1569" s="43">
        <v>33477</v>
      </c>
    </row>
    <row r="1570" spans="1:11">
      <c r="A1570" s="34">
        <v>0.63200000000000001</v>
      </c>
      <c r="B1570" s="32">
        <v>771</v>
      </c>
      <c r="C1570" s="33">
        <v>0.84799999999999998</v>
      </c>
      <c r="D1570" s="34">
        <v>0.253</v>
      </c>
      <c r="E1570" s="32">
        <v>68</v>
      </c>
      <c r="F1570" s="32">
        <v>1</v>
      </c>
      <c r="G1570" s="32">
        <v>2</v>
      </c>
      <c r="H1570" s="35">
        <f ca="1">LEFT(Music_Data[[#This Row],[Duration_minutes]],3)/60</f>
        <v>5.7</v>
      </c>
      <c r="I1570" s="34">
        <v>0.39800000000000002</v>
      </c>
      <c r="J1570" s="36" t="str">
        <f t="shared" si="24"/>
        <v>Casi nada popular</v>
      </c>
      <c r="K1570" s="42">
        <v>33477</v>
      </c>
    </row>
    <row r="1571" spans="1:11">
      <c r="A1571" s="39">
        <v>0.61799999999999999</v>
      </c>
      <c r="B1571" s="37">
        <v>102</v>
      </c>
      <c r="C1571" s="38">
        <v>0.49</v>
      </c>
      <c r="D1571" s="39">
        <v>0.28599999999999998</v>
      </c>
      <c r="E1571" s="37">
        <v>68</v>
      </c>
      <c r="F1571" s="37">
        <v>1</v>
      </c>
      <c r="G1571" s="37">
        <v>1</v>
      </c>
      <c r="H1571" s="40">
        <f ca="1">LEFT(Music_Data[[#This Row],[Duration_minutes]],3)/60</f>
        <v>3.5666666666666669</v>
      </c>
      <c r="I1571" s="39">
        <v>2.2100000000000002E-2</v>
      </c>
      <c r="J1571" s="41" t="str">
        <f t="shared" si="24"/>
        <v>Casi nada popular</v>
      </c>
      <c r="K1571" s="43">
        <v>45499</v>
      </c>
    </row>
    <row r="1572" spans="1:11">
      <c r="A1572" s="34">
        <v>0.35</v>
      </c>
      <c r="B1572" s="32">
        <v>151</v>
      </c>
      <c r="C1572" s="33">
        <v>0.82199999999999995</v>
      </c>
      <c r="D1572" s="34">
        <v>0.34599999999999997</v>
      </c>
      <c r="E1572" s="32">
        <v>68</v>
      </c>
      <c r="F1572" s="32">
        <v>0</v>
      </c>
      <c r="G1572" s="32">
        <v>1</v>
      </c>
      <c r="H1572" s="35">
        <f ca="1">LEFT(Music_Data[[#This Row],[Duration_minutes]],3)/60</f>
        <v>3.5333333333333332</v>
      </c>
      <c r="I1572" s="34">
        <v>2.1299999999999999E-2</v>
      </c>
      <c r="J1572" s="36" t="str">
        <f t="shared" si="24"/>
        <v>Casi nada popular</v>
      </c>
      <c r="K1572" s="42">
        <v>31778</v>
      </c>
    </row>
    <row r="1573" spans="1:11">
      <c r="A1573" s="39">
        <v>0.48</v>
      </c>
      <c r="B1573" s="37">
        <v>819</v>
      </c>
      <c r="C1573" s="38">
        <v>0.84599999999999997</v>
      </c>
      <c r="D1573" s="39">
        <v>0.41899999999999998</v>
      </c>
      <c r="E1573" s="37">
        <v>68</v>
      </c>
      <c r="F1573" s="37">
        <v>0</v>
      </c>
      <c r="G1573" s="37">
        <v>8</v>
      </c>
      <c r="H1573" s="40">
        <f ca="1">LEFT(Music_Data[[#This Row],[Duration_minutes]],3)/60</f>
        <v>4.333333333333333</v>
      </c>
      <c r="I1573" s="39">
        <v>0.26900000000000002</v>
      </c>
      <c r="J1573" s="41" t="str">
        <f t="shared" si="24"/>
        <v>Casi nada popular</v>
      </c>
      <c r="K1573" s="43">
        <v>29861</v>
      </c>
    </row>
    <row r="1574" spans="1:11">
      <c r="A1574" s="34">
        <v>0.495</v>
      </c>
      <c r="B1574" s="32">
        <v>121</v>
      </c>
      <c r="C1574" s="33">
        <v>0.85299999999999998</v>
      </c>
      <c r="D1574" s="34">
        <v>7.7399999999999997E-2</v>
      </c>
      <c r="E1574" s="32">
        <v>68</v>
      </c>
      <c r="F1574" s="32">
        <v>1</v>
      </c>
      <c r="G1574" s="32">
        <v>6</v>
      </c>
      <c r="H1574" s="35">
        <f ca="1">LEFT(Music_Data[[#This Row],[Duration_minutes]],3)/60</f>
        <v>4.3</v>
      </c>
      <c r="I1574" s="34">
        <v>9.1700000000000004E-2</v>
      </c>
      <c r="J1574" s="36" t="str">
        <f t="shared" si="24"/>
        <v>Casi nada popular</v>
      </c>
      <c r="K1574" s="42">
        <v>1995</v>
      </c>
    </row>
    <row r="1575" spans="1:11">
      <c r="A1575" s="39">
        <v>0.59</v>
      </c>
      <c r="B1575" s="37">
        <v>114</v>
      </c>
      <c r="C1575" s="38">
        <v>0.88</v>
      </c>
      <c r="D1575" s="39">
        <v>0.72299999999999998</v>
      </c>
      <c r="E1575" s="37">
        <v>68</v>
      </c>
      <c r="F1575" s="37">
        <v>0</v>
      </c>
      <c r="G1575" s="37">
        <v>8</v>
      </c>
      <c r="H1575" s="40">
        <f ca="1">LEFT(Music_Data[[#This Row],[Duration_minutes]],3)/60</f>
        <v>2.9666666666666668</v>
      </c>
      <c r="I1575" s="39">
        <v>0.08</v>
      </c>
      <c r="J1575" s="41" t="str">
        <f t="shared" si="24"/>
        <v>Casi nada popular</v>
      </c>
      <c r="K1575" s="43">
        <v>32509</v>
      </c>
    </row>
    <row r="1576" spans="1:11">
      <c r="A1576" s="34">
        <v>0.58599999999999997</v>
      </c>
      <c r="B1576" s="32">
        <v>100</v>
      </c>
      <c r="C1576" s="33">
        <v>0.80800000000000005</v>
      </c>
      <c r="D1576" s="34">
        <v>0.56799999999999995</v>
      </c>
      <c r="E1576" s="32">
        <v>68</v>
      </c>
      <c r="F1576" s="32">
        <v>0</v>
      </c>
      <c r="G1576" s="32">
        <v>10</v>
      </c>
      <c r="H1576" s="35">
        <f ca="1">LEFT(Music_Data[[#This Row],[Duration_minutes]],3)/60</f>
        <v>3.4333333333333331</v>
      </c>
      <c r="I1576" s="34">
        <v>0.64100000000000001</v>
      </c>
      <c r="J1576" s="36" t="str">
        <f t="shared" si="24"/>
        <v>Casi nada popular</v>
      </c>
      <c r="K1576" s="42">
        <v>33876</v>
      </c>
    </row>
    <row r="1577" spans="1:11">
      <c r="A1577" s="39">
        <v>0.629</v>
      </c>
      <c r="B1577" s="37">
        <v>100</v>
      </c>
      <c r="C1577" s="38">
        <v>0.52300000000000002</v>
      </c>
      <c r="D1577" s="39">
        <v>0.20899999999999999</v>
      </c>
      <c r="E1577" s="37">
        <v>68</v>
      </c>
      <c r="F1577" s="37">
        <v>1</v>
      </c>
      <c r="G1577" s="37">
        <v>1</v>
      </c>
      <c r="H1577" s="40">
        <f ca="1">LEFT(Music_Data[[#This Row],[Duration_minutes]],3)/60</f>
        <v>3.4333333333333331</v>
      </c>
      <c r="I1577" s="39">
        <v>0.156</v>
      </c>
      <c r="J1577" s="41" t="str">
        <f t="shared" si="24"/>
        <v>Casi nada popular</v>
      </c>
      <c r="K1577" s="43">
        <v>33876</v>
      </c>
    </row>
    <row r="1578" spans="1:11">
      <c r="A1578" s="34">
        <v>0.67100000000000004</v>
      </c>
      <c r="B1578" s="32">
        <v>152</v>
      </c>
      <c r="C1578" s="33">
        <v>0.60699999999999998</v>
      </c>
      <c r="D1578" s="34">
        <v>0.316</v>
      </c>
      <c r="E1578" s="32">
        <v>68</v>
      </c>
      <c r="F1578" s="32">
        <v>0</v>
      </c>
      <c r="G1578" s="32">
        <v>4</v>
      </c>
      <c r="H1578" s="35">
        <f ca="1">LEFT(Music_Data[[#This Row],[Duration_minutes]],3)/60</f>
        <v>3.8333333333333335</v>
      </c>
      <c r="I1578" s="34">
        <v>0.40300000000000002</v>
      </c>
      <c r="J1578" s="36" t="str">
        <f t="shared" si="24"/>
        <v>Casi nada popular</v>
      </c>
      <c r="K1578" s="42">
        <v>30704</v>
      </c>
    </row>
    <row r="1579" spans="1:11">
      <c r="A1579" s="39">
        <v>0.38500000000000001</v>
      </c>
      <c r="B1579" s="37">
        <v>150</v>
      </c>
      <c r="C1579" s="38">
        <v>0.69</v>
      </c>
      <c r="D1579" s="39">
        <v>0.19</v>
      </c>
      <c r="E1579" s="37">
        <v>68</v>
      </c>
      <c r="F1579" s="37">
        <v>1</v>
      </c>
      <c r="G1579" s="37">
        <v>0</v>
      </c>
      <c r="H1579" s="40">
        <f ca="1">LEFT(Music_Data[[#This Row],[Duration_minutes]],3)/60</f>
        <v>5.1333333333333337</v>
      </c>
      <c r="I1579" s="39">
        <v>0.18099999999999999</v>
      </c>
      <c r="J1579" s="41" t="str">
        <f t="shared" si="24"/>
        <v>Casi nada popular</v>
      </c>
      <c r="K1579" s="43">
        <v>31640</v>
      </c>
    </row>
    <row r="1580" spans="1:11">
      <c r="A1580" s="34">
        <v>0.63700000000000001</v>
      </c>
      <c r="B1580" s="32">
        <v>152</v>
      </c>
      <c r="C1580" s="33">
        <v>0.56699999999999995</v>
      </c>
      <c r="D1580" s="34">
        <v>0.88200000000000001</v>
      </c>
      <c r="E1580" s="32">
        <v>68</v>
      </c>
      <c r="F1580" s="32">
        <v>0</v>
      </c>
      <c r="G1580" s="32">
        <v>9</v>
      </c>
      <c r="H1580" s="35">
        <f ca="1">LEFT(Music_Data[[#This Row],[Duration_minutes]],3)/60</f>
        <v>3.8333333333333335</v>
      </c>
      <c r="I1580" s="34">
        <v>0.499</v>
      </c>
      <c r="J1580" s="36" t="str">
        <f t="shared" si="24"/>
        <v>Casi nada popular</v>
      </c>
      <c r="K1580" s="42">
        <v>30704</v>
      </c>
    </row>
    <row r="1581" spans="1:11">
      <c r="A1581" s="39">
        <v>0.81200000000000006</v>
      </c>
      <c r="B1581" s="37">
        <v>126</v>
      </c>
      <c r="C1581" s="38">
        <v>0.45500000000000002</v>
      </c>
      <c r="D1581" s="39">
        <v>0.82299999999999995</v>
      </c>
      <c r="E1581" s="37">
        <v>68</v>
      </c>
      <c r="F1581" s="37">
        <v>1</v>
      </c>
      <c r="G1581" s="37">
        <v>8</v>
      </c>
      <c r="H1581" s="40">
        <f ca="1">LEFT(Music_Data[[#This Row],[Duration_minutes]],3)/60</f>
        <v>3.9</v>
      </c>
      <c r="I1581" s="39">
        <v>0.372</v>
      </c>
      <c r="J1581" s="41" t="str">
        <f t="shared" si="24"/>
        <v>Casi nada popular</v>
      </c>
      <c r="K1581" s="43">
        <v>45016</v>
      </c>
    </row>
    <row r="1582" spans="1:11">
      <c r="A1582" s="34">
        <v>0.78700000000000003</v>
      </c>
      <c r="B1582" s="32">
        <v>122</v>
      </c>
      <c r="C1582" s="33">
        <v>0.80900000000000005</v>
      </c>
      <c r="D1582" s="34">
        <v>0.9</v>
      </c>
      <c r="E1582" s="32">
        <v>68</v>
      </c>
      <c r="F1582" s="32">
        <v>1</v>
      </c>
      <c r="G1582" s="32">
        <v>8</v>
      </c>
      <c r="H1582" s="35">
        <f ca="1">LEFT(Music_Data[[#This Row],[Duration_minutes]],3)/60</f>
        <v>4.6333333333333337</v>
      </c>
      <c r="I1582" s="34">
        <v>0.126</v>
      </c>
      <c r="J1582" s="36" t="str">
        <f t="shared" si="24"/>
        <v>Casi nada popular</v>
      </c>
      <c r="K1582" s="42">
        <v>30837</v>
      </c>
    </row>
    <row r="1583" spans="1:11">
      <c r="A1583" s="39">
        <v>0.89600000000000002</v>
      </c>
      <c r="B1583" s="37">
        <v>122</v>
      </c>
      <c r="C1583" s="38">
        <v>0.66200000000000003</v>
      </c>
      <c r="D1583" s="39">
        <v>0.79</v>
      </c>
      <c r="E1583" s="37">
        <v>68</v>
      </c>
      <c r="F1583" s="37">
        <v>0</v>
      </c>
      <c r="G1583" s="37">
        <v>5</v>
      </c>
      <c r="H1583" s="40">
        <f ca="1">LEFT(Music_Data[[#This Row],[Duration_minutes]],3)/60</f>
        <v>4.6333333333333337</v>
      </c>
      <c r="I1583" s="39">
        <v>0.318</v>
      </c>
      <c r="J1583" s="41" t="str">
        <f t="shared" si="24"/>
        <v>Casi nada popular</v>
      </c>
      <c r="K1583" s="43">
        <v>30837</v>
      </c>
    </row>
    <row r="1584" spans="1:11">
      <c r="A1584" s="34">
        <v>0.57299999999999995</v>
      </c>
      <c r="B1584" s="32">
        <v>123</v>
      </c>
      <c r="C1584" s="33">
        <v>0.60299999999999998</v>
      </c>
      <c r="D1584" s="34">
        <v>0.23599999999999999</v>
      </c>
      <c r="E1584" s="32">
        <v>68</v>
      </c>
      <c r="F1584" s="32">
        <v>1</v>
      </c>
      <c r="G1584" s="32">
        <v>1</v>
      </c>
      <c r="H1584" s="35">
        <f ca="1">LEFT(Music_Data[[#This Row],[Duration_minutes]],3)/60</f>
        <v>3.5833333333333335</v>
      </c>
      <c r="I1584" s="34">
        <v>0.47799999999999998</v>
      </c>
      <c r="J1584" s="36" t="str">
        <f t="shared" si="24"/>
        <v>Casi nada popular</v>
      </c>
      <c r="K1584" s="42">
        <v>33043</v>
      </c>
    </row>
    <row r="1585" spans="1:11">
      <c r="A1585" s="39">
        <v>0.90300000000000002</v>
      </c>
      <c r="B1585" s="37">
        <v>112</v>
      </c>
      <c r="C1585" s="38">
        <v>0.56200000000000006</v>
      </c>
      <c r="D1585" s="39">
        <v>0.79100000000000004</v>
      </c>
      <c r="E1585" s="37">
        <v>68</v>
      </c>
      <c r="F1585" s="37">
        <v>0</v>
      </c>
      <c r="G1585" s="37">
        <v>8</v>
      </c>
      <c r="H1585" s="40">
        <f ca="1">LEFT(Music_Data[[#This Row],[Duration_minutes]],3)/60</f>
        <v>6.1833333333333336</v>
      </c>
      <c r="I1585" s="39">
        <v>1.8699999999999999E-4</v>
      </c>
      <c r="J1585" s="41" t="str">
        <f t="shared" si="24"/>
        <v>Casi nada popular</v>
      </c>
      <c r="K1585" s="43">
        <v>1977</v>
      </c>
    </row>
    <row r="1586" spans="1:11">
      <c r="A1586" s="34">
        <v>0.65800000000000003</v>
      </c>
      <c r="B1586" s="32">
        <v>112</v>
      </c>
      <c r="C1586" s="33">
        <v>0.61499999999999999</v>
      </c>
      <c r="D1586" s="34">
        <v>0.29299999999999998</v>
      </c>
      <c r="E1586" s="32">
        <v>68</v>
      </c>
      <c r="F1586" s="32">
        <v>1</v>
      </c>
      <c r="G1586" s="32">
        <v>5</v>
      </c>
      <c r="H1586" s="35">
        <f ca="1">LEFT(Music_Data[[#This Row],[Duration_minutes]],3)/60</f>
        <v>6.1833333333333336</v>
      </c>
      <c r="I1586" s="34">
        <v>9.6000000000000002E-2</v>
      </c>
      <c r="J1586" s="36" t="str">
        <f t="shared" si="24"/>
        <v>Casi nada popular</v>
      </c>
      <c r="K1586" s="42">
        <v>1977</v>
      </c>
    </row>
    <row r="1587" spans="1:11">
      <c r="A1587" s="39">
        <v>0.501</v>
      </c>
      <c r="B1587" s="37">
        <v>849</v>
      </c>
      <c r="C1587" s="38">
        <v>0.78100000000000003</v>
      </c>
      <c r="D1587" s="39">
        <v>0.96099999999999997</v>
      </c>
      <c r="E1587" s="37">
        <v>68</v>
      </c>
      <c r="F1587" s="37">
        <v>1</v>
      </c>
      <c r="G1587" s="37">
        <v>3</v>
      </c>
      <c r="H1587" s="40">
        <f ca="1">LEFT(Music_Data[[#This Row],[Duration_minutes]],3)/60</f>
        <v>4.45</v>
      </c>
      <c r="I1587" s="39">
        <v>0.66</v>
      </c>
      <c r="J1587" s="41" t="str">
        <f t="shared" si="24"/>
        <v>Casi nada popular</v>
      </c>
      <c r="K1587" s="43">
        <v>31992</v>
      </c>
    </row>
    <row r="1588" spans="1:11">
      <c r="A1588" s="34">
        <v>0.36099999999999999</v>
      </c>
      <c r="B1588" s="32">
        <v>849</v>
      </c>
      <c r="C1588" s="33">
        <v>0.36299999999999999</v>
      </c>
      <c r="D1588" s="34">
        <v>0.61199999999999999</v>
      </c>
      <c r="E1588" s="32">
        <v>68</v>
      </c>
      <c r="F1588" s="32">
        <v>1</v>
      </c>
      <c r="G1588" s="32">
        <v>9</v>
      </c>
      <c r="H1588" s="35">
        <f ca="1">LEFT(Music_Data[[#This Row],[Duration_minutes]],3)/60</f>
        <v>4.45</v>
      </c>
      <c r="I1588" s="34">
        <v>0.623</v>
      </c>
      <c r="J1588" s="36" t="str">
        <f t="shared" si="24"/>
        <v>Casi nada popular</v>
      </c>
      <c r="K1588" s="42">
        <v>31992</v>
      </c>
    </row>
    <row r="1589" spans="1:11">
      <c r="A1589" s="39">
        <v>0.57599999999999996</v>
      </c>
      <c r="B1589" s="37">
        <v>105</v>
      </c>
      <c r="C1589" s="38">
        <v>0.625</v>
      </c>
      <c r="D1589" s="39">
        <v>0.23499999999999999</v>
      </c>
      <c r="E1589" s="37">
        <v>68</v>
      </c>
      <c r="F1589" s="37">
        <v>0</v>
      </c>
      <c r="G1589" s="37">
        <v>11</v>
      </c>
      <c r="H1589" s="40">
        <f ca="1">LEFT(Music_Data[[#This Row],[Duration_minutes]],3)/60</f>
        <v>3.55</v>
      </c>
      <c r="I1589" s="39">
        <v>5.4300000000000001E-2</v>
      </c>
      <c r="J1589" s="41" t="str">
        <f t="shared" si="24"/>
        <v>Casi nada popular</v>
      </c>
      <c r="K1589" s="43">
        <v>2003</v>
      </c>
    </row>
    <row r="1590" spans="1:11">
      <c r="A1590" s="34">
        <v>0.46700000000000003</v>
      </c>
      <c r="B1590" s="32">
        <v>113</v>
      </c>
      <c r="C1590" s="33">
        <v>0.84499999999999997</v>
      </c>
      <c r="D1590" s="34">
        <v>0.70199999999999996</v>
      </c>
      <c r="E1590" s="32">
        <v>68</v>
      </c>
      <c r="F1590" s="32">
        <v>1</v>
      </c>
      <c r="G1590" s="32">
        <v>1</v>
      </c>
      <c r="H1590" s="35">
        <f ca="1">LEFT(Music_Data[[#This Row],[Duration_minutes]],3)/60</f>
        <v>4</v>
      </c>
      <c r="I1590" s="34">
        <v>5.8599999999999999E-2</v>
      </c>
      <c r="J1590" s="36" t="str">
        <f t="shared" si="24"/>
        <v>Casi nada popular</v>
      </c>
      <c r="K1590" s="42">
        <v>25136</v>
      </c>
    </row>
    <row r="1591" spans="1:11">
      <c r="A1591" s="39">
        <v>0.84099999999999997</v>
      </c>
      <c r="B1591" s="37">
        <v>119</v>
      </c>
      <c r="C1591" s="38">
        <v>0.754</v>
      </c>
      <c r="D1591" s="39">
        <v>0.83799999999999997</v>
      </c>
      <c r="E1591" s="37">
        <v>68</v>
      </c>
      <c r="F1591" s="37">
        <v>1</v>
      </c>
      <c r="G1591" s="37">
        <v>2</v>
      </c>
      <c r="H1591" s="40">
        <f ca="1">LEFT(Music_Data[[#This Row],[Duration_minutes]],3)/60</f>
        <v>4.1333333333333337</v>
      </c>
      <c r="I1591" s="39">
        <v>0.13600000000000001</v>
      </c>
      <c r="J1591" s="41" t="str">
        <f t="shared" si="24"/>
        <v>Casi nada popular</v>
      </c>
      <c r="K1591" s="43">
        <v>37180</v>
      </c>
    </row>
    <row r="1592" spans="1:11">
      <c r="A1592" s="34">
        <v>0.70499999999999996</v>
      </c>
      <c r="B1592" s="32">
        <v>970</v>
      </c>
      <c r="C1592" s="33">
        <v>0.374</v>
      </c>
      <c r="D1592" s="34">
        <v>0.71799999999999997</v>
      </c>
      <c r="E1592" s="32">
        <v>68</v>
      </c>
      <c r="F1592" s="32">
        <v>1</v>
      </c>
      <c r="G1592" s="32">
        <v>11</v>
      </c>
      <c r="H1592" s="35">
        <f ca="1">LEFT(Music_Data[[#This Row],[Duration_minutes]],3)/60</f>
        <v>3.6</v>
      </c>
      <c r="I1592" s="34">
        <v>0.17199999999999999</v>
      </c>
      <c r="J1592" s="36" t="str">
        <f t="shared" si="24"/>
        <v>Casi nada popular</v>
      </c>
      <c r="K1592" s="42">
        <v>37987</v>
      </c>
    </row>
    <row r="1593" spans="1:11">
      <c r="A1593" s="39">
        <v>0.52</v>
      </c>
      <c r="B1593" s="37">
        <v>970</v>
      </c>
      <c r="C1593" s="38">
        <v>0.57799999999999996</v>
      </c>
      <c r="D1593" s="39">
        <v>0.42499999999999999</v>
      </c>
      <c r="E1593" s="37">
        <v>68</v>
      </c>
      <c r="F1593" s="37">
        <v>0</v>
      </c>
      <c r="G1593" s="37">
        <v>11</v>
      </c>
      <c r="H1593" s="40">
        <f ca="1">LEFT(Music_Data[[#This Row],[Duration_minutes]],3)/60</f>
        <v>3.4166666666666665</v>
      </c>
      <c r="I1593" s="39">
        <v>0.55400000000000005</v>
      </c>
      <c r="J1593" s="41" t="str">
        <f t="shared" si="24"/>
        <v>Casi nada popular</v>
      </c>
      <c r="K1593" s="43">
        <v>37257</v>
      </c>
    </row>
    <row r="1594" spans="1:11">
      <c r="A1594" s="34">
        <v>0.65100000000000002</v>
      </c>
      <c r="B1594" s="32">
        <v>897</v>
      </c>
      <c r="C1594" s="33">
        <v>0.49</v>
      </c>
      <c r="D1594" s="34">
        <v>0.56699999999999995</v>
      </c>
      <c r="E1594" s="32">
        <v>68</v>
      </c>
      <c r="F1594" s="32">
        <v>1</v>
      </c>
      <c r="G1594" s="32">
        <v>11</v>
      </c>
      <c r="H1594" s="35">
        <f ca="1">LEFT(Music_Data[[#This Row],[Duration_minutes]],3)/60</f>
        <v>5.55</v>
      </c>
      <c r="I1594" s="34">
        <v>0.71399999999999997</v>
      </c>
      <c r="J1594" s="36" t="str">
        <f t="shared" si="24"/>
        <v>Casi nada popular</v>
      </c>
      <c r="K1594" s="42">
        <v>25498</v>
      </c>
    </row>
    <row r="1595" spans="1:11">
      <c r="A1595" s="39">
        <v>0.80800000000000005</v>
      </c>
      <c r="B1595" s="37">
        <v>812</v>
      </c>
      <c r="C1595" s="38">
        <v>0.57599999999999996</v>
      </c>
      <c r="D1595" s="39">
        <v>0.17199999999999999</v>
      </c>
      <c r="E1595" s="37">
        <v>68</v>
      </c>
      <c r="F1595" s="37">
        <v>1</v>
      </c>
      <c r="G1595" s="37">
        <v>1</v>
      </c>
      <c r="H1595" s="40">
        <f ca="1">LEFT(Music_Data[[#This Row],[Duration_minutes]],3)/60</f>
        <v>3.8166666666666669</v>
      </c>
      <c r="I1595" s="39">
        <v>6.1500000000000001E-3</v>
      </c>
      <c r="J1595" s="41" t="str">
        <f t="shared" si="24"/>
        <v>Casi nada popular</v>
      </c>
      <c r="K1595" s="43">
        <v>35709</v>
      </c>
    </row>
    <row r="1596" spans="1:11">
      <c r="A1596" s="34">
        <v>0.89100000000000001</v>
      </c>
      <c r="B1596" s="32">
        <v>915</v>
      </c>
      <c r="C1596" s="33">
        <v>0.28299999999999997</v>
      </c>
      <c r="D1596" s="34">
        <v>0.22600000000000001</v>
      </c>
      <c r="E1596" s="32">
        <v>68</v>
      </c>
      <c r="F1596" s="32">
        <v>1</v>
      </c>
      <c r="G1596" s="32">
        <v>2</v>
      </c>
      <c r="H1596" s="35">
        <f ca="1">LEFT(Music_Data[[#This Row],[Duration_minutes]],3)/60</f>
        <v>4.7</v>
      </c>
      <c r="I1596" s="34">
        <v>6.7799999999999996E-3</v>
      </c>
      <c r="J1596" s="36" t="str">
        <f t="shared" si="24"/>
        <v>Casi nada popular</v>
      </c>
      <c r="K1596" s="42">
        <v>33505</v>
      </c>
    </row>
    <row r="1597" spans="1:11">
      <c r="A1597" s="39">
        <v>0.71399999999999997</v>
      </c>
      <c r="B1597" s="37">
        <v>170</v>
      </c>
      <c r="C1597" s="38">
        <v>0.56699999999999995</v>
      </c>
      <c r="D1597" s="39">
        <v>0.191</v>
      </c>
      <c r="E1597" s="37">
        <v>68</v>
      </c>
      <c r="F1597" s="37">
        <v>0</v>
      </c>
      <c r="G1597" s="37">
        <v>9</v>
      </c>
      <c r="H1597" s="40">
        <f ca="1">LEFT(Music_Data[[#This Row],[Duration_minutes]],3)/60</f>
        <v>3.2333333333333334</v>
      </c>
      <c r="I1597" s="39">
        <v>1.1999999999999999E-3</v>
      </c>
      <c r="J1597" s="41" t="str">
        <f t="shared" si="24"/>
        <v>Casi nada popular</v>
      </c>
      <c r="K1597" s="43">
        <v>34492</v>
      </c>
    </row>
    <row r="1598" spans="1:11">
      <c r="A1598" s="34">
        <v>0.66100000000000003</v>
      </c>
      <c r="B1598" s="32">
        <v>898</v>
      </c>
      <c r="C1598" s="33">
        <v>0.83599999999999997</v>
      </c>
      <c r="D1598" s="34">
        <v>0.753</v>
      </c>
      <c r="E1598" s="32">
        <v>68</v>
      </c>
      <c r="F1598" s="32">
        <v>0</v>
      </c>
      <c r="G1598" s="32">
        <v>7</v>
      </c>
      <c r="H1598" s="35">
        <f ca="1">LEFT(Music_Data[[#This Row],[Duration_minutes]],3)/60</f>
        <v>2.4166666666666665</v>
      </c>
      <c r="I1598" s="34">
        <v>2.0799999999999999E-2</v>
      </c>
      <c r="J1598" s="36" t="str">
        <f t="shared" si="24"/>
        <v>Casi nada popular</v>
      </c>
      <c r="K1598" s="42">
        <v>24476</v>
      </c>
    </row>
    <row r="1599" spans="1:11">
      <c r="A1599" s="39">
        <v>0.73299999999999998</v>
      </c>
      <c r="B1599" s="37">
        <v>141</v>
      </c>
      <c r="C1599" s="38">
        <v>0.88300000000000001</v>
      </c>
      <c r="D1599" s="39">
        <v>0.94599999999999995</v>
      </c>
      <c r="E1599" s="37">
        <v>68</v>
      </c>
      <c r="F1599" s="37">
        <v>0</v>
      </c>
      <c r="G1599" s="37">
        <v>11</v>
      </c>
      <c r="H1599" s="40">
        <f ca="1">LEFT(Music_Data[[#This Row],[Duration_minutes]],3)/60</f>
        <v>3.5</v>
      </c>
      <c r="I1599" s="39">
        <v>0.161</v>
      </c>
      <c r="J1599" s="41" t="str">
        <f t="shared" si="24"/>
        <v>Casi nada popular</v>
      </c>
      <c r="K1599" s="43">
        <v>30685</v>
      </c>
    </row>
    <row r="1600" spans="1:11">
      <c r="A1600" s="34">
        <v>0.54</v>
      </c>
      <c r="B1600" s="32">
        <v>141</v>
      </c>
      <c r="C1600" s="33">
        <v>0.77300000000000002</v>
      </c>
      <c r="D1600" s="34">
        <v>0.32200000000000001</v>
      </c>
      <c r="E1600" s="32">
        <v>68</v>
      </c>
      <c r="F1600" s="32">
        <v>1</v>
      </c>
      <c r="G1600" s="32">
        <v>6</v>
      </c>
      <c r="H1600" s="35">
        <f ca="1">LEFT(Music_Data[[#This Row],[Duration_minutes]],3)/60</f>
        <v>3.5</v>
      </c>
      <c r="I1600" s="34">
        <v>0.371</v>
      </c>
      <c r="J1600" s="36" t="str">
        <f t="shared" si="24"/>
        <v>Casi nada popular</v>
      </c>
      <c r="K1600" s="42">
        <v>30685</v>
      </c>
    </row>
    <row r="1601" spans="1:11">
      <c r="A1601" s="39">
        <v>0.70299999999999996</v>
      </c>
      <c r="B1601" s="37">
        <v>209</v>
      </c>
      <c r="C1601" s="38">
        <v>0.81299999999999994</v>
      </c>
      <c r="D1601" s="39">
        <v>0.24099999999999999</v>
      </c>
      <c r="E1601" s="37">
        <v>68</v>
      </c>
      <c r="F1601" s="37">
        <v>0</v>
      </c>
      <c r="G1601" s="37">
        <v>11</v>
      </c>
      <c r="H1601" s="40">
        <f ca="1">LEFT(Music_Data[[#This Row],[Duration_minutes]],3)/60</f>
        <v>3.55</v>
      </c>
      <c r="I1601" s="39">
        <v>0.125</v>
      </c>
      <c r="J1601" s="41" t="str">
        <f t="shared" si="24"/>
        <v>Casi nada popular</v>
      </c>
      <c r="K1601" s="43">
        <v>43692</v>
      </c>
    </row>
    <row r="1602" spans="1:11">
      <c r="A1602" s="34">
        <v>0.66600000000000004</v>
      </c>
      <c r="B1602" s="32">
        <v>168</v>
      </c>
      <c r="C1602" s="33">
        <v>0.84799999999999998</v>
      </c>
      <c r="D1602" s="34">
        <v>0.74399999999999999</v>
      </c>
      <c r="E1602" s="32">
        <v>68</v>
      </c>
      <c r="F1602" s="32">
        <v>1</v>
      </c>
      <c r="G1602" s="32">
        <v>0</v>
      </c>
      <c r="H1602" s="35">
        <f ca="1">LEFT(Music_Data[[#This Row],[Duration_minutes]],3)/60</f>
        <v>2.9666666666666668</v>
      </c>
      <c r="I1602" s="34">
        <v>0.17299999999999999</v>
      </c>
      <c r="J1602" s="36" t="str">
        <f t="shared" si="24"/>
        <v>Casi nada popular</v>
      </c>
      <c r="K1602" s="42">
        <v>34477</v>
      </c>
    </row>
    <row r="1603" spans="1:11">
      <c r="A1603" s="39">
        <v>0.73199999999999998</v>
      </c>
      <c r="B1603" s="37">
        <v>126</v>
      </c>
      <c r="C1603" s="38">
        <v>0.59799999999999998</v>
      </c>
      <c r="D1603" s="39">
        <v>0.59499999999999997</v>
      </c>
      <c r="E1603" s="37">
        <v>68</v>
      </c>
      <c r="F1603" s="37">
        <v>1</v>
      </c>
      <c r="G1603" s="37">
        <v>4</v>
      </c>
      <c r="H1603" s="40">
        <f ca="1">LEFT(Music_Data[[#This Row],[Duration_minutes]],3)/60</f>
        <v>3.8833333333333333</v>
      </c>
      <c r="I1603" s="39">
        <v>0.14399999999999999</v>
      </c>
      <c r="J1603" s="41" t="str">
        <f t="shared" si="24"/>
        <v>Casi nada popular</v>
      </c>
      <c r="K1603" s="43">
        <v>30991</v>
      </c>
    </row>
    <row r="1604" spans="1:11">
      <c r="A1604" s="34">
        <v>0.85799999999999998</v>
      </c>
      <c r="B1604" s="32">
        <v>870</v>
      </c>
      <c r="C1604" s="33">
        <v>0.503</v>
      </c>
      <c r="D1604" s="34">
        <v>0.41899999999999998</v>
      </c>
      <c r="E1604" s="32">
        <v>68</v>
      </c>
      <c r="F1604" s="32">
        <v>1</v>
      </c>
      <c r="G1604" s="32">
        <v>8</v>
      </c>
      <c r="H1604" s="35">
        <f ca="1">LEFT(Music_Data[[#This Row],[Duration_minutes]],3)/60</f>
        <v>2.1</v>
      </c>
      <c r="I1604" s="34">
        <v>7.5700000000000003E-3</v>
      </c>
      <c r="J1604" s="36" t="str">
        <f t="shared" ref="J1604:J1667" si="25">IF(E1604&gt;=94,"Muy Popular",IF(E1604&gt;=86,"Popular",IF(E1604&gt;=78,"No muy popular","Casi nada popular")))</f>
        <v>Casi nada popular</v>
      </c>
      <c r="K1604" s="42">
        <v>43630</v>
      </c>
    </row>
    <row r="1605" spans="1:11">
      <c r="A1605" s="39">
        <v>0.63200000000000001</v>
      </c>
      <c r="B1605" s="37">
        <v>127</v>
      </c>
      <c r="C1605" s="38">
        <v>0.53100000000000003</v>
      </c>
      <c r="D1605" s="39">
        <v>0.29399999999999998</v>
      </c>
      <c r="E1605" s="37">
        <v>68</v>
      </c>
      <c r="F1605" s="37">
        <v>1</v>
      </c>
      <c r="G1605" s="37">
        <v>6</v>
      </c>
      <c r="H1605" s="40">
        <f ca="1">LEFT(Music_Data[[#This Row],[Duration_minutes]],3)/60</f>
        <v>3.6666666666666665</v>
      </c>
      <c r="I1605" s="39">
        <v>0.16</v>
      </c>
      <c r="J1605" s="41" t="str">
        <f t="shared" si="25"/>
        <v>Casi nada popular</v>
      </c>
      <c r="K1605" s="43">
        <v>30081</v>
      </c>
    </row>
    <row r="1606" spans="1:11">
      <c r="A1606" s="34">
        <v>0.69299999999999995</v>
      </c>
      <c r="B1606" s="32">
        <v>159</v>
      </c>
      <c r="C1606" s="33">
        <v>0.70199999999999996</v>
      </c>
      <c r="D1606" s="34">
        <v>0.57199999999999995</v>
      </c>
      <c r="E1606" s="32">
        <v>68</v>
      </c>
      <c r="F1606" s="32">
        <v>0</v>
      </c>
      <c r="G1606" s="32">
        <v>5</v>
      </c>
      <c r="H1606" s="35">
        <f ca="1">LEFT(Music_Data[[#This Row],[Duration_minutes]],3)/60</f>
        <v>4.2</v>
      </c>
      <c r="I1606" s="34">
        <v>0.13900000000000001</v>
      </c>
      <c r="J1606" s="36" t="str">
        <f t="shared" si="25"/>
        <v>Casi nada popular</v>
      </c>
      <c r="K1606" s="42">
        <v>1983</v>
      </c>
    </row>
    <row r="1607" spans="1:11">
      <c r="A1607" s="39">
        <v>0.78600000000000003</v>
      </c>
      <c r="B1607" s="37">
        <v>129</v>
      </c>
      <c r="C1607" s="38">
        <v>0.78100000000000003</v>
      </c>
      <c r="D1607" s="39">
        <v>0.75900000000000001</v>
      </c>
      <c r="E1607" s="37">
        <v>68</v>
      </c>
      <c r="F1607" s="37">
        <v>0</v>
      </c>
      <c r="G1607" s="37">
        <v>6</v>
      </c>
      <c r="H1607" s="40">
        <f ca="1">LEFT(Music_Data[[#This Row],[Duration_minutes]],3)/60</f>
        <v>3.5166666666666666</v>
      </c>
      <c r="I1607" s="39">
        <v>0.115</v>
      </c>
      <c r="J1607" s="41" t="str">
        <f t="shared" si="25"/>
        <v>Casi nada popular</v>
      </c>
      <c r="K1607" s="43">
        <v>34037</v>
      </c>
    </row>
    <row r="1608" spans="1:11">
      <c r="A1608" s="34">
        <v>0.80400000000000005</v>
      </c>
      <c r="B1608" s="32">
        <v>804</v>
      </c>
      <c r="C1608" s="33">
        <v>0.82</v>
      </c>
      <c r="D1608" s="34">
        <v>0.84399999999999997</v>
      </c>
      <c r="E1608" s="32">
        <v>68</v>
      </c>
      <c r="F1608" s="32">
        <v>1</v>
      </c>
      <c r="G1608" s="32">
        <v>9</v>
      </c>
      <c r="H1608" s="35">
        <f ca="1">LEFT(Music_Data[[#This Row],[Duration_minutes]],3)/60</f>
        <v>3.4833333333333334</v>
      </c>
      <c r="I1608" s="34">
        <v>0.17499999999999999</v>
      </c>
      <c r="J1608" s="36" t="str">
        <f t="shared" si="25"/>
        <v>Casi nada popular</v>
      </c>
      <c r="K1608" s="42">
        <v>39216</v>
      </c>
    </row>
    <row r="1609" spans="1:11">
      <c r="A1609" s="39">
        <v>0.85599999999999998</v>
      </c>
      <c r="B1609" s="37">
        <v>164</v>
      </c>
      <c r="C1609" s="38">
        <v>0.748</v>
      </c>
      <c r="D1609" s="39">
        <v>0.92700000000000005</v>
      </c>
      <c r="E1609" s="37">
        <v>68</v>
      </c>
      <c r="F1609" s="37">
        <v>0</v>
      </c>
      <c r="G1609" s="37">
        <v>11</v>
      </c>
      <c r="H1609" s="40">
        <f ca="1">LEFT(Music_Data[[#This Row],[Duration_minutes]],3)/60</f>
        <v>4.3499999999999996</v>
      </c>
      <c r="I1609" s="39">
        <v>8.2400000000000001E-2</v>
      </c>
      <c r="J1609" s="41" t="str">
        <f t="shared" si="25"/>
        <v>Casi nada popular</v>
      </c>
      <c r="K1609" s="43">
        <v>39756</v>
      </c>
    </row>
    <row r="1610" spans="1:11">
      <c r="A1610" s="34">
        <v>0.66200000000000003</v>
      </c>
      <c r="B1610" s="32">
        <v>127</v>
      </c>
      <c r="C1610" s="33">
        <v>0.89200000000000002</v>
      </c>
      <c r="D1610" s="34">
        <v>0.60699999999999998</v>
      </c>
      <c r="E1610" s="32">
        <v>68</v>
      </c>
      <c r="F1610" s="32">
        <v>1</v>
      </c>
      <c r="G1610" s="32">
        <v>8</v>
      </c>
      <c r="H1610" s="35">
        <f ca="1">LEFT(Music_Data[[#This Row],[Duration_minutes]],3)/60</f>
        <v>6.3666666666666663</v>
      </c>
      <c r="I1610" s="34">
        <v>0.16900000000000001</v>
      </c>
      <c r="J1610" s="36" t="str">
        <f t="shared" si="25"/>
        <v>Casi nada popular</v>
      </c>
      <c r="K1610" s="42">
        <v>29189</v>
      </c>
    </row>
    <row r="1611" spans="1:11">
      <c r="A1611" s="39">
        <v>0.57599999999999996</v>
      </c>
      <c r="B1611" s="37">
        <v>109</v>
      </c>
      <c r="C1611" s="38">
        <v>0.77</v>
      </c>
      <c r="D1611" s="39">
        <v>0.36399999999999999</v>
      </c>
      <c r="E1611" s="37">
        <v>68</v>
      </c>
      <c r="F1611" s="37">
        <v>0</v>
      </c>
      <c r="G1611" s="37">
        <v>8</v>
      </c>
      <c r="H1611" s="40">
        <f ca="1">LEFT(Music_Data[[#This Row],[Duration_minutes]],3)/60</f>
        <v>3.5666666666666669</v>
      </c>
      <c r="I1611" s="39">
        <v>0.13800000000000001</v>
      </c>
      <c r="J1611" s="41" t="str">
        <f t="shared" si="25"/>
        <v>Casi nada popular</v>
      </c>
      <c r="K1611" s="43">
        <v>29399</v>
      </c>
    </row>
    <row r="1612" spans="1:11">
      <c r="A1612" s="34">
        <v>0.44400000000000001</v>
      </c>
      <c r="B1612" s="32">
        <v>109</v>
      </c>
      <c r="C1612" s="33">
        <v>0.90600000000000003</v>
      </c>
      <c r="D1612" s="34">
        <v>0.67800000000000005</v>
      </c>
      <c r="E1612" s="32">
        <v>68</v>
      </c>
      <c r="F1612" s="32">
        <v>0</v>
      </c>
      <c r="G1612" s="32">
        <v>4</v>
      </c>
      <c r="H1612" s="35">
        <f ca="1">LEFT(Music_Data[[#This Row],[Duration_minutes]],3)/60</f>
        <v>3.5666666666666669</v>
      </c>
      <c r="I1612" s="34">
        <v>0.13600000000000001</v>
      </c>
      <c r="J1612" s="36" t="str">
        <f t="shared" si="25"/>
        <v>Casi nada popular</v>
      </c>
      <c r="K1612" s="42">
        <v>29399</v>
      </c>
    </row>
    <row r="1613" spans="1:11">
      <c r="A1613" s="39">
        <v>0.70099999999999996</v>
      </c>
      <c r="B1613" s="37">
        <v>979</v>
      </c>
      <c r="C1613" s="38">
        <v>0.71</v>
      </c>
      <c r="D1613" s="39">
        <v>0.56399999999999995</v>
      </c>
      <c r="E1613" s="37">
        <v>68</v>
      </c>
      <c r="F1613" s="37">
        <v>1</v>
      </c>
      <c r="G1613" s="37">
        <v>11</v>
      </c>
      <c r="H1613" s="40">
        <f ca="1">LEFT(Music_Data[[#This Row],[Duration_minutes]],3)/60</f>
        <v>6.55</v>
      </c>
      <c r="I1613" s="39">
        <v>1.0500000000000001E-2</v>
      </c>
      <c r="J1613" s="41" t="str">
        <f t="shared" si="25"/>
        <v>Casi nada popular</v>
      </c>
      <c r="K1613" s="43">
        <v>31103</v>
      </c>
    </row>
    <row r="1614" spans="1:11">
      <c r="A1614" s="34">
        <v>0.48</v>
      </c>
      <c r="B1614" s="32">
        <v>129</v>
      </c>
      <c r="C1614" s="33">
        <v>0.84599999999999997</v>
      </c>
      <c r="D1614" s="34">
        <v>0.41899999999999998</v>
      </c>
      <c r="E1614" s="32">
        <v>68</v>
      </c>
      <c r="F1614" s="32">
        <v>0</v>
      </c>
      <c r="G1614" s="32">
        <v>8</v>
      </c>
      <c r="H1614" s="35">
        <f ca="1">LEFT(Music_Data[[#This Row],[Duration_minutes]],3)/60</f>
        <v>3.7</v>
      </c>
      <c r="I1614" s="34">
        <v>0.26900000000000002</v>
      </c>
      <c r="J1614" s="36" t="str">
        <f t="shared" si="25"/>
        <v>Casi nada popular</v>
      </c>
      <c r="K1614" s="42">
        <v>1982</v>
      </c>
    </row>
    <row r="1615" spans="1:11">
      <c r="A1615" s="39">
        <v>0.65100000000000002</v>
      </c>
      <c r="B1615" s="37">
        <v>105</v>
      </c>
      <c r="C1615" s="38">
        <v>0.49</v>
      </c>
      <c r="D1615" s="39">
        <v>0.56699999999999995</v>
      </c>
      <c r="E1615" s="37">
        <v>68</v>
      </c>
      <c r="F1615" s="37">
        <v>1</v>
      </c>
      <c r="G1615" s="37">
        <v>11</v>
      </c>
      <c r="H1615" s="40">
        <f ca="1">LEFT(Music_Data[[#This Row],[Duration_minutes]],3)/60</f>
        <v>4.2833333333333332</v>
      </c>
      <c r="I1615" s="39">
        <v>0.71399999999999997</v>
      </c>
      <c r="J1615" s="41" t="str">
        <f t="shared" si="25"/>
        <v>Casi nada popular</v>
      </c>
      <c r="K1615" s="43">
        <v>37704</v>
      </c>
    </row>
    <row r="1616" spans="1:11">
      <c r="A1616" s="34">
        <v>0.64</v>
      </c>
      <c r="B1616" s="32">
        <v>190</v>
      </c>
      <c r="C1616" s="33">
        <v>0.86899999999999999</v>
      </c>
      <c r="D1616" s="34">
        <v>0.53500000000000003</v>
      </c>
      <c r="E1616" s="32">
        <v>68</v>
      </c>
      <c r="F1616" s="32">
        <v>0</v>
      </c>
      <c r="G1616" s="32">
        <v>5</v>
      </c>
      <c r="H1616" s="35">
        <f ca="1">LEFT(Music_Data[[#This Row],[Duration_minutes]],3)/60</f>
        <v>6.8</v>
      </c>
      <c r="I1616" s="34">
        <v>1.0999999999999999E-2</v>
      </c>
      <c r="J1616" s="36" t="str">
        <f t="shared" si="25"/>
        <v>Casi nada popular</v>
      </c>
      <c r="K1616" s="42">
        <v>1984</v>
      </c>
    </row>
    <row r="1617" spans="1:11">
      <c r="A1617" s="39">
        <v>0.52</v>
      </c>
      <c r="B1617" s="37">
        <v>147</v>
      </c>
      <c r="C1617" s="38">
        <v>0.57799999999999996</v>
      </c>
      <c r="D1617" s="39">
        <v>0.42499999999999999</v>
      </c>
      <c r="E1617" s="37">
        <v>68</v>
      </c>
      <c r="F1617" s="37">
        <v>0</v>
      </c>
      <c r="G1617" s="37">
        <v>11</v>
      </c>
      <c r="H1617" s="40">
        <f ca="1">LEFT(Music_Data[[#This Row],[Duration_minutes]],3)/60</f>
        <v>4.2</v>
      </c>
      <c r="I1617" s="39">
        <v>0.55400000000000005</v>
      </c>
      <c r="J1617" s="41" t="str">
        <f t="shared" si="25"/>
        <v>Casi nada popular</v>
      </c>
      <c r="K1617" s="43">
        <v>29952</v>
      </c>
    </row>
    <row r="1618" spans="1:11">
      <c r="A1618" s="34">
        <v>0.84099999999999997</v>
      </c>
      <c r="B1618" s="32">
        <v>146</v>
      </c>
      <c r="C1618" s="33">
        <v>0.754</v>
      </c>
      <c r="D1618" s="34">
        <v>0.83799999999999997</v>
      </c>
      <c r="E1618" s="32">
        <v>68</v>
      </c>
      <c r="F1618" s="32">
        <v>1</v>
      </c>
      <c r="G1618" s="32">
        <v>2</v>
      </c>
      <c r="H1618" s="35">
        <f ca="1">LEFT(Music_Data[[#This Row],[Duration_minutes]],3)/60</f>
        <v>4.4833333333333334</v>
      </c>
      <c r="I1618" s="34">
        <v>0.13600000000000001</v>
      </c>
      <c r="J1618" s="36" t="str">
        <f t="shared" si="25"/>
        <v>Casi nada popular</v>
      </c>
      <c r="K1618" s="42">
        <v>27631</v>
      </c>
    </row>
    <row r="1619" spans="1:11">
      <c r="A1619" s="39">
        <v>0.59499999999999997</v>
      </c>
      <c r="B1619" s="37">
        <v>117</v>
      </c>
      <c r="C1619" s="38">
        <v>0.51900000000000002</v>
      </c>
      <c r="D1619" s="39">
        <v>0.23699999999999999</v>
      </c>
      <c r="E1619" s="37">
        <v>68</v>
      </c>
      <c r="F1619" s="37">
        <v>1</v>
      </c>
      <c r="G1619" s="37">
        <v>2</v>
      </c>
      <c r="H1619" s="40">
        <f ca="1">LEFT(Music_Data[[#This Row],[Duration_minutes]],3)/60</f>
        <v>4.2333333333333334</v>
      </c>
      <c r="I1619" s="39">
        <v>1.5100000000000001E-3</v>
      </c>
      <c r="J1619" s="41" t="str">
        <f t="shared" si="25"/>
        <v>Casi nada popular</v>
      </c>
      <c r="K1619" s="43">
        <v>30837</v>
      </c>
    </row>
    <row r="1620" spans="1:11">
      <c r="A1620" s="34">
        <v>0.48599999999999999</v>
      </c>
      <c r="B1620" s="32">
        <v>131</v>
      </c>
      <c r="C1620" s="33">
        <v>0.55600000000000005</v>
      </c>
      <c r="D1620" s="34">
        <v>0.24299999999999999</v>
      </c>
      <c r="E1620" s="32">
        <v>68</v>
      </c>
      <c r="F1620" s="32">
        <v>1</v>
      </c>
      <c r="G1620" s="32">
        <v>2</v>
      </c>
      <c r="H1620" s="35">
        <f ca="1">LEFT(Music_Data[[#This Row],[Duration_minutes]],3)/60</f>
        <v>5.3833333333333337</v>
      </c>
      <c r="I1620" s="34">
        <v>3.7100000000000001E-2</v>
      </c>
      <c r="J1620" s="36" t="str">
        <f t="shared" si="25"/>
        <v>Casi nada popular</v>
      </c>
      <c r="K1620" s="42">
        <v>30348</v>
      </c>
    </row>
    <row r="1621" spans="1:11">
      <c r="A1621" s="39">
        <v>0.64500000000000002</v>
      </c>
      <c r="B1621" s="37">
        <v>769</v>
      </c>
      <c r="C1621" s="38">
        <v>0.55200000000000005</v>
      </c>
      <c r="D1621" s="39">
        <v>0.58799999999999997</v>
      </c>
      <c r="E1621" s="37">
        <v>68</v>
      </c>
      <c r="F1621" s="37">
        <v>1</v>
      </c>
      <c r="G1621" s="37">
        <v>7</v>
      </c>
      <c r="H1621" s="40">
        <f ca="1">LEFT(Music_Data[[#This Row],[Duration_minutes]],3)/60</f>
        <v>3.2666666666666666</v>
      </c>
      <c r="I1621" s="39">
        <v>1.8699999999999999E-3</v>
      </c>
      <c r="J1621" s="41" t="str">
        <f t="shared" si="25"/>
        <v>Casi nada popular</v>
      </c>
      <c r="K1621" s="43">
        <v>37987</v>
      </c>
    </row>
    <row r="1622" spans="1:11">
      <c r="A1622" s="34">
        <v>0.96399999999999997</v>
      </c>
      <c r="B1622" s="32">
        <v>117</v>
      </c>
      <c r="C1622" s="33">
        <v>0.44500000000000001</v>
      </c>
      <c r="D1622" s="34">
        <v>0.44800000000000001</v>
      </c>
      <c r="E1622" s="32">
        <v>68</v>
      </c>
      <c r="F1622" s="32">
        <v>1</v>
      </c>
      <c r="G1622" s="32">
        <v>9</v>
      </c>
      <c r="H1622" s="35">
        <f ca="1">LEFT(Music_Data[[#This Row],[Duration_minutes]],3)/60</f>
        <v>4.4666666666666668</v>
      </c>
      <c r="I1622" s="34">
        <v>3.6999999999999998E-2</v>
      </c>
      <c r="J1622" s="36" t="str">
        <f t="shared" si="25"/>
        <v>Casi nada popular</v>
      </c>
      <c r="K1622" s="42">
        <v>39976</v>
      </c>
    </row>
    <row r="1623" spans="1:11">
      <c r="A1623" s="39">
        <v>0.89100000000000001</v>
      </c>
      <c r="B1623" s="37">
        <v>121</v>
      </c>
      <c r="C1623" s="38">
        <v>0.28299999999999997</v>
      </c>
      <c r="D1623" s="39">
        <v>0.22600000000000001</v>
      </c>
      <c r="E1623" s="37">
        <v>68</v>
      </c>
      <c r="F1623" s="37">
        <v>1</v>
      </c>
      <c r="G1623" s="37">
        <v>2</v>
      </c>
      <c r="H1623" s="40">
        <f ca="1">LEFT(Music_Data[[#This Row],[Duration_minutes]],3)/60</f>
        <v>4.4666666666666668</v>
      </c>
      <c r="I1623" s="39">
        <v>6.7799999999999996E-3</v>
      </c>
      <c r="J1623" s="41" t="str">
        <f t="shared" si="25"/>
        <v>Casi nada popular</v>
      </c>
      <c r="K1623" s="43">
        <v>36161</v>
      </c>
    </row>
    <row r="1624" spans="1:11">
      <c r="A1624" s="34">
        <v>0.71399999999999997</v>
      </c>
      <c r="B1624" s="32">
        <v>105</v>
      </c>
      <c r="C1624" s="33">
        <v>0.56699999999999995</v>
      </c>
      <c r="D1624" s="34">
        <v>0.191</v>
      </c>
      <c r="E1624" s="32">
        <v>68</v>
      </c>
      <c r="F1624" s="32">
        <v>0</v>
      </c>
      <c r="G1624" s="32">
        <v>9</v>
      </c>
      <c r="H1624" s="35">
        <f ca="1">LEFT(Music_Data[[#This Row],[Duration_minutes]],3)/60</f>
        <v>8.5833333333333339</v>
      </c>
      <c r="I1624" s="34">
        <v>1.1999999999999999E-3</v>
      </c>
      <c r="J1624" s="36" t="str">
        <f t="shared" si="25"/>
        <v>Casi nada popular</v>
      </c>
      <c r="K1624" s="42">
        <v>31474</v>
      </c>
    </row>
    <row r="1625" spans="1:11">
      <c r="A1625" s="39">
        <v>0.82299999999999995</v>
      </c>
      <c r="B1625" s="37">
        <v>127</v>
      </c>
      <c r="C1625" s="38">
        <v>0.69299999999999995</v>
      </c>
      <c r="D1625" s="39">
        <v>0.74099999999999999</v>
      </c>
      <c r="E1625" s="37">
        <v>68</v>
      </c>
      <c r="F1625" s="37">
        <v>1</v>
      </c>
      <c r="G1625" s="37">
        <v>5</v>
      </c>
      <c r="H1625" s="40">
        <f ca="1">LEFT(Music_Data[[#This Row],[Duration_minutes]],3)/60</f>
        <v>2.85</v>
      </c>
      <c r="I1625" s="39">
        <v>9.3200000000000005E-2</v>
      </c>
      <c r="J1625" s="41" t="str">
        <f t="shared" si="25"/>
        <v>Casi nada popular</v>
      </c>
      <c r="K1625" s="43">
        <v>29438</v>
      </c>
    </row>
    <row r="1626" spans="1:11">
      <c r="A1626" s="34">
        <v>0.74399999999999999</v>
      </c>
      <c r="B1626" s="32">
        <v>127</v>
      </c>
      <c r="C1626" s="33">
        <v>0.628</v>
      </c>
      <c r="D1626" s="34">
        <v>0.27700000000000002</v>
      </c>
      <c r="E1626" s="32">
        <v>68</v>
      </c>
      <c r="F1626" s="32">
        <v>1</v>
      </c>
      <c r="G1626" s="32">
        <v>7</v>
      </c>
      <c r="H1626" s="35">
        <f ca="1">LEFT(Music_Data[[#This Row],[Duration_minutes]],3)/60</f>
        <v>2.85</v>
      </c>
      <c r="I1626" s="34">
        <v>2.5700000000000001E-2</v>
      </c>
      <c r="J1626" s="36" t="str">
        <f t="shared" si="25"/>
        <v>Casi nada popular</v>
      </c>
      <c r="K1626" s="42">
        <v>29438</v>
      </c>
    </row>
    <row r="1627" spans="1:11">
      <c r="A1627" s="39">
        <v>0.873</v>
      </c>
      <c r="B1627" s="37">
        <v>123</v>
      </c>
      <c r="C1627" s="38">
        <v>0.308</v>
      </c>
      <c r="D1627" s="39">
        <v>0.68600000000000005</v>
      </c>
      <c r="E1627" s="37">
        <v>68</v>
      </c>
      <c r="F1627" s="37">
        <v>1</v>
      </c>
      <c r="G1627" s="37">
        <v>8</v>
      </c>
      <c r="H1627" s="40">
        <f ca="1">LEFT(Music_Data[[#This Row],[Duration_minutes]],3)/60</f>
        <v>3.7</v>
      </c>
      <c r="I1627" s="39">
        <v>2.2000000000000001E-4</v>
      </c>
      <c r="J1627" s="41" t="str">
        <f t="shared" si="25"/>
        <v>Casi nada popular</v>
      </c>
      <c r="K1627" s="43">
        <v>2008</v>
      </c>
    </row>
    <row r="1628" spans="1:11">
      <c r="A1628" s="34">
        <v>0.98599999999999999</v>
      </c>
      <c r="B1628" s="32">
        <v>124</v>
      </c>
      <c r="C1628" s="33">
        <v>0.41099999999999998</v>
      </c>
      <c r="D1628" s="34">
        <v>0.64900000000000002</v>
      </c>
      <c r="E1628" s="32">
        <v>68</v>
      </c>
      <c r="F1628" s="32">
        <v>0</v>
      </c>
      <c r="G1628" s="32">
        <v>8</v>
      </c>
      <c r="H1628" s="35">
        <f ca="1">LEFT(Music_Data[[#This Row],[Duration_minutes]],3)/60</f>
        <v>3.2666666666666666</v>
      </c>
      <c r="I1628" s="34">
        <v>2.6400000000000002E-4</v>
      </c>
      <c r="J1628" s="36" t="str">
        <f t="shared" si="25"/>
        <v>Casi nada popular</v>
      </c>
      <c r="K1628" s="42">
        <v>34516</v>
      </c>
    </row>
    <row r="1629" spans="1:11">
      <c r="A1629" s="39">
        <v>0.92500000000000004</v>
      </c>
      <c r="B1629" s="37">
        <v>173</v>
      </c>
      <c r="C1629" s="38">
        <v>0.47199999999999998</v>
      </c>
      <c r="D1629" s="39">
        <v>0.33800000000000002</v>
      </c>
      <c r="E1629" s="37">
        <v>68</v>
      </c>
      <c r="F1629" s="37">
        <v>0</v>
      </c>
      <c r="G1629" s="37">
        <v>6</v>
      </c>
      <c r="H1629" s="40">
        <f ca="1">LEFT(Music_Data[[#This Row],[Duration_minutes]],3)/60</f>
        <v>4.8</v>
      </c>
      <c r="I1629" s="39">
        <v>3.9399999999999998E-4</v>
      </c>
      <c r="J1629" s="41" t="str">
        <f t="shared" si="25"/>
        <v>Casi nada popular</v>
      </c>
      <c r="K1629" s="43">
        <v>2014</v>
      </c>
    </row>
    <row r="1630" spans="1:11">
      <c r="A1630" s="34">
        <v>0.40200000000000002</v>
      </c>
      <c r="B1630" s="32">
        <v>133</v>
      </c>
      <c r="C1630" s="33">
        <v>0.65100000000000002</v>
      </c>
      <c r="D1630" s="34">
        <v>0.25800000000000001</v>
      </c>
      <c r="E1630" s="32">
        <v>68</v>
      </c>
      <c r="F1630" s="32">
        <v>1</v>
      </c>
      <c r="G1630" s="32">
        <v>11</v>
      </c>
      <c r="H1630" s="35">
        <f ca="1">LEFT(Music_Data[[#This Row],[Duration_minutes]],3)/60</f>
        <v>3.3333333333333335</v>
      </c>
      <c r="I1630" s="34">
        <v>0.63900000000000001</v>
      </c>
      <c r="J1630" s="36" t="str">
        <f t="shared" si="25"/>
        <v>Casi nada popular</v>
      </c>
      <c r="K1630" s="42">
        <v>1979</v>
      </c>
    </row>
    <row r="1631" spans="1:11">
      <c r="A1631" s="39">
        <v>0.26400000000000001</v>
      </c>
      <c r="B1631" s="37">
        <v>103</v>
      </c>
      <c r="C1631" s="38">
        <v>0.63600000000000001</v>
      </c>
      <c r="D1631" s="39">
        <v>0.26400000000000001</v>
      </c>
      <c r="E1631" s="37">
        <v>68</v>
      </c>
      <c r="F1631" s="37">
        <v>0</v>
      </c>
      <c r="G1631" s="37">
        <v>6</v>
      </c>
      <c r="H1631" s="40">
        <f ca="1">LEFT(Music_Data[[#This Row],[Duration_minutes]],3)/60</f>
        <v>7.2333333333333334</v>
      </c>
      <c r="I1631" s="39">
        <v>0.59299999999999997</v>
      </c>
      <c r="J1631" s="41" t="str">
        <f t="shared" si="25"/>
        <v>Casi nada popular</v>
      </c>
      <c r="K1631" s="43">
        <v>26042</v>
      </c>
    </row>
    <row r="1632" spans="1:11">
      <c r="A1632" s="34">
        <v>0.51200000000000001</v>
      </c>
      <c r="B1632" s="32">
        <v>808</v>
      </c>
      <c r="C1632" s="33">
        <v>0.63400000000000001</v>
      </c>
      <c r="D1632" s="34">
        <v>0.193</v>
      </c>
      <c r="E1632" s="32">
        <v>68</v>
      </c>
      <c r="F1632" s="32">
        <v>1</v>
      </c>
      <c r="G1632" s="32">
        <v>1</v>
      </c>
      <c r="H1632" s="35">
        <f ca="1">LEFT(Music_Data[[#This Row],[Duration_minutes]],3)/60</f>
        <v>4.4333333333333336</v>
      </c>
      <c r="I1632" s="34">
        <v>0.114</v>
      </c>
      <c r="J1632" s="36" t="str">
        <f t="shared" si="25"/>
        <v>Casi nada popular</v>
      </c>
      <c r="K1632" s="42">
        <v>1976</v>
      </c>
    </row>
    <row r="1633" spans="1:11">
      <c r="A1633" s="39">
        <v>0.46700000000000003</v>
      </c>
      <c r="B1633" s="37">
        <v>820</v>
      </c>
      <c r="C1633" s="38">
        <v>0.84499999999999997</v>
      </c>
      <c r="D1633" s="39">
        <v>0.70199999999999996</v>
      </c>
      <c r="E1633" s="37">
        <v>68</v>
      </c>
      <c r="F1633" s="37">
        <v>1</v>
      </c>
      <c r="G1633" s="37">
        <v>1</v>
      </c>
      <c r="H1633" s="40">
        <f ca="1">LEFT(Music_Data[[#This Row],[Duration_minutes]],3)/60</f>
        <v>3.8333333333333335</v>
      </c>
      <c r="I1633" s="39">
        <v>5.8599999999999999E-2</v>
      </c>
      <c r="J1633" s="41" t="str">
        <f t="shared" si="25"/>
        <v>Casi nada popular</v>
      </c>
      <c r="K1633" s="43">
        <v>45513</v>
      </c>
    </row>
    <row r="1634" spans="1:11">
      <c r="A1634" s="34">
        <v>0.93200000000000005</v>
      </c>
      <c r="B1634" s="32">
        <v>853</v>
      </c>
      <c r="C1634" s="33">
        <v>0.52200000000000002</v>
      </c>
      <c r="D1634" s="34">
        <v>0.33</v>
      </c>
      <c r="E1634" s="32">
        <v>68</v>
      </c>
      <c r="F1634" s="32">
        <v>1</v>
      </c>
      <c r="G1634" s="32">
        <v>11</v>
      </c>
      <c r="H1634" s="35">
        <f ca="1">LEFT(Music_Data[[#This Row],[Duration_minutes]],3)/60</f>
        <v>3.9166666666666665</v>
      </c>
      <c r="I1634" s="34">
        <v>0.11899999999999999</v>
      </c>
      <c r="J1634" s="36" t="str">
        <f t="shared" si="25"/>
        <v>Casi nada popular</v>
      </c>
      <c r="K1634" s="42">
        <v>34394</v>
      </c>
    </row>
    <row r="1635" spans="1:11">
      <c r="A1635" s="39">
        <v>0.41699999999999998</v>
      </c>
      <c r="B1635" s="37">
        <v>142</v>
      </c>
      <c r="C1635" s="38">
        <v>0.65400000000000003</v>
      </c>
      <c r="D1635" s="39">
        <v>0.64900000000000002</v>
      </c>
      <c r="E1635" s="37">
        <v>68</v>
      </c>
      <c r="F1635" s="37">
        <v>1</v>
      </c>
      <c r="G1635" s="37">
        <v>11</v>
      </c>
      <c r="H1635" s="40">
        <f ca="1">LEFT(Music_Data[[#This Row],[Duration_minutes]],3)/60</f>
        <v>3.5333333333333332</v>
      </c>
      <c r="I1635" s="39">
        <v>0.44600000000000001</v>
      </c>
      <c r="J1635" s="41" t="str">
        <f t="shared" si="25"/>
        <v>Casi nada popular</v>
      </c>
      <c r="K1635" s="43">
        <v>37987</v>
      </c>
    </row>
    <row r="1636" spans="1:11">
      <c r="A1636" s="34">
        <v>0.61099999999999999</v>
      </c>
      <c r="B1636" s="32">
        <v>124</v>
      </c>
      <c r="C1636" s="33">
        <v>0.85399999999999998</v>
      </c>
      <c r="D1636" s="34">
        <v>0.41699999999999998</v>
      </c>
      <c r="E1636" s="32">
        <v>68</v>
      </c>
      <c r="F1636" s="32">
        <v>0</v>
      </c>
      <c r="G1636" s="32">
        <v>8</v>
      </c>
      <c r="H1636" s="35">
        <f ca="1">LEFT(Music_Data[[#This Row],[Duration_minutes]],3)/60</f>
        <v>3.5666666666666669</v>
      </c>
      <c r="I1636" s="34">
        <v>0.223</v>
      </c>
      <c r="J1636" s="36" t="str">
        <f t="shared" si="25"/>
        <v>Casi nada popular</v>
      </c>
      <c r="K1636" s="42">
        <v>1996</v>
      </c>
    </row>
    <row r="1637" spans="1:11">
      <c r="A1637" s="39">
        <v>0.60599999999999998</v>
      </c>
      <c r="B1637" s="37">
        <v>148</v>
      </c>
      <c r="C1637" s="38">
        <v>0.56699999999999995</v>
      </c>
      <c r="D1637" s="39">
        <v>0.314</v>
      </c>
      <c r="E1637" s="37">
        <v>68</v>
      </c>
      <c r="F1637" s="37">
        <v>0</v>
      </c>
      <c r="G1637" s="37">
        <v>10</v>
      </c>
      <c r="H1637" s="40">
        <f ca="1">LEFT(Music_Data[[#This Row],[Duration_minutes]],3)/60</f>
        <v>3.4</v>
      </c>
      <c r="I1637" s="39">
        <v>8.0100000000000005E-2</v>
      </c>
      <c r="J1637" s="41" t="str">
        <f t="shared" si="25"/>
        <v>Casi nada popular</v>
      </c>
      <c r="K1637" s="43">
        <v>32143</v>
      </c>
    </row>
    <row r="1638" spans="1:11">
      <c r="A1638" s="34">
        <v>0.68799999999999994</v>
      </c>
      <c r="B1638" s="32">
        <v>107</v>
      </c>
      <c r="C1638" s="33">
        <v>0.60799999999999998</v>
      </c>
      <c r="D1638" s="34">
        <v>0.214</v>
      </c>
      <c r="E1638" s="32">
        <v>68</v>
      </c>
      <c r="F1638" s="32">
        <v>0</v>
      </c>
      <c r="G1638" s="32">
        <v>5</v>
      </c>
      <c r="H1638" s="35">
        <f ca="1">LEFT(Music_Data[[#This Row],[Duration_minutes]],3)/60</f>
        <v>5.9</v>
      </c>
      <c r="I1638" s="34">
        <v>5.5399999999999998E-2</v>
      </c>
      <c r="J1638" s="36" t="str">
        <f t="shared" si="25"/>
        <v>Casi nada popular</v>
      </c>
      <c r="K1638" s="42">
        <v>31992</v>
      </c>
    </row>
    <row r="1639" spans="1:11">
      <c r="A1639" s="39">
        <v>0.95099999999999996</v>
      </c>
      <c r="B1639" s="37">
        <v>980</v>
      </c>
      <c r="C1639" s="38">
        <v>0.77200000000000002</v>
      </c>
      <c r="D1639" s="39">
        <v>0.4</v>
      </c>
      <c r="E1639" s="37">
        <v>68</v>
      </c>
      <c r="F1639" s="37">
        <v>0</v>
      </c>
      <c r="G1639" s="37">
        <v>9</v>
      </c>
      <c r="H1639" s="40">
        <f ca="1">LEFT(Music_Data[[#This Row],[Duration_minutes]],3)/60</f>
        <v>3.6833333333333331</v>
      </c>
      <c r="I1639" s="39">
        <v>6.3399999999999998E-2</v>
      </c>
      <c r="J1639" s="41" t="str">
        <f t="shared" si="25"/>
        <v>Casi nada popular</v>
      </c>
      <c r="K1639" s="43">
        <v>45527</v>
      </c>
    </row>
    <row r="1640" spans="1:11">
      <c r="A1640" s="34">
        <v>0.88</v>
      </c>
      <c r="B1640" s="32">
        <v>125</v>
      </c>
      <c r="C1640" s="33">
        <v>0.58799999999999997</v>
      </c>
      <c r="D1640" s="34">
        <v>0.52300000000000002</v>
      </c>
      <c r="E1640" s="32">
        <v>68</v>
      </c>
      <c r="F1640" s="32">
        <v>1</v>
      </c>
      <c r="G1640" s="32">
        <v>7</v>
      </c>
      <c r="H1640" s="35">
        <f ca="1">LEFT(Music_Data[[#This Row],[Duration_minutes]],3)/60</f>
        <v>3.6333333333333333</v>
      </c>
      <c r="I1640" s="34">
        <v>2.4299999999999999E-2</v>
      </c>
      <c r="J1640" s="36" t="str">
        <f t="shared" si="25"/>
        <v>Casi nada popular</v>
      </c>
      <c r="K1640" s="42">
        <v>1982</v>
      </c>
    </row>
    <row r="1641" spans="1:11">
      <c r="A1641" s="39">
        <v>0.83099999999999996</v>
      </c>
      <c r="B1641" s="37">
        <v>813</v>
      </c>
      <c r="C1641" s="38">
        <v>0.78500000000000003</v>
      </c>
      <c r="D1641" s="39">
        <v>0.67300000000000004</v>
      </c>
      <c r="E1641" s="37">
        <v>68</v>
      </c>
      <c r="F1641" s="37">
        <v>1</v>
      </c>
      <c r="G1641" s="37">
        <v>0</v>
      </c>
      <c r="H1641" s="40">
        <f ca="1">LEFT(Music_Data[[#This Row],[Duration_minutes]],3)/60</f>
        <v>4.916666666666667</v>
      </c>
      <c r="I1641" s="39">
        <v>3.8E-3</v>
      </c>
      <c r="J1641" s="41" t="str">
        <f t="shared" si="25"/>
        <v>Casi nada popular</v>
      </c>
      <c r="K1641" s="43">
        <v>26245</v>
      </c>
    </row>
    <row r="1642" spans="1:11">
      <c r="A1642" s="34">
        <v>0.8</v>
      </c>
      <c r="B1642" s="32">
        <v>119</v>
      </c>
      <c r="C1642" s="33">
        <v>0.72399999999999998</v>
      </c>
      <c r="D1642" s="34">
        <v>0.92500000000000004</v>
      </c>
      <c r="E1642" s="32">
        <v>68</v>
      </c>
      <c r="F1642" s="32">
        <v>0</v>
      </c>
      <c r="G1642" s="32">
        <v>5</v>
      </c>
      <c r="H1642" s="35">
        <f ca="1">LEFT(Music_Data[[#This Row],[Duration_minutes]],3)/60</f>
        <v>4.25</v>
      </c>
      <c r="I1642" s="34">
        <v>1.03E-2</v>
      </c>
      <c r="J1642" s="36" t="str">
        <f t="shared" si="25"/>
        <v>Casi nada popular</v>
      </c>
      <c r="K1642" s="42">
        <v>32052</v>
      </c>
    </row>
    <row r="1643" spans="1:11">
      <c r="A1643" s="39">
        <v>0.95299999999999996</v>
      </c>
      <c r="B1643" s="37">
        <v>170</v>
      </c>
      <c r="C1643" s="38">
        <v>0.63100000000000001</v>
      </c>
      <c r="D1643" s="39">
        <v>0.42199999999999999</v>
      </c>
      <c r="E1643" s="37">
        <v>68</v>
      </c>
      <c r="F1643" s="37">
        <v>1</v>
      </c>
      <c r="G1643" s="37">
        <v>2</v>
      </c>
      <c r="H1643" s="40">
        <f ca="1">LEFT(Music_Data[[#This Row],[Duration_minutes]],3)/60</f>
        <v>4.6333333333333337</v>
      </c>
      <c r="I1643" s="39">
        <v>2.41E-2</v>
      </c>
      <c r="J1643" s="41" t="str">
        <f t="shared" si="25"/>
        <v>Casi nada popular</v>
      </c>
      <c r="K1643" s="43">
        <v>37257</v>
      </c>
    </row>
    <row r="1644" spans="1:11">
      <c r="A1644" s="34">
        <v>0.48299999999999998</v>
      </c>
      <c r="B1644" s="32">
        <v>170</v>
      </c>
      <c r="C1644" s="33">
        <v>0.73799999999999999</v>
      </c>
      <c r="D1644" s="34">
        <v>0.77400000000000002</v>
      </c>
      <c r="E1644" s="32">
        <v>68</v>
      </c>
      <c r="F1644" s="32">
        <v>1</v>
      </c>
      <c r="G1644" s="32">
        <v>0</v>
      </c>
      <c r="H1644" s="35">
        <f ca="1">LEFT(Music_Data[[#This Row],[Duration_minutes]],3)/60</f>
        <v>4.6333333333333337</v>
      </c>
      <c r="I1644" s="34">
        <v>0.46700000000000003</v>
      </c>
      <c r="J1644" s="36" t="str">
        <f t="shared" si="25"/>
        <v>Casi nada popular</v>
      </c>
      <c r="K1644" s="42">
        <v>37257</v>
      </c>
    </row>
    <row r="1645" spans="1:11">
      <c r="A1645" s="39">
        <v>0.80100000000000005</v>
      </c>
      <c r="B1645" s="37">
        <v>111</v>
      </c>
      <c r="C1645" s="38">
        <v>0.76200000000000001</v>
      </c>
      <c r="D1645" s="39">
        <v>0.81</v>
      </c>
      <c r="E1645" s="37">
        <v>68</v>
      </c>
      <c r="F1645" s="37">
        <v>0</v>
      </c>
      <c r="G1645" s="37">
        <v>1</v>
      </c>
      <c r="H1645" s="40">
        <f ca="1">LEFT(Music_Data[[#This Row],[Duration_minutes]],3)/60</f>
        <v>5.4833333333333334</v>
      </c>
      <c r="I1645" s="39">
        <v>0.2</v>
      </c>
      <c r="J1645" s="41" t="str">
        <f t="shared" si="25"/>
        <v>Casi nada popular</v>
      </c>
      <c r="K1645" s="43">
        <v>29794</v>
      </c>
    </row>
    <row r="1646" spans="1:11">
      <c r="A1646" s="34">
        <v>0.69399999999999995</v>
      </c>
      <c r="B1646" s="32">
        <v>127</v>
      </c>
      <c r="C1646" s="33">
        <v>0.86899999999999999</v>
      </c>
      <c r="D1646" s="34">
        <v>0.51100000000000001</v>
      </c>
      <c r="E1646" s="32">
        <v>68</v>
      </c>
      <c r="F1646" s="32">
        <v>0</v>
      </c>
      <c r="G1646" s="32">
        <v>1</v>
      </c>
      <c r="H1646" s="35">
        <f ca="1">LEFT(Music_Data[[#This Row],[Duration_minutes]],3)/60</f>
        <v>3.75</v>
      </c>
      <c r="I1646" s="34">
        <v>0.35599999999999998</v>
      </c>
      <c r="J1646" s="36" t="str">
        <f t="shared" si="25"/>
        <v>Casi nada popular</v>
      </c>
      <c r="K1646" s="42">
        <v>28647</v>
      </c>
    </row>
    <row r="1647" spans="1:11">
      <c r="A1647" s="39">
        <v>0.85799999999999998</v>
      </c>
      <c r="B1647" s="37">
        <v>117</v>
      </c>
      <c r="C1647" s="38">
        <v>0.627</v>
      </c>
      <c r="D1647" s="39">
        <v>0.34200000000000003</v>
      </c>
      <c r="E1647" s="37">
        <v>68</v>
      </c>
      <c r="F1647" s="37">
        <v>0</v>
      </c>
      <c r="G1647" s="37">
        <v>11</v>
      </c>
      <c r="H1647" s="40">
        <f ca="1">LEFT(Music_Data[[#This Row],[Duration_minutes]],3)/60</f>
        <v>3.45</v>
      </c>
      <c r="I1647" s="39">
        <v>0.26300000000000001</v>
      </c>
      <c r="J1647" s="41" t="str">
        <f t="shared" si="25"/>
        <v>Casi nada popular</v>
      </c>
      <c r="K1647" s="43">
        <v>1973</v>
      </c>
    </row>
    <row r="1648" spans="1:11">
      <c r="A1648" s="34">
        <v>0.66200000000000003</v>
      </c>
      <c r="B1648" s="32">
        <v>147</v>
      </c>
      <c r="C1648" s="33">
        <v>0.89200000000000002</v>
      </c>
      <c r="D1648" s="34">
        <v>0.60699999999999998</v>
      </c>
      <c r="E1648" s="32">
        <v>68</v>
      </c>
      <c r="F1648" s="32">
        <v>1</v>
      </c>
      <c r="G1648" s="32">
        <v>8</v>
      </c>
      <c r="H1648" s="35">
        <f ca="1">LEFT(Music_Data[[#This Row],[Duration_minutes]],3)/60</f>
        <v>4.916666666666667</v>
      </c>
      <c r="I1648" s="34">
        <v>0.16900000000000001</v>
      </c>
      <c r="J1648" s="36" t="str">
        <f t="shared" si="25"/>
        <v>Casi nada popular</v>
      </c>
      <c r="K1648" s="42">
        <v>28856</v>
      </c>
    </row>
    <row r="1649" spans="1:11">
      <c r="A1649" s="39">
        <v>0.76900000000000002</v>
      </c>
      <c r="B1649" s="37">
        <v>140</v>
      </c>
      <c r="C1649" s="38">
        <v>0.77100000000000002</v>
      </c>
      <c r="D1649" s="39">
        <v>0.93100000000000005</v>
      </c>
      <c r="E1649" s="37">
        <v>68</v>
      </c>
      <c r="F1649" s="37">
        <v>0</v>
      </c>
      <c r="G1649" s="37">
        <v>0</v>
      </c>
      <c r="H1649" s="40">
        <f ca="1">LEFT(Music_Data[[#This Row],[Duration_minutes]],3)/60</f>
        <v>4.0333333333333332</v>
      </c>
      <c r="I1649" s="39">
        <v>0.18</v>
      </c>
      <c r="J1649" s="41" t="str">
        <f t="shared" si="25"/>
        <v>Casi nada popular</v>
      </c>
      <c r="K1649" s="43">
        <v>29497</v>
      </c>
    </row>
    <row r="1650" spans="1:11">
      <c r="A1650" s="34">
        <v>0.58199999999999996</v>
      </c>
      <c r="B1650" s="32">
        <v>106</v>
      </c>
      <c r="C1650" s="33">
        <v>0.61499999999999999</v>
      </c>
      <c r="D1650" s="34">
        <v>0.89200000000000002</v>
      </c>
      <c r="E1650" s="32">
        <v>68</v>
      </c>
      <c r="F1650" s="32">
        <v>1</v>
      </c>
      <c r="G1650" s="32">
        <v>6</v>
      </c>
      <c r="H1650" s="35">
        <f ca="1">LEFT(Music_Data[[#This Row],[Duration_minutes]],3)/60</f>
        <v>3.05</v>
      </c>
      <c r="I1650" s="34">
        <v>0.26900000000000002</v>
      </c>
      <c r="J1650" s="36" t="str">
        <f t="shared" si="25"/>
        <v>Casi nada popular</v>
      </c>
      <c r="K1650" s="42">
        <v>37102</v>
      </c>
    </row>
    <row r="1651" spans="1:11">
      <c r="A1651" s="39">
        <v>0.441</v>
      </c>
      <c r="B1651" s="37">
        <v>103</v>
      </c>
      <c r="C1651" s="38">
        <v>0.94199999999999995</v>
      </c>
      <c r="D1651" s="39">
        <v>0.92500000000000004</v>
      </c>
      <c r="E1651" s="37">
        <v>68</v>
      </c>
      <c r="F1651" s="37">
        <v>1</v>
      </c>
      <c r="G1651" s="37">
        <v>11</v>
      </c>
      <c r="H1651" s="40">
        <f ca="1">LEFT(Music_Data[[#This Row],[Duration_minutes]],3)/60</f>
        <v>5.4833333333333334</v>
      </c>
      <c r="I1651" s="39">
        <v>0.49299999999999999</v>
      </c>
      <c r="J1651" s="41" t="str">
        <f t="shared" si="25"/>
        <v>Casi nada popular</v>
      </c>
      <c r="K1651" s="43">
        <v>32764</v>
      </c>
    </row>
    <row r="1652" spans="1:11">
      <c r="A1652" s="34">
        <v>0.63800000000000001</v>
      </c>
      <c r="B1652" s="32">
        <v>121</v>
      </c>
      <c r="C1652" s="33">
        <v>0.80900000000000005</v>
      </c>
      <c r="D1652" s="34">
        <v>0.60799999999999998</v>
      </c>
      <c r="E1652" s="32">
        <v>68</v>
      </c>
      <c r="F1652" s="32">
        <v>0</v>
      </c>
      <c r="G1652" s="32">
        <v>8</v>
      </c>
      <c r="H1652" s="35">
        <f ca="1">LEFT(Music_Data[[#This Row],[Duration_minutes]],3)/60</f>
        <v>2.7</v>
      </c>
      <c r="I1652" s="34">
        <v>0.26200000000000001</v>
      </c>
      <c r="J1652" s="36" t="str">
        <f t="shared" si="25"/>
        <v>Casi nada popular</v>
      </c>
      <c r="K1652" s="42">
        <v>43627</v>
      </c>
    </row>
    <row r="1653" spans="1:11">
      <c r="A1653" s="39">
        <v>0.60399999999999998</v>
      </c>
      <c r="B1653" s="37">
        <v>150</v>
      </c>
      <c r="C1653" s="38">
        <v>0.58299999999999996</v>
      </c>
      <c r="D1653" s="39">
        <v>0.69099999999999995</v>
      </c>
      <c r="E1653" s="37">
        <v>68</v>
      </c>
      <c r="F1653" s="37">
        <v>1</v>
      </c>
      <c r="G1653" s="37">
        <v>2</v>
      </c>
      <c r="H1653" s="40">
        <f ca="1">LEFT(Music_Data[[#This Row],[Duration_minutes]],3)/60</f>
        <v>3.7833333333333332</v>
      </c>
      <c r="I1653" s="39">
        <v>0.73499999999999999</v>
      </c>
      <c r="J1653" s="41" t="str">
        <f t="shared" si="25"/>
        <v>Casi nada popular</v>
      </c>
      <c r="K1653" s="43">
        <v>41170</v>
      </c>
    </row>
    <row r="1654" spans="1:11">
      <c r="A1654" s="34">
        <v>0.64600000000000002</v>
      </c>
      <c r="B1654" s="32">
        <v>133</v>
      </c>
      <c r="C1654" s="33">
        <v>0.59899999999999998</v>
      </c>
      <c r="D1654" s="34">
        <v>0.63800000000000001</v>
      </c>
      <c r="E1654" s="32">
        <v>68</v>
      </c>
      <c r="F1654" s="32">
        <v>1</v>
      </c>
      <c r="G1654" s="32">
        <v>6</v>
      </c>
      <c r="H1654" s="35">
        <f ca="1">LEFT(Music_Data[[#This Row],[Duration_minutes]],3)/60</f>
        <v>3.4666666666666668</v>
      </c>
      <c r="I1654" s="34">
        <v>0.222</v>
      </c>
      <c r="J1654" s="36" t="str">
        <f t="shared" si="25"/>
        <v>Casi nada popular</v>
      </c>
      <c r="K1654" s="42">
        <v>31731</v>
      </c>
    </row>
    <row r="1655" spans="1:11">
      <c r="A1655" s="39">
        <v>0.28299999999999997</v>
      </c>
      <c r="B1655" s="37">
        <v>895</v>
      </c>
      <c r="C1655" s="38">
        <v>0.89800000000000002</v>
      </c>
      <c r="D1655" s="39">
        <v>0.46899999999999997</v>
      </c>
      <c r="E1655" s="37">
        <v>68</v>
      </c>
      <c r="F1655" s="37">
        <v>0</v>
      </c>
      <c r="G1655" s="37">
        <v>6</v>
      </c>
      <c r="H1655" s="40">
        <f ca="1">LEFT(Music_Data[[#This Row],[Duration_minutes]],3)/60</f>
        <v>4.9833333333333334</v>
      </c>
      <c r="I1655" s="39">
        <v>0.31900000000000001</v>
      </c>
      <c r="J1655" s="41" t="str">
        <f t="shared" si="25"/>
        <v>Casi nada popular</v>
      </c>
      <c r="K1655" s="43">
        <v>34166</v>
      </c>
    </row>
    <row r="1656" spans="1:11">
      <c r="A1656" s="34">
        <v>0.65100000000000002</v>
      </c>
      <c r="B1656" s="32">
        <v>109</v>
      </c>
      <c r="C1656" s="33">
        <v>0.49</v>
      </c>
      <c r="D1656" s="34">
        <v>0.56699999999999995</v>
      </c>
      <c r="E1656" s="32">
        <v>68</v>
      </c>
      <c r="F1656" s="32">
        <v>1</v>
      </c>
      <c r="G1656" s="32">
        <v>11</v>
      </c>
      <c r="H1656" s="35">
        <f ca="1">LEFT(Music_Data[[#This Row],[Duration_minutes]],3)/60</f>
        <v>4.7666666666666666</v>
      </c>
      <c r="I1656" s="34">
        <v>0.71399999999999997</v>
      </c>
      <c r="J1656" s="36" t="str">
        <f t="shared" si="25"/>
        <v>Casi nada popular</v>
      </c>
      <c r="K1656" s="42">
        <v>28102</v>
      </c>
    </row>
    <row r="1657" spans="1:11">
      <c r="A1657" s="39">
        <v>0.503</v>
      </c>
      <c r="B1657" s="37">
        <v>119</v>
      </c>
      <c r="C1657" s="38">
        <v>0.79200000000000004</v>
      </c>
      <c r="D1657" s="39">
        <v>0.38100000000000001</v>
      </c>
      <c r="E1657" s="37">
        <v>68</v>
      </c>
      <c r="F1657" s="37">
        <v>1</v>
      </c>
      <c r="G1657" s="37">
        <v>1</v>
      </c>
      <c r="H1657" s="40">
        <f ca="1">LEFT(Music_Data[[#This Row],[Duration_minutes]],3)/60</f>
        <v>3.9333333333333331</v>
      </c>
      <c r="I1657" s="39">
        <v>3.6900000000000002E-2</v>
      </c>
      <c r="J1657" s="41" t="str">
        <f t="shared" si="25"/>
        <v>Casi nada popular</v>
      </c>
      <c r="K1657" s="43">
        <v>39948</v>
      </c>
    </row>
    <row r="1658" spans="1:11">
      <c r="A1658" s="34">
        <v>0.501</v>
      </c>
      <c r="B1658" s="32">
        <v>125</v>
      </c>
      <c r="C1658" s="33">
        <v>0.63700000000000001</v>
      </c>
      <c r="D1658" s="34">
        <v>0.43099999999999999</v>
      </c>
      <c r="E1658" s="32">
        <v>68</v>
      </c>
      <c r="F1658" s="32">
        <v>0</v>
      </c>
      <c r="G1658" s="32">
        <v>0</v>
      </c>
      <c r="H1658" s="35">
        <f ca="1">LEFT(Music_Data[[#This Row],[Duration_minutes]],3)/60</f>
        <v>4.2166666666666668</v>
      </c>
      <c r="I1658" s="34">
        <v>0.22900000000000001</v>
      </c>
      <c r="J1658" s="36" t="str">
        <f t="shared" si="25"/>
        <v>Casi nada popular</v>
      </c>
      <c r="K1658" s="42">
        <v>1990</v>
      </c>
    </row>
    <row r="1659" spans="1:11">
      <c r="A1659" s="39">
        <v>0.44900000000000001</v>
      </c>
      <c r="B1659" s="37">
        <v>112</v>
      </c>
      <c r="C1659" s="38">
        <v>0.32700000000000001</v>
      </c>
      <c r="D1659" s="39">
        <v>0.17899999999999999</v>
      </c>
      <c r="E1659" s="37">
        <v>68</v>
      </c>
      <c r="F1659" s="37">
        <v>1</v>
      </c>
      <c r="G1659" s="37">
        <v>10</v>
      </c>
      <c r="H1659" s="40">
        <f ca="1">LEFT(Music_Data[[#This Row],[Duration_minutes]],3)/60</f>
        <v>3.75</v>
      </c>
      <c r="I1659" s="39">
        <v>0.36899999999999999</v>
      </c>
      <c r="J1659" s="41" t="str">
        <f t="shared" si="25"/>
        <v>Casi nada popular</v>
      </c>
      <c r="K1659" s="43">
        <v>1996</v>
      </c>
    </row>
    <row r="1660" spans="1:11">
      <c r="A1660" s="34">
        <v>0.11</v>
      </c>
      <c r="B1660" s="32">
        <v>106</v>
      </c>
      <c r="C1660" s="33">
        <v>0.41499999999999998</v>
      </c>
      <c r="D1660" s="34">
        <v>0.23400000000000001</v>
      </c>
      <c r="E1660" s="32">
        <v>68</v>
      </c>
      <c r="F1660" s="32">
        <v>1</v>
      </c>
      <c r="G1660" s="32">
        <v>1</v>
      </c>
      <c r="H1660" s="35">
        <f ca="1">LEFT(Music_Data[[#This Row],[Duration_minutes]],3)/60</f>
        <v>3.4333333333333331</v>
      </c>
      <c r="I1660" s="34">
        <v>0.95099999999999996</v>
      </c>
      <c r="J1660" s="36" t="str">
        <f t="shared" si="25"/>
        <v>Casi nada popular</v>
      </c>
      <c r="K1660" s="42">
        <v>37551</v>
      </c>
    </row>
    <row r="1661" spans="1:11">
      <c r="A1661" s="39">
        <v>9.7199999999999995E-2</v>
      </c>
      <c r="B1661" s="37">
        <v>145</v>
      </c>
      <c r="C1661" s="38">
        <v>0.443</v>
      </c>
      <c r="D1661" s="39">
        <v>0.28899999999999998</v>
      </c>
      <c r="E1661" s="37">
        <v>68</v>
      </c>
      <c r="F1661" s="37">
        <v>1</v>
      </c>
      <c r="G1661" s="37">
        <v>2</v>
      </c>
      <c r="H1661" s="40">
        <f ca="1">LEFT(Music_Data[[#This Row],[Duration_minutes]],3)/60</f>
        <v>4.2333333333333334</v>
      </c>
      <c r="I1661" s="39">
        <v>0.95199999999999996</v>
      </c>
      <c r="J1661" s="41" t="str">
        <f t="shared" si="25"/>
        <v>Casi nada popular</v>
      </c>
      <c r="K1661" s="43">
        <v>1998</v>
      </c>
    </row>
    <row r="1662" spans="1:11">
      <c r="A1662" s="34">
        <v>0.34799999999999998</v>
      </c>
      <c r="B1662" s="32">
        <v>840</v>
      </c>
      <c r="C1662" s="33">
        <v>0.63100000000000001</v>
      </c>
      <c r="D1662" s="34">
        <v>0.32</v>
      </c>
      <c r="E1662" s="32">
        <v>68</v>
      </c>
      <c r="F1662" s="32">
        <v>1</v>
      </c>
      <c r="G1662" s="32">
        <v>10</v>
      </c>
      <c r="H1662" s="35">
        <f ca="1">LEFT(Music_Data[[#This Row],[Duration_minutes]],3)/60</f>
        <v>3.9666666666666668</v>
      </c>
      <c r="I1662" s="34">
        <v>0.92600000000000005</v>
      </c>
      <c r="J1662" s="36" t="str">
        <f t="shared" si="25"/>
        <v>Casi nada popular</v>
      </c>
      <c r="K1662" s="42">
        <v>37257</v>
      </c>
    </row>
    <row r="1663" spans="1:11">
      <c r="A1663" s="39">
        <v>0.55000000000000004</v>
      </c>
      <c r="B1663" s="37">
        <v>129</v>
      </c>
      <c r="C1663" s="38">
        <v>0.629</v>
      </c>
      <c r="D1663" s="39">
        <v>0.154</v>
      </c>
      <c r="E1663" s="37">
        <v>68</v>
      </c>
      <c r="F1663" s="37">
        <v>1</v>
      </c>
      <c r="G1663" s="37">
        <v>0</v>
      </c>
      <c r="H1663" s="40">
        <f ca="1">LEFT(Music_Data[[#This Row],[Duration_minutes]],3)/60</f>
        <v>4.1166666666666663</v>
      </c>
      <c r="I1663" s="39">
        <v>0.152</v>
      </c>
      <c r="J1663" s="41" t="str">
        <f t="shared" si="25"/>
        <v>Casi nada popular</v>
      </c>
      <c r="K1663" s="43">
        <v>44841</v>
      </c>
    </row>
    <row r="1664" spans="1:11">
      <c r="A1664" s="34">
        <v>0.76</v>
      </c>
      <c r="B1664" s="32">
        <v>134</v>
      </c>
      <c r="C1664" s="33">
        <v>0.51200000000000001</v>
      </c>
      <c r="D1664" s="34">
        <v>0.495</v>
      </c>
      <c r="E1664" s="32">
        <v>68</v>
      </c>
      <c r="F1664" s="32">
        <v>0</v>
      </c>
      <c r="G1664" s="32">
        <v>2</v>
      </c>
      <c r="H1664" s="35">
        <f ca="1">LEFT(Music_Data[[#This Row],[Duration_minutes]],3)/60</f>
        <v>2.95</v>
      </c>
      <c r="I1664" s="34">
        <v>0.29899999999999999</v>
      </c>
      <c r="J1664" s="36" t="str">
        <f t="shared" si="25"/>
        <v>Casi nada popular</v>
      </c>
      <c r="K1664" s="42">
        <v>45583</v>
      </c>
    </row>
    <row r="1665" spans="1:11">
      <c r="A1665" s="39">
        <v>0.60599999999999998</v>
      </c>
      <c r="B1665" s="37">
        <v>140</v>
      </c>
      <c r="C1665" s="38">
        <v>0.65600000000000003</v>
      </c>
      <c r="D1665" s="39">
        <v>0.38</v>
      </c>
      <c r="E1665" s="37">
        <v>68</v>
      </c>
      <c r="F1665" s="37">
        <v>1</v>
      </c>
      <c r="G1665" s="37">
        <v>9</v>
      </c>
      <c r="H1665" s="40">
        <f ca="1">LEFT(Music_Data[[#This Row],[Duration_minutes]],3)/60</f>
        <v>4.333333333333333</v>
      </c>
      <c r="I1665" s="39">
        <v>0.33500000000000002</v>
      </c>
      <c r="J1665" s="41" t="str">
        <f t="shared" si="25"/>
        <v>Casi nada popular</v>
      </c>
      <c r="K1665" s="43">
        <v>32223</v>
      </c>
    </row>
    <row r="1666" spans="1:11">
      <c r="A1666" s="34">
        <v>0.70199999999999996</v>
      </c>
      <c r="B1666" s="32">
        <v>138</v>
      </c>
      <c r="C1666" s="33">
        <v>0.71099999999999997</v>
      </c>
      <c r="D1666" s="34">
        <v>0.67400000000000004</v>
      </c>
      <c r="E1666" s="32">
        <v>68</v>
      </c>
      <c r="F1666" s="32">
        <v>1</v>
      </c>
      <c r="G1666" s="32">
        <v>5</v>
      </c>
      <c r="H1666" s="35">
        <f ca="1">LEFT(Music_Data[[#This Row],[Duration_minutes]],3)/60</f>
        <v>2.6</v>
      </c>
      <c r="I1666" s="34">
        <v>4.8700000000000002E-3</v>
      </c>
      <c r="J1666" s="36" t="str">
        <f t="shared" si="25"/>
        <v>Casi nada popular</v>
      </c>
      <c r="K1666" s="42">
        <v>28531</v>
      </c>
    </row>
    <row r="1667" spans="1:11">
      <c r="A1667" s="39">
        <v>0.68400000000000005</v>
      </c>
      <c r="B1667" s="37">
        <v>132</v>
      </c>
      <c r="C1667" s="38">
        <v>0.76900000000000002</v>
      </c>
      <c r="D1667" s="39">
        <v>0.48299999999999998</v>
      </c>
      <c r="E1667" s="37">
        <v>68</v>
      </c>
      <c r="F1667" s="37">
        <v>0</v>
      </c>
      <c r="G1667" s="37">
        <v>10</v>
      </c>
      <c r="H1667" s="40">
        <f ca="1">LEFT(Music_Data[[#This Row],[Duration_minutes]],3)/60</f>
        <v>3.6833333333333331</v>
      </c>
      <c r="I1667" s="39">
        <v>9.7699999999999995E-2</v>
      </c>
      <c r="J1667" s="41" t="str">
        <f t="shared" si="25"/>
        <v>Casi nada popular</v>
      </c>
      <c r="K1667" s="43">
        <v>39814</v>
      </c>
    </row>
    <row r="1668" spans="1:11">
      <c r="A1668" s="34">
        <v>0.66100000000000003</v>
      </c>
      <c r="B1668" s="32">
        <v>159</v>
      </c>
      <c r="C1668" s="33">
        <v>0.83599999999999997</v>
      </c>
      <c r="D1668" s="34">
        <v>0.753</v>
      </c>
      <c r="E1668" s="32">
        <v>68</v>
      </c>
      <c r="F1668" s="32">
        <v>0</v>
      </c>
      <c r="G1668" s="32">
        <v>7</v>
      </c>
      <c r="H1668" s="35">
        <f ca="1">LEFT(Music_Data[[#This Row],[Duration_minutes]],3)/60</f>
        <v>3.5</v>
      </c>
      <c r="I1668" s="34">
        <v>2.0799999999999999E-2</v>
      </c>
      <c r="J1668" s="36" t="str">
        <f t="shared" ref="J1668:J1675" si="26">IF(E1668&gt;=94,"Muy Popular",IF(E1668&gt;=86,"Popular",IF(E1668&gt;=78,"No muy popular","Casi nada popular")))</f>
        <v>Casi nada popular</v>
      </c>
      <c r="K1668" s="42">
        <v>45100</v>
      </c>
    </row>
    <row r="1669" spans="1:11">
      <c r="A1669" s="39">
        <v>0.78200000000000003</v>
      </c>
      <c r="B1669" s="37">
        <v>152</v>
      </c>
      <c r="C1669" s="38">
        <v>0.72699999999999998</v>
      </c>
      <c r="D1669" s="39">
        <v>0.65500000000000003</v>
      </c>
      <c r="E1669" s="37">
        <v>68</v>
      </c>
      <c r="F1669" s="37">
        <v>0</v>
      </c>
      <c r="G1669" s="37">
        <v>8</v>
      </c>
      <c r="H1669" s="40">
        <f ca="1">LEFT(Music_Data[[#This Row],[Duration_minutes]],3)/60</f>
        <v>3.6</v>
      </c>
      <c r="I1669" s="39">
        <v>5.6300000000000003E-2</v>
      </c>
      <c r="J1669" s="41" t="str">
        <f t="shared" si="26"/>
        <v>Casi nada popular</v>
      </c>
      <c r="K1669" s="43">
        <v>45023</v>
      </c>
    </row>
    <row r="1670" spans="1:11">
      <c r="A1670" s="34">
        <v>0.879</v>
      </c>
      <c r="B1670" s="32">
        <v>900</v>
      </c>
      <c r="C1670" s="33">
        <v>0.74099999999999999</v>
      </c>
      <c r="D1670" s="34">
        <v>0.36199999999999999</v>
      </c>
      <c r="E1670" s="32">
        <v>68</v>
      </c>
      <c r="F1670" s="32">
        <v>0</v>
      </c>
      <c r="G1670" s="32">
        <v>1</v>
      </c>
      <c r="H1670" s="35">
        <f ca="1">LEFT(Music_Data[[#This Row],[Duration_minutes]],3)/60</f>
        <v>2.9333333333333331</v>
      </c>
      <c r="I1670" s="34">
        <v>8.4099999999999994E-2</v>
      </c>
      <c r="J1670" s="36" t="str">
        <f t="shared" si="26"/>
        <v>Casi nada popular</v>
      </c>
      <c r="K1670" s="42">
        <v>45513</v>
      </c>
    </row>
    <row r="1671" spans="1:11">
      <c r="A1671" s="39">
        <v>0.754</v>
      </c>
      <c r="B1671" s="37">
        <v>980</v>
      </c>
      <c r="C1671" s="38">
        <v>0.56399999999999995</v>
      </c>
      <c r="D1671" s="39">
        <v>0.45700000000000002</v>
      </c>
      <c r="E1671" s="37">
        <v>68</v>
      </c>
      <c r="F1671" s="37">
        <v>1</v>
      </c>
      <c r="G1671" s="37">
        <v>8</v>
      </c>
      <c r="H1671" s="40">
        <f ca="1">LEFT(Music_Data[[#This Row],[Duration_minutes]],3)/60</f>
        <v>2.5666666666666669</v>
      </c>
      <c r="I1671" s="39">
        <v>4.24E-2</v>
      </c>
      <c r="J1671" s="41" t="str">
        <f t="shared" si="26"/>
        <v>Casi nada popular</v>
      </c>
      <c r="K1671" s="43">
        <v>45513</v>
      </c>
    </row>
    <row r="1672" spans="1:11">
      <c r="A1672" s="34">
        <v>0.71499999999999997</v>
      </c>
      <c r="B1672" s="32">
        <v>108</v>
      </c>
      <c r="C1672" s="33">
        <v>0.48699999999999999</v>
      </c>
      <c r="D1672" s="34">
        <v>0.63800000000000001</v>
      </c>
      <c r="E1672" s="32">
        <v>68</v>
      </c>
      <c r="F1672" s="32">
        <v>1</v>
      </c>
      <c r="G1672" s="32">
        <v>7</v>
      </c>
      <c r="H1672" s="35">
        <f ca="1">LEFT(Music_Data[[#This Row],[Duration_minutes]],3)/60</f>
        <v>3.0166666666666666</v>
      </c>
      <c r="I1672" s="34">
        <v>0.29399999999999998</v>
      </c>
      <c r="J1672" s="36" t="str">
        <f t="shared" si="26"/>
        <v>Casi nada popular</v>
      </c>
      <c r="K1672" s="42">
        <v>45464</v>
      </c>
    </row>
    <row r="1673" spans="1:11">
      <c r="A1673" s="39">
        <v>0.65900000000000003</v>
      </c>
      <c r="B1673" s="37">
        <v>950</v>
      </c>
      <c r="C1673" s="38">
        <v>0.64800000000000002</v>
      </c>
      <c r="D1673" s="39">
        <v>0.53200000000000003</v>
      </c>
      <c r="E1673" s="37">
        <v>68</v>
      </c>
      <c r="F1673" s="37">
        <v>1</v>
      </c>
      <c r="G1673" s="37">
        <v>2</v>
      </c>
      <c r="H1673" s="40">
        <f ca="1">LEFT(Music_Data[[#This Row],[Duration_minutes]],3)/60</f>
        <v>2.4333333333333331</v>
      </c>
      <c r="I1673" s="39">
        <v>0.115</v>
      </c>
      <c r="J1673" s="41" t="str">
        <f t="shared" si="26"/>
        <v>Casi nada popular</v>
      </c>
      <c r="K1673" s="43">
        <v>45457</v>
      </c>
    </row>
    <row r="1674" spans="1:11">
      <c r="A1674" s="34">
        <v>0.85</v>
      </c>
      <c r="B1674" s="32">
        <v>120</v>
      </c>
      <c r="C1674" s="33">
        <v>0.374</v>
      </c>
      <c r="D1674" s="34">
        <v>0.34799999999999998</v>
      </c>
      <c r="E1674" s="32">
        <v>68</v>
      </c>
      <c r="F1674" s="32">
        <v>0</v>
      </c>
      <c r="G1674" s="32">
        <v>4</v>
      </c>
      <c r="H1674" s="35">
        <f ca="1">LEFT(Music_Data[[#This Row],[Duration_minutes]],3)/60</f>
        <v>2.8666666666666667</v>
      </c>
      <c r="I1674" s="34">
        <v>9.0399999999999994E-2</v>
      </c>
      <c r="J1674" s="36" t="str">
        <f t="shared" si="26"/>
        <v>Casi nada popular</v>
      </c>
      <c r="K1674" s="42">
        <v>45513</v>
      </c>
    </row>
    <row r="1675" spans="1:11">
      <c r="A1675" s="39">
        <v>0.35799999999999998</v>
      </c>
      <c r="B1675" s="37">
        <v>204</v>
      </c>
      <c r="C1675" s="38">
        <v>0.71499999999999997</v>
      </c>
      <c r="D1675" s="39">
        <v>0.74199999999999999</v>
      </c>
      <c r="E1675" s="37">
        <v>68</v>
      </c>
      <c r="F1675" s="37">
        <v>1</v>
      </c>
      <c r="G1675" s="37">
        <v>5</v>
      </c>
      <c r="H1675" s="40">
        <f ca="1">LEFT(Music_Data[[#This Row],[Duration_minutes]],3)/60</f>
        <v>3.2666666666666666</v>
      </c>
      <c r="I1675" s="39">
        <v>0.74299999999999999</v>
      </c>
      <c r="J1675" s="41" t="str">
        <f t="shared" si="26"/>
        <v>Casi nada popular</v>
      </c>
      <c r="K1675" s="43">
        <v>45359</v>
      </c>
    </row>
  </sheetData>
  <mergeCells count="2">
    <mergeCell ref="A1:I2"/>
    <mergeCell ref="Q4:R4"/>
  </mergeCells>
  <phoneticPr fontId="10" type="noConversion"/>
  <hyperlinks>
    <hyperlink ref="Q4" location="TB_Distribucion!A1" display="TB_Distribucion!A1" xr:uid="{48FD20EE-5D3B-BE46-A459-837499786F25}"/>
  </hyperlinks>
  <pageMargins left="0.7" right="0.7" top="0.75" bottom="0.75" header="0.3" footer="0.3"/>
  <drawing r:id="rId4"/>
  <tableParts count="2">
    <tablePart r:id="rId5"/>
    <tablePart r:id="rId6"/>
  </tableParts>
  <extLst>
    <ext xmlns:x15="http://schemas.microsoft.com/office/spreadsheetml/2010/11/main" uri="{3A4CF648-6AED-40f4-86FF-DC5316D8AED3}">
      <x14:slicerList xmlns:x14="http://schemas.microsoft.com/office/spreadsheetml/2009/9/main">
        <x14:slicer r:id="rId7"/>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89D10-09B0-9746-A6BE-1747024D7B6C}">
  <dimension ref="A1:L106"/>
  <sheetViews>
    <sheetView zoomScale="118" workbookViewId="0">
      <selection activeCell="A7" sqref="A7"/>
    </sheetView>
  </sheetViews>
  <sheetFormatPr baseColWidth="10" defaultRowHeight="16"/>
  <cols>
    <col min="1" max="1" width="16.83203125" bestFit="1" customWidth="1"/>
    <col min="2" max="2" width="28.83203125" customWidth="1"/>
    <col min="3" max="3" width="25.5" customWidth="1"/>
    <col min="4" max="4" width="14.6640625" customWidth="1"/>
    <col min="5" max="5" width="31.33203125" customWidth="1"/>
    <col min="6" max="6" width="25" customWidth="1"/>
    <col min="7" max="7" width="16" bestFit="1" customWidth="1"/>
    <col min="8" max="8" width="24.83203125" bestFit="1" customWidth="1"/>
    <col min="9" max="9" width="24.1640625" customWidth="1"/>
    <col min="11" max="11" width="30.33203125" customWidth="1"/>
    <col min="12" max="12" width="13.6640625" customWidth="1"/>
  </cols>
  <sheetData>
    <row r="1" spans="1:12" ht="27">
      <c r="A1" s="84" t="s">
        <v>13233</v>
      </c>
      <c r="B1" s="84"/>
      <c r="C1" s="84"/>
      <c r="D1" s="84"/>
      <c r="E1" s="84"/>
      <c r="F1" s="84"/>
      <c r="G1" s="84"/>
      <c r="H1" s="84"/>
      <c r="I1" s="67" t="s">
        <v>13296</v>
      </c>
    </row>
    <row r="2" spans="1:12" ht="24">
      <c r="A2" s="85" t="s">
        <v>13234</v>
      </c>
      <c r="B2" s="85"/>
      <c r="C2" s="85"/>
      <c r="D2" s="85"/>
      <c r="E2" s="85"/>
      <c r="F2" s="85"/>
      <c r="G2" s="85"/>
      <c r="H2" s="85"/>
      <c r="I2" s="68"/>
    </row>
    <row r="3" spans="1:12" ht="24">
      <c r="A3" s="85" t="s">
        <v>13247</v>
      </c>
      <c r="B3" s="85"/>
      <c r="C3" s="85"/>
      <c r="D3" s="85"/>
      <c r="E3" s="85"/>
      <c r="F3" s="85"/>
      <c r="G3" s="85"/>
      <c r="H3" s="85"/>
      <c r="I3" s="68"/>
    </row>
    <row r="4" spans="1:12" ht="19">
      <c r="A4" s="83" t="s">
        <v>13283</v>
      </c>
      <c r="B4" s="83"/>
      <c r="C4" s="30">
        <f>COUNT(Anexas!$N7:$N34)</f>
        <v>28</v>
      </c>
      <c r="D4" s="81" t="s">
        <v>13280</v>
      </c>
      <c r="E4" s="82"/>
      <c r="F4" s="31">
        <f>COUNT(Anexas!$A2:$A54)</f>
        <v>53</v>
      </c>
      <c r="G4" s="83" t="s">
        <v>13151</v>
      </c>
      <c r="H4" s="83"/>
      <c r="I4" s="31">
        <f>COUNT(Playlists[ID_playlist_name])</f>
        <v>73</v>
      </c>
      <c r="J4" s="28"/>
      <c r="K4" s="28"/>
      <c r="L4" s="14"/>
    </row>
    <row r="5" spans="1:12" ht="19">
      <c r="A5" s="83" t="s">
        <v>13284</v>
      </c>
      <c r="B5" s="83"/>
      <c r="C5" s="29" t="e">
        <f ca="1">_xlfn.XLOOKUP(357,Generos[Cantidad de Canciones por genero],Generos[playlist_genre])</f>
        <v>#N/A</v>
      </c>
      <c r="D5" s="81" t="s">
        <v>13281</v>
      </c>
      <c r="E5" s="82"/>
      <c r="F5" s="31" t="str">
        <f ca="1">_xlfn.XLOOKUP(356,Subgenero[Canciones por subgenero],Subgenero[playlist_subgenre])</f>
        <v>Modern</v>
      </c>
      <c r="G5" s="83" t="s">
        <v>13152</v>
      </c>
      <c r="H5" s="83"/>
      <c r="I5" s="31" t="str">
        <f>_xlfn.XLOOKUP(150,Playlists[Canciones por Playlist],Playlists[playlist_name])</f>
        <v>Throwback Party</v>
      </c>
      <c r="J5" s="28"/>
      <c r="K5" s="28"/>
      <c r="L5" s="14"/>
    </row>
    <row r="6" spans="1:12" ht="19">
      <c r="A6" s="27" t="s">
        <v>13285</v>
      </c>
      <c r="B6" s="27"/>
      <c r="C6" s="31" t="e">
        <f ca="1">MAX(Generos[Cantidad de Canciones por genero])</f>
        <v>#REF!</v>
      </c>
      <c r="D6" s="81" t="s">
        <v>13282</v>
      </c>
      <c r="E6" s="82"/>
      <c r="F6" s="31">
        <f>MAX(Subgenero[Canciones por subgenero])</f>
        <v>356</v>
      </c>
      <c r="G6" s="83" t="s">
        <v>13236</v>
      </c>
      <c r="H6" s="83"/>
      <c r="I6" s="31">
        <f>MAX(Playlists[Canciones por Playlist])</f>
        <v>150</v>
      </c>
      <c r="J6" s="28"/>
      <c r="K6" s="28"/>
      <c r="L6" s="14"/>
    </row>
    <row r="7" spans="1:12">
      <c r="A7" s="15" t="s">
        <v>13155</v>
      </c>
      <c r="B7" t="s">
        <v>13278</v>
      </c>
      <c r="D7" s="15" t="s">
        <v>13273</v>
      </c>
      <c r="E7" t="s">
        <v>13279</v>
      </c>
      <c r="G7" s="15" t="s">
        <v>13156</v>
      </c>
      <c r="H7" t="s">
        <v>13277</v>
      </c>
    </row>
    <row r="8" spans="1:12">
      <c r="A8" s="11" t="s">
        <v>13267</v>
      </c>
      <c r="B8">
        <v>148</v>
      </c>
      <c r="D8" s="11" t="s">
        <v>13261</v>
      </c>
      <c r="E8">
        <v>162</v>
      </c>
      <c r="G8" s="11" t="s">
        <v>4206</v>
      </c>
      <c r="H8">
        <v>60</v>
      </c>
    </row>
    <row r="9" spans="1:12">
      <c r="A9" s="11" t="s">
        <v>13268</v>
      </c>
      <c r="B9">
        <v>100</v>
      </c>
      <c r="D9" s="11" t="s">
        <v>13263</v>
      </c>
      <c r="E9">
        <v>356</v>
      </c>
      <c r="G9" s="11" t="s">
        <v>10614</v>
      </c>
      <c r="H9">
        <v>101</v>
      </c>
    </row>
    <row r="10" spans="1:12">
      <c r="A10" s="11" t="s">
        <v>13262</v>
      </c>
      <c r="B10">
        <v>227</v>
      </c>
      <c r="D10" s="11" t="s">
        <v>13265</v>
      </c>
      <c r="E10">
        <v>101</v>
      </c>
      <c r="G10" s="11" t="s">
        <v>675</v>
      </c>
      <c r="H10">
        <v>91</v>
      </c>
    </row>
    <row r="11" spans="1:12">
      <c r="A11" s="11" t="s">
        <v>13269</v>
      </c>
      <c r="B11">
        <v>184</v>
      </c>
      <c r="D11" s="11" t="s">
        <v>13266</v>
      </c>
      <c r="E11">
        <v>150</v>
      </c>
      <c r="G11" s="11" t="s">
        <v>7830</v>
      </c>
      <c r="H11">
        <v>150</v>
      </c>
    </row>
    <row r="12" spans="1:12">
      <c r="A12" s="11" t="s">
        <v>13264</v>
      </c>
      <c r="B12">
        <v>357</v>
      </c>
      <c r="D12" s="11" t="s">
        <v>13154</v>
      </c>
      <c r="E12">
        <v>769</v>
      </c>
      <c r="G12" s="11" t="s">
        <v>4811</v>
      </c>
      <c r="H12">
        <v>100</v>
      </c>
    </row>
    <row r="13" spans="1:12">
      <c r="A13" s="11" t="s">
        <v>13270</v>
      </c>
      <c r="B13">
        <v>235</v>
      </c>
      <c r="G13" s="11" t="s">
        <v>13154</v>
      </c>
      <c r="H13">
        <v>502</v>
      </c>
    </row>
    <row r="14" spans="1:12">
      <c r="A14" s="11" t="s">
        <v>13154</v>
      </c>
      <c r="B14">
        <v>1251</v>
      </c>
    </row>
    <row r="56" spans="1:1">
      <c r="A56">
        <f>GETPIVOTDATA("Playlist_genre2",$A$7,"Playlist_genre2","Pop")</f>
        <v>357</v>
      </c>
    </row>
    <row r="78" spans="4:4">
      <c r="D78">
        <f>GETPIVOTDATA("Playlist_subgenre2",$D$7,"Playlist_subgenre2","Modern")</f>
        <v>356</v>
      </c>
    </row>
    <row r="83" spans="7:7" ht="29" customHeight="1"/>
    <row r="84" spans="7:7" ht="29" customHeight="1"/>
    <row r="85" spans="7:7" ht="29" customHeight="1"/>
    <row r="86" spans="7:7" ht="29" customHeight="1"/>
    <row r="87" spans="7:7" ht="29" customHeight="1"/>
    <row r="88" spans="7:7" ht="29" customHeight="1"/>
    <row r="89" spans="7:7" ht="29" customHeight="1"/>
    <row r="90" spans="7:7" ht="24" customHeight="1"/>
    <row r="91" spans="7:7" ht="24" customHeight="1"/>
    <row r="92" spans="7:7" ht="24" customHeight="1">
      <c r="G92">
        <f>GETPIVOTDATA("Canciones por Playlist",$G$7,"playlist_name","Throwback Party")</f>
        <v>150</v>
      </c>
    </row>
    <row r="93" spans="7:7" ht="24" customHeight="1"/>
    <row r="94" spans="7:7" ht="24" customHeight="1"/>
    <row r="95" spans="7:7" ht="24" customHeight="1"/>
    <row r="96" spans="7:7" ht="24" customHeight="1"/>
    <row r="97" ht="24" customHeight="1"/>
    <row r="98" ht="24" customHeight="1"/>
    <row r="99" ht="24" customHeight="1"/>
    <row r="100" ht="24" customHeight="1"/>
    <row r="101" ht="24" customHeight="1"/>
    <row r="102" ht="24" customHeight="1"/>
    <row r="103" ht="24" customHeight="1"/>
    <row r="104" ht="24" customHeight="1"/>
    <row r="105" ht="24" customHeight="1"/>
    <row r="106" ht="24" customHeight="1"/>
  </sheetData>
  <mergeCells count="11">
    <mergeCell ref="A1:H1"/>
    <mergeCell ref="A2:H2"/>
    <mergeCell ref="A3:H3"/>
    <mergeCell ref="D6:E6"/>
    <mergeCell ref="G4:H4"/>
    <mergeCell ref="G5:H5"/>
    <mergeCell ref="G6:H6"/>
    <mergeCell ref="A4:B4"/>
    <mergeCell ref="A5:B5"/>
    <mergeCell ref="D4:E4"/>
    <mergeCell ref="D5:E5"/>
  </mergeCells>
  <hyperlinks>
    <hyperlink ref="I1" location="'Respuestas Descriptivas'!A1" display="'Respuestas Descriptivas'!A1" xr:uid="{70FAFDFE-33B8-AF49-A326-6C69D41A2A7C}"/>
  </hyperlinks>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F58BA-FDE6-3A45-B63A-AFC92B4C4E07}">
  <dimension ref="A1:V78"/>
  <sheetViews>
    <sheetView workbookViewId="0">
      <selection activeCell="V1" sqref="V1"/>
    </sheetView>
  </sheetViews>
  <sheetFormatPr baseColWidth="10" defaultRowHeight="16"/>
  <cols>
    <col min="1" max="16384" width="10.83203125" style="6"/>
  </cols>
  <sheetData>
    <row r="1" spans="1:22" ht="29" customHeight="1">
      <c r="A1" s="100" t="s">
        <v>13249</v>
      </c>
      <c r="B1" s="101"/>
      <c r="C1" s="101"/>
      <c r="D1" s="101"/>
      <c r="E1" s="101"/>
      <c r="F1" s="101"/>
      <c r="G1" s="101"/>
      <c r="H1" s="101"/>
      <c r="I1" s="101"/>
      <c r="J1" s="101"/>
      <c r="K1" s="102"/>
      <c r="L1" s="86" t="s">
        <v>13233</v>
      </c>
      <c r="M1" s="87"/>
      <c r="N1" s="87"/>
      <c r="O1" s="87"/>
      <c r="P1" s="87"/>
      <c r="Q1" s="87"/>
      <c r="R1" s="87"/>
      <c r="S1" s="87"/>
      <c r="T1" s="87"/>
      <c r="U1" s="88"/>
      <c r="V1" s="70" t="s">
        <v>13295</v>
      </c>
    </row>
    <row r="2" spans="1:22" ht="29" customHeight="1">
      <c r="A2" s="103"/>
      <c r="B2" s="79"/>
      <c r="C2" s="79"/>
      <c r="D2" s="79"/>
      <c r="E2" s="79"/>
      <c r="F2" s="79"/>
      <c r="G2" s="79"/>
      <c r="H2" s="79"/>
      <c r="I2" s="79"/>
      <c r="J2" s="79"/>
      <c r="K2" s="104"/>
      <c r="L2" s="89"/>
      <c r="M2" s="90"/>
      <c r="N2" s="90"/>
      <c r="O2" s="90"/>
      <c r="P2" s="90"/>
      <c r="Q2" s="90"/>
      <c r="R2" s="90"/>
      <c r="S2" s="90"/>
      <c r="T2" s="90"/>
      <c r="U2" s="91"/>
    </row>
    <row r="3" spans="1:22" ht="29" customHeight="1">
      <c r="A3" s="50"/>
      <c r="K3" s="51"/>
      <c r="L3" s="50"/>
      <c r="U3" s="51"/>
    </row>
    <row r="4" spans="1:22" ht="29" customHeight="1">
      <c r="A4" s="92" t="s">
        <v>13254</v>
      </c>
      <c r="B4" s="93"/>
      <c r="C4" s="93"/>
      <c r="D4" s="93"/>
      <c r="E4" s="93"/>
      <c r="F4" s="93"/>
      <c r="G4" s="93"/>
      <c r="H4" s="93"/>
      <c r="I4" s="93"/>
      <c r="J4" s="93"/>
      <c r="K4" s="94"/>
      <c r="L4" s="92" t="s">
        <v>13248</v>
      </c>
      <c r="M4" s="93"/>
      <c r="N4" s="93"/>
      <c r="O4" s="93"/>
      <c r="P4" s="93"/>
      <c r="Q4" s="93"/>
      <c r="R4" s="93"/>
      <c r="S4" s="93"/>
      <c r="T4" s="93"/>
      <c r="U4" s="94"/>
    </row>
    <row r="5" spans="1:22" ht="29" customHeight="1">
      <c r="A5" s="92"/>
      <c r="B5" s="93"/>
      <c r="C5" s="93"/>
      <c r="D5" s="93"/>
      <c r="E5" s="93"/>
      <c r="F5" s="93"/>
      <c r="G5" s="93"/>
      <c r="H5" s="93"/>
      <c r="I5" s="93"/>
      <c r="J5" s="93"/>
      <c r="K5" s="94"/>
      <c r="L5" s="92"/>
      <c r="M5" s="93"/>
      <c r="N5" s="93"/>
      <c r="O5" s="93"/>
      <c r="P5" s="93"/>
      <c r="Q5" s="93"/>
      <c r="R5" s="93"/>
      <c r="S5" s="93"/>
      <c r="T5" s="93"/>
      <c r="U5" s="94"/>
    </row>
    <row r="6" spans="1:22" ht="29" customHeight="1">
      <c r="A6" s="92"/>
      <c r="B6" s="93"/>
      <c r="C6" s="93"/>
      <c r="D6" s="93"/>
      <c r="E6" s="93"/>
      <c r="F6" s="93"/>
      <c r="G6" s="93"/>
      <c r="H6" s="93"/>
      <c r="I6" s="93"/>
      <c r="J6" s="93"/>
      <c r="K6" s="94"/>
      <c r="L6" s="92"/>
      <c r="M6" s="93"/>
      <c r="N6" s="93"/>
      <c r="O6" s="93"/>
      <c r="P6" s="93"/>
      <c r="Q6" s="93"/>
      <c r="R6" s="93"/>
      <c r="S6" s="93"/>
      <c r="T6" s="93"/>
      <c r="U6" s="94"/>
    </row>
    <row r="7" spans="1:22" ht="29" customHeight="1">
      <c r="A7" s="92"/>
      <c r="B7" s="93"/>
      <c r="C7" s="93"/>
      <c r="D7" s="93"/>
      <c r="E7" s="93"/>
      <c r="F7" s="93"/>
      <c r="G7" s="93"/>
      <c r="H7" s="93"/>
      <c r="I7" s="93"/>
      <c r="J7" s="93"/>
      <c r="K7" s="94"/>
      <c r="L7" s="95" t="s">
        <v>13287</v>
      </c>
      <c r="M7" s="96"/>
      <c r="N7" s="96"/>
      <c r="O7" s="96"/>
      <c r="P7" s="96"/>
      <c r="Q7" s="96"/>
      <c r="R7" s="96"/>
      <c r="S7" s="96"/>
      <c r="T7" s="96"/>
      <c r="U7" s="97"/>
    </row>
    <row r="8" spans="1:22" ht="16" customHeight="1">
      <c r="A8" s="92"/>
      <c r="B8" s="93"/>
      <c r="C8" s="93"/>
      <c r="D8" s="93"/>
      <c r="E8" s="93"/>
      <c r="F8" s="93"/>
      <c r="G8" s="93"/>
      <c r="H8" s="93"/>
      <c r="I8" s="93"/>
      <c r="J8" s="93"/>
      <c r="K8" s="94"/>
      <c r="L8" s="95"/>
      <c r="M8" s="96"/>
      <c r="N8" s="96"/>
      <c r="O8" s="96"/>
      <c r="P8" s="96"/>
      <c r="Q8" s="96"/>
      <c r="R8" s="96"/>
      <c r="S8" s="96"/>
      <c r="T8" s="96"/>
      <c r="U8" s="97"/>
    </row>
    <row r="9" spans="1:22" ht="24" customHeight="1">
      <c r="A9" s="92"/>
      <c r="B9" s="93"/>
      <c r="C9" s="93"/>
      <c r="D9" s="93"/>
      <c r="E9" s="93"/>
      <c r="F9" s="93"/>
      <c r="G9" s="93"/>
      <c r="H9" s="93"/>
      <c r="I9" s="93"/>
      <c r="J9" s="93"/>
      <c r="K9" s="94"/>
      <c r="L9" s="95"/>
      <c r="M9" s="96"/>
      <c r="N9" s="96"/>
      <c r="O9" s="96"/>
      <c r="P9" s="96"/>
      <c r="Q9" s="96"/>
      <c r="R9" s="96"/>
      <c r="S9" s="96"/>
      <c r="T9" s="96"/>
      <c r="U9" s="97"/>
    </row>
    <row r="10" spans="1:22" ht="24" customHeight="1">
      <c r="A10" s="105" t="s">
        <v>13256</v>
      </c>
      <c r="B10" s="106"/>
      <c r="C10" s="106"/>
      <c r="D10" s="106"/>
      <c r="E10" s="106"/>
      <c r="F10" s="106"/>
      <c r="G10" s="106"/>
      <c r="H10" s="106"/>
      <c r="I10" s="106"/>
      <c r="J10" s="106"/>
      <c r="K10" s="107"/>
      <c r="L10" s="95"/>
      <c r="M10" s="96"/>
      <c r="N10" s="96"/>
      <c r="O10" s="96"/>
      <c r="P10" s="96"/>
      <c r="Q10" s="96"/>
      <c r="R10" s="96"/>
      <c r="S10" s="96"/>
      <c r="T10" s="96"/>
      <c r="U10" s="97"/>
    </row>
    <row r="11" spans="1:22" ht="24" customHeight="1">
      <c r="A11" s="105"/>
      <c r="B11" s="106"/>
      <c r="C11" s="106"/>
      <c r="D11" s="106"/>
      <c r="E11" s="106"/>
      <c r="F11" s="106"/>
      <c r="G11" s="106"/>
      <c r="H11" s="106"/>
      <c r="I11" s="106"/>
      <c r="J11" s="106"/>
      <c r="K11" s="107"/>
      <c r="L11" s="95"/>
      <c r="M11" s="96"/>
      <c r="N11" s="96"/>
      <c r="O11" s="96"/>
      <c r="P11" s="96"/>
      <c r="Q11" s="96"/>
      <c r="R11" s="96"/>
      <c r="S11" s="96"/>
      <c r="T11" s="96"/>
      <c r="U11" s="97"/>
    </row>
    <row r="12" spans="1:22" ht="24" customHeight="1">
      <c r="A12" s="105"/>
      <c r="B12" s="106"/>
      <c r="C12" s="106"/>
      <c r="D12" s="106"/>
      <c r="E12" s="106"/>
      <c r="F12" s="106"/>
      <c r="G12" s="106"/>
      <c r="H12" s="106"/>
      <c r="I12" s="106"/>
      <c r="J12" s="106"/>
      <c r="K12" s="107"/>
      <c r="L12" s="95"/>
      <c r="M12" s="96"/>
      <c r="N12" s="96"/>
      <c r="O12" s="96"/>
      <c r="P12" s="96"/>
      <c r="Q12" s="96"/>
      <c r="R12" s="96"/>
      <c r="S12" s="96"/>
      <c r="T12" s="96"/>
      <c r="U12" s="97"/>
    </row>
    <row r="13" spans="1:22" ht="24" customHeight="1">
      <c r="A13" s="105"/>
      <c r="B13" s="106"/>
      <c r="C13" s="106"/>
      <c r="D13" s="106"/>
      <c r="E13" s="106"/>
      <c r="F13" s="106"/>
      <c r="G13" s="106"/>
      <c r="H13" s="106"/>
      <c r="I13" s="106"/>
      <c r="J13" s="106"/>
      <c r="K13" s="107"/>
      <c r="L13" s="95"/>
      <c r="M13" s="96"/>
      <c r="N13" s="96"/>
      <c r="O13" s="96"/>
      <c r="P13" s="96"/>
      <c r="Q13" s="96"/>
      <c r="R13" s="96"/>
      <c r="S13" s="96"/>
      <c r="T13" s="96"/>
      <c r="U13" s="97"/>
    </row>
    <row r="14" spans="1:22" ht="24" customHeight="1">
      <c r="A14" s="105"/>
      <c r="B14" s="106"/>
      <c r="C14" s="106"/>
      <c r="D14" s="106"/>
      <c r="E14" s="106"/>
      <c r="F14" s="106"/>
      <c r="G14" s="106"/>
      <c r="H14" s="106"/>
      <c r="I14" s="106"/>
      <c r="J14" s="106"/>
      <c r="K14" s="107"/>
      <c r="L14" s="95"/>
      <c r="M14" s="96"/>
      <c r="N14" s="96"/>
      <c r="O14" s="96"/>
      <c r="P14" s="96"/>
      <c r="Q14" s="96"/>
      <c r="R14" s="96"/>
      <c r="S14" s="96"/>
      <c r="T14" s="96"/>
      <c r="U14" s="97"/>
    </row>
    <row r="15" spans="1:22" ht="24" customHeight="1">
      <c r="A15" s="105"/>
      <c r="B15" s="106"/>
      <c r="C15" s="106"/>
      <c r="D15" s="106"/>
      <c r="E15" s="106"/>
      <c r="F15" s="106"/>
      <c r="G15" s="106"/>
      <c r="H15" s="106"/>
      <c r="I15" s="106"/>
      <c r="J15" s="106"/>
      <c r="K15" s="107"/>
      <c r="L15" s="50"/>
      <c r="U15" s="51"/>
    </row>
    <row r="16" spans="1:22" ht="24" customHeight="1">
      <c r="A16" s="50"/>
      <c r="K16" s="51"/>
      <c r="L16" s="50"/>
      <c r="U16" s="51"/>
    </row>
    <row r="17" spans="1:21" ht="24" customHeight="1">
      <c r="A17" s="108" t="s">
        <v>13255</v>
      </c>
      <c r="B17" s="109"/>
      <c r="C17" s="109"/>
      <c r="D17" s="109"/>
      <c r="E17" s="109"/>
      <c r="F17" s="109"/>
      <c r="G17" s="109"/>
      <c r="H17" s="109"/>
      <c r="I17" s="109"/>
      <c r="J17" s="109"/>
      <c r="K17" s="110"/>
      <c r="L17" s="50"/>
      <c r="U17" s="51"/>
    </row>
    <row r="18" spans="1:21" ht="24" customHeight="1">
      <c r="A18" s="108"/>
      <c r="B18" s="109"/>
      <c r="C18" s="109"/>
      <c r="D18" s="109"/>
      <c r="E18" s="109"/>
      <c r="F18" s="109"/>
      <c r="G18" s="109"/>
      <c r="H18" s="109"/>
      <c r="I18" s="109"/>
      <c r="J18" s="109"/>
      <c r="K18" s="110"/>
      <c r="L18" s="50"/>
      <c r="U18" s="51"/>
    </row>
    <row r="19" spans="1:21" ht="24" customHeight="1">
      <c r="A19" s="108"/>
      <c r="B19" s="109"/>
      <c r="C19" s="109"/>
      <c r="D19" s="109"/>
      <c r="E19" s="109"/>
      <c r="F19" s="109"/>
      <c r="G19" s="109"/>
      <c r="H19" s="109"/>
      <c r="I19" s="109"/>
      <c r="J19" s="109"/>
      <c r="K19" s="110"/>
      <c r="L19" s="50"/>
      <c r="U19" s="51"/>
    </row>
    <row r="20" spans="1:21" ht="24" customHeight="1">
      <c r="A20" s="108"/>
      <c r="B20" s="109"/>
      <c r="C20" s="109"/>
      <c r="D20" s="109"/>
      <c r="E20" s="109"/>
      <c r="F20" s="109"/>
      <c r="G20" s="109"/>
      <c r="H20" s="109"/>
      <c r="I20" s="109"/>
      <c r="J20" s="109"/>
      <c r="K20" s="110"/>
      <c r="L20" s="50"/>
      <c r="U20" s="51"/>
    </row>
    <row r="21" spans="1:21" ht="24" customHeight="1">
      <c r="A21" s="108"/>
      <c r="B21" s="109"/>
      <c r="C21" s="109"/>
      <c r="D21" s="109"/>
      <c r="E21" s="109"/>
      <c r="F21" s="109"/>
      <c r="G21" s="109"/>
      <c r="H21" s="109"/>
      <c r="I21" s="109"/>
      <c r="J21" s="109"/>
      <c r="K21" s="110"/>
      <c r="L21" s="50"/>
      <c r="U21" s="51"/>
    </row>
    <row r="22" spans="1:21" ht="24" customHeight="1">
      <c r="A22" s="108"/>
      <c r="B22" s="109"/>
      <c r="C22" s="109"/>
      <c r="D22" s="109"/>
      <c r="E22" s="109"/>
      <c r="F22" s="109"/>
      <c r="G22" s="109"/>
      <c r="H22" s="109"/>
      <c r="I22" s="109"/>
      <c r="J22" s="109"/>
      <c r="K22" s="110"/>
      <c r="L22" s="50"/>
      <c r="U22" s="51"/>
    </row>
    <row r="23" spans="1:21" ht="24" customHeight="1" thickBot="1">
      <c r="A23" s="111"/>
      <c r="B23" s="112"/>
      <c r="C23" s="112"/>
      <c r="D23" s="112"/>
      <c r="E23" s="112"/>
      <c r="F23" s="112"/>
      <c r="G23" s="112"/>
      <c r="H23" s="112"/>
      <c r="I23" s="112"/>
      <c r="J23" s="112"/>
      <c r="K23" s="113"/>
      <c r="L23" s="52"/>
      <c r="M23" s="53"/>
      <c r="N23" s="53"/>
      <c r="O23" s="53"/>
      <c r="P23" s="53"/>
      <c r="Q23" s="53"/>
      <c r="R23" s="53"/>
      <c r="S23" s="53"/>
      <c r="T23" s="53"/>
      <c r="U23" s="54"/>
    </row>
    <row r="24" spans="1:21" ht="24" customHeight="1">
      <c r="A24" s="48"/>
      <c r="B24" s="48"/>
      <c r="C24" s="98" t="s">
        <v>13288</v>
      </c>
      <c r="D24" s="98"/>
      <c r="E24" s="98"/>
      <c r="F24" s="98"/>
      <c r="G24" s="98"/>
      <c r="H24" s="98"/>
      <c r="I24" s="98"/>
      <c r="J24" s="98"/>
      <c r="K24" s="98"/>
      <c r="L24" s="98"/>
      <c r="M24" s="98"/>
      <c r="N24" s="98"/>
      <c r="O24" s="98"/>
      <c r="P24" s="98"/>
      <c r="Q24" s="98"/>
      <c r="R24" s="98"/>
      <c r="S24" s="98"/>
      <c r="T24" s="49"/>
      <c r="U24" s="49"/>
    </row>
    <row r="25" spans="1:21" ht="16" customHeight="1">
      <c r="C25" s="99"/>
      <c r="D25" s="99"/>
      <c r="E25" s="99"/>
      <c r="F25" s="99"/>
      <c r="G25" s="99"/>
      <c r="H25" s="99"/>
      <c r="I25" s="99"/>
      <c r="J25" s="99"/>
      <c r="K25" s="99"/>
      <c r="L25" s="99"/>
      <c r="M25" s="99"/>
      <c r="N25" s="99"/>
      <c r="O25" s="99"/>
      <c r="P25" s="99"/>
      <c r="Q25" s="99"/>
      <c r="R25" s="99"/>
      <c r="S25" s="99"/>
      <c r="T25" s="49"/>
      <c r="U25" s="49"/>
    </row>
    <row r="26" spans="1:21" ht="16" customHeight="1">
      <c r="C26" s="99"/>
      <c r="D26" s="99"/>
      <c r="E26" s="99"/>
      <c r="F26" s="99"/>
      <c r="G26" s="99"/>
      <c r="H26" s="99"/>
      <c r="I26" s="99"/>
      <c r="J26" s="99"/>
      <c r="K26" s="99"/>
      <c r="L26" s="99"/>
      <c r="M26" s="99"/>
      <c r="N26" s="99"/>
      <c r="O26" s="99"/>
      <c r="P26" s="99"/>
      <c r="Q26" s="99"/>
      <c r="R26" s="99"/>
      <c r="S26" s="99"/>
      <c r="T26" s="49"/>
      <c r="U26" s="49"/>
    </row>
    <row r="27" spans="1:21" ht="16" customHeight="1">
      <c r="C27" s="99"/>
      <c r="D27" s="99"/>
      <c r="E27" s="99"/>
      <c r="F27" s="99"/>
      <c r="G27" s="99"/>
      <c r="H27" s="99"/>
      <c r="I27" s="99"/>
      <c r="J27" s="99"/>
      <c r="K27" s="99"/>
      <c r="L27" s="99"/>
      <c r="M27" s="99"/>
      <c r="N27" s="99"/>
      <c r="O27" s="99"/>
      <c r="P27" s="99"/>
      <c r="Q27" s="99"/>
      <c r="R27" s="99"/>
      <c r="S27" s="99"/>
      <c r="T27" s="49"/>
      <c r="U27" s="49"/>
    </row>
    <row r="28" spans="1:21" ht="16" customHeight="1">
      <c r="C28" s="99"/>
      <c r="D28" s="99"/>
      <c r="E28" s="99"/>
      <c r="F28" s="99"/>
      <c r="G28" s="99"/>
      <c r="H28" s="99"/>
      <c r="I28" s="99"/>
      <c r="J28" s="99"/>
      <c r="K28" s="99"/>
      <c r="L28" s="99"/>
      <c r="M28" s="99"/>
      <c r="N28" s="99"/>
      <c r="O28" s="99"/>
      <c r="P28" s="99"/>
      <c r="Q28" s="99"/>
      <c r="R28" s="99"/>
      <c r="S28" s="99"/>
      <c r="T28" s="49"/>
      <c r="U28" s="49"/>
    </row>
    <row r="29" spans="1:21" ht="16" customHeight="1">
      <c r="C29" s="99"/>
      <c r="D29" s="99"/>
      <c r="E29" s="99"/>
      <c r="F29" s="99"/>
      <c r="G29" s="99"/>
      <c r="H29" s="99"/>
      <c r="I29" s="99"/>
      <c r="J29" s="99"/>
      <c r="K29" s="99"/>
      <c r="L29" s="99"/>
      <c r="M29" s="99"/>
      <c r="N29" s="99"/>
      <c r="O29" s="99"/>
      <c r="P29" s="99"/>
      <c r="Q29" s="99"/>
      <c r="R29" s="99"/>
      <c r="S29" s="99"/>
      <c r="T29" s="49"/>
      <c r="U29" s="49"/>
    </row>
    <row r="30" spans="1:21" ht="16" customHeight="1">
      <c r="C30" s="99"/>
      <c r="D30" s="99"/>
      <c r="E30" s="99"/>
      <c r="F30" s="99"/>
      <c r="G30" s="99"/>
      <c r="H30" s="99"/>
      <c r="I30" s="99"/>
      <c r="J30" s="99"/>
      <c r="K30" s="99"/>
      <c r="L30" s="99"/>
      <c r="M30" s="99"/>
      <c r="N30" s="99"/>
      <c r="O30" s="99"/>
      <c r="P30" s="99"/>
      <c r="Q30" s="99"/>
      <c r="R30" s="99"/>
      <c r="S30" s="99"/>
      <c r="T30" s="49"/>
      <c r="U30" s="49"/>
    </row>
    <row r="31" spans="1:21" ht="16" customHeight="1">
      <c r="C31" s="99"/>
      <c r="D31" s="99"/>
      <c r="E31" s="99"/>
      <c r="F31" s="99"/>
      <c r="G31" s="99"/>
      <c r="H31" s="99"/>
      <c r="I31" s="99"/>
      <c r="J31" s="99"/>
      <c r="K31" s="99"/>
      <c r="L31" s="99"/>
      <c r="M31" s="99"/>
      <c r="N31" s="99"/>
      <c r="O31" s="99"/>
      <c r="P31" s="99"/>
      <c r="Q31" s="99"/>
      <c r="R31" s="99"/>
      <c r="S31" s="99"/>
      <c r="T31" s="49"/>
      <c r="U31" s="49"/>
    </row>
    <row r="32" spans="1:21" ht="16" customHeight="1">
      <c r="F32" s="55"/>
      <c r="G32" s="55"/>
      <c r="H32" s="55"/>
      <c r="I32" s="55"/>
      <c r="J32" s="55"/>
      <c r="K32" s="55"/>
      <c r="L32" s="55"/>
      <c r="M32" s="55"/>
      <c r="N32" s="55"/>
      <c r="O32" s="55"/>
      <c r="P32" s="55"/>
      <c r="Q32" s="49"/>
      <c r="R32" s="49"/>
      <c r="S32" s="49"/>
      <c r="T32" s="49"/>
      <c r="U32" s="49"/>
    </row>
    <row r="33" spans="6:16" ht="16" customHeight="1">
      <c r="F33" s="55"/>
      <c r="G33" s="55"/>
      <c r="H33" s="55"/>
      <c r="I33" s="55"/>
      <c r="J33" s="55"/>
      <c r="K33" s="55"/>
      <c r="L33" s="55"/>
      <c r="M33" s="55"/>
      <c r="N33" s="55"/>
      <c r="O33" s="55"/>
      <c r="P33" s="55"/>
    </row>
    <row r="34" spans="6:16" ht="16" customHeight="1">
      <c r="F34" s="55"/>
      <c r="G34" s="55"/>
      <c r="H34" s="55"/>
      <c r="I34" s="55"/>
      <c r="J34" s="55"/>
      <c r="K34" s="55"/>
      <c r="L34" s="55"/>
      <c r="M34" s="55"/>
      <c r="N34" s="55"/>
      <c r="O34" s="55"/>
      <c r="P34" s="55"/>
    </row>
    <row r="35" spans="6:16" ht="16" customHeight="1">
      <c r="F35" s="55"/>
      <c r="G35" s="55"/>
      <c r="H35" s="55"/>
      <c r="I35" s="55"/>
      <c r="J35" s="55"/>
      <c r="K35" s="55"/>
      <c r="L35" s="55"/>
      <c r="M35" s="55"/>
      <c r="N35" s="55"/>
      <c r="O35" s="55"/>
      <c r="P35" s="55"/>
    </row>
    <row r="36" spans="6:16" ht="27" customHeight="1">
      <c r="F36" s="55"/>
      <c r="G36" s="55"/>
      <c r="H36" s="55"/>
      <c r="I36" s="55"/>
      <c r="J36" s="55"/>
      <c r="K36" s="55"/>
      <c r="L36" s="55"/>
      <c r="M36" s="55"/>
      <c r="N36" s="55"/>
      <c r="O36" s="55"/>
      <c r="P36" s="55"/>
    </row>
    <row r="37" spans="6:16" ht="16" customHeight="1">
      <c r="F37" s="55"/>
      <c r="G37" s="55"/>
      <c r="H37" s="55"/>
      <c r="I37" s="55"/>
      <c r="J37" s="55"/>
      <c r="K37" s="55"/>
      <c r="L37" s="55"/>
      <c r="M37" s="55"/>
      <c r="N37" s="55"/>
      <c r="O37" s="55"/>
      <c r="P37" s="55"/>
    </row>
    <row r="38" spans="6:16" ht="16" customHeight="1">
      <c r="F38" s="55"/>
      <c r="G38" s="55"/>
      <c r="H38" s="55"/>
      <c r="I38" s="55"/>
      <c r="J38" s="55"/>
      <c r="K38" s="55"/>
      <c r="L38" s="55"/>
      <c r="M38" s="55"/>
      <c r="N38" s="55"/>
      <c r="O38" s="55"/>
      <c r="P38" s="55"/>
    </row>
    <row r="52" ht="16" customHeight="1"/>
    <row r="53" ht="16" customHeight="1"/>
    <row r="54" ht="16" customHeight="1"/>
    <row r="55" ht="16" customHeight="1"/>
    <row r="56" ht="16" customHeight="1"/>
    <row r="57" ht="16" customHeight="1"/>
    <row r="58" ht="16" customHeight="1"/>
    <row r="59" ht="16" customHeight="1"/>
    <row r="60" ht="16" customHeight="1"/>
    <row r="61" ht="16" customHeight="1"/>
    <row r="62" ht="16" customHeight="1"/>
    <row r="63" ht="16" customHeight="1"/>
    <row r="64" ht="16" customHeight="1"/>
    <row r="65" spans="1:11" ht="16" customHeight="1">
      <c r="A65" s="9"/>
      <c r="B65" s="9"/>
      <c r="C65" s="9"/>
      <c r="D65" s="9"/>
      <c r="E65" s="9"/>
      <c r="F65" s="9"/>
      <c r="G65" s="9"/>
      <c r="H65" s="9"/>
      <c r="I65" s="9"/>
      <c r="J65" s="9"/>
      <c r="K65" s="9"/>
    </row>
    <row r="66" spans="1:11" ht="16" customHeight="1">
      <c r="A66" s="9"/>
      <c r="B66" s="9"/>
      <c r="C66" s="9"/>
      <c r="D66" s="9"/>
      <c r="E66" s="9"/>
      <c r="F66" s="9"/>
      <c r="G66" s="9"/>
      <c r="H66" s="9"/>
      <c r="I66" s="9"/>
      <c r="J66" s="9"/>
      <c r="K66" s="9"/>
    </row>
    <row r="67" spans="1:11" ht="16" customHeight="1">
      <c r="A67" s="9"/>
      <c r="B67" s="9"/>
      <c r="C67" s="9"/>
      <c r="D67" s="9"/>
      <c r="E67" s="9"/>
      <c r="F67" s="9"/>
      <c r="G67" s="9"/>
      <c r="H67" s="9"/>
      <c r="I67" s="9"/>
      <c r="J67" s="9"/>
      <c r="K67" s="9"/>
    </row>
    <row r="68" spans="1:11" ht="16" customHeight="1"/>
    <row r="69" spans="1:11" ht="16" customHeight="1"/>
    <row r="70" spans="1:11" ht="16" customHeight="1"/>
    <row r="71" spans="1:11" ht="16" customHeight="1"/>
    <row r="72" spans="1:11" ht="16" customHeight="1"/>
    <row r="73" spans="1:11" ht="16" customHeight="1"/>
    <row r="74" spans="1:11" ht="16" customHeight="1"/>
    <row r="75" spans="1:11" ht="16" customHeight="1"/>
    <row r="76" spans="1:11">
      <c r="A76" s="9"/>
      <c r="B76" s="9"/>
      <c r="C76" s="9"/>
      <c r="D76" s="9"/>
      <c r="E76" s="9"/>
      <c r="F76" s="9"/>
      <c r="G76" s="9"/>
      <c r="H76" s="9"/>
      <c r="I76" s="9"/>
      <c r="J76" s="9"/>
      <c r="K76" s="9"/>
    </row>
    <row r="77" spans="1:11">
      <c r="A77" s="9"/>
      <c r="B77" s="9"/>
      <c r="C77" s="9"/>
      <c r="D77" s="9"/>
      <c r="E77" s="9"/>
      <c r="F77" s="9"/>
      <c r="G77" s="9"/>
      <c r="H77" s="9"/>
      <c r="I77" s="9"/>
      <c r="J77" s="9"/>
      <c r="K77" s="9"/>
    </row>
    <row r="78" spans="1:11">
      <c r="A78" s="9"/>
      <c r="B78" s="9"/>
      <c r="C78" s="9"/>
      <c r="D78" s="9"/>
      <c r="E78" s="9"/>
      <c r="F78" s="9"/>
      <c r="G78" s="9"/>
      <c r="H78" s="9"/>
      <c r="I78" s="9"/>
      <c r="J78" s="9"/>
      <c r="K78" s="9"/>
    </row>
  </sheetData>
  <mergeCells count="8">
    <mergeCell ref="L1:U2"/>
    <mergeCell ref="L4:U6"/>
    <mergeCell ref="L7:U14"/>
    <mergeCell ref="C24:S31"/>
    <mergeCell ref="A1:K2"/>
    <mergeCell ref="A4:K9"/>
    <mergeCell ref="A10:K15"/>
    <mergeCell ref="A17:K23"/>
  </mergeCells>
  <hyperlinks>
    <hyperlink ref="V1" location="Dashboard!A1" display="Dashboard!A1" xr:uid="{2831DF4A-E0B5-654D-BCC6-2F7BCD2F2554}"/>
  </hyperlink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93A4B-B4DA-D345-908D-C00D576DD418}">
  <dimension ref="A1:P1687"/>
  <sheetViews>
    <sheetView zoomScale="118" zoomScaleNormal="150" workbookViewId="0">
      <selection activeCell="N7" sqref="N7:P34"/>
    </sheetView>
  </sheetViews>
  <sheetFormatPr baseColWidth="10" defaultRowHeight="16"/>
  <cols>
    <col min="1" max="1" width="19.5" style="10" customWidth="1"/>
    <col min="2" max="2" width="16.83203125" customWidth="1"/>
    <col min="3" max="3" width="23" style="10" customWidth="1"/>
    <col min="5" max="5" width="19.6640625" customWidth="1"/>
    <col min="6" max="6" width="15.1640625" customWidth="1"/>
    <col min="7" max="7" width="30" customWidth="1"/>
    <col min="9" max="9" width="19.6640625" customWidth="1"/>
    <col min="10" max="10" width="26.6640625" customWidth="1"/>
    <col min="11" max="11" width="21.6640625" customWidth="1"/>
    <col min="12" max="12" width="26.83203125" customWidth="1"/>
    <col min="13" max="13" width="23.6640625" customWidth="1"/>
    <col min="14" max="14" width="21" customWidth="1"/>
    <col min="15" max="15" width="24.33203125" customWidth="1"/>
    <col min="16" max="16" width="28.5" customWidth="1"/>
  </cols>
  <sheetData>
    <row r="1" spans="1:16">
      <c r="A1" s="9" t="s">
        <v>13148</v>
      </c>
      <c r="B1" s="6" t="s">
        <v>26</v>
      </c>
      <c r="C1" s="9" t="s">
        <v>13149</v>
      </c>
      <c r="I1" s="9" t="s">
        <v>13150</v>
      </c>
      <c r="J1" s="9" t="s">
        <v>14</v>
      </c>
      <c r="K1" s="6" t="s">
        <v>13153</v>
      </c>
    </row>
    <row r="2" spans="1:16">
      <c r="A2" s="10">
        <v>1</v>
      </c>
      <c r="B2" s="23" t="s">
        <v>5991</v>
      </c>
      <c r="C2" s="10">
        <f>COUNTIF(G30:G1687,"80s")</f>
        <v>44</v>
      </c>
      <c r="I2" s="10">
        <v>1</v>
      </c>
      <c r="J2" s="10" t="s">
        <v>5990</v>
      </c>
      <c r="K2">
        <f>COUNTIF(TB_Music_Data!H1629:H1675,"80s Rock Anthems")</f>
        <v>9</v>
      </c>
    </row>
    <row r="3" spans="1:16">
      <c r="A3" s="10">
        <v>2</v>
      </c>
      <c r="B3" s="23" t="s">
        <v>5843</v>
      </c>
      <c r="C3" s="10">
        <f>COUNTIF(G30:G1687,"90s")</f>
        <v>19</v>
      </c>
      <c r="I3" s="10">
        <v>2</v>
      </c>
      <c r="J3" s="10" t="s">
        <v>5837</v>
      </c>
      <c r="K3">
        <f>COUNTIF(Music_Data[Playlist_name],"90s hip-hop")</f>
        <v>19</v>
      </c>
    </row>
    <row r="4" spans="1:16">
      <c r="A4" s="10">
        <v>3</v>
      </c>
      <c r="B4" s="10" t="str">
        <f ca="1">PROPER(Subgenero[[#This Row],[playlist_subgenre]])</f>
        <v>Academic</v>
      </c>
      <c r="C4" s="10">
        <f>COUNTIF(G30:G1687,"academic")</f>
        <v>42</v>
      </c>
      <c r="I4" s="10">
        <v>3</v>
      </c>
      <c r="J4" s="10" t="s">
        <v>5459</v>
      </c>
      <c r="K4">
        <f>COUNTIF(Music_Data[Playlist_name],"African Heat")</f>
        <v>10</v>
      </c>
    </row>
    <row r="5" spans="1:16">
      <c r="A5" s="10">
        <v>4</v>
      </c>
      <c r="B5" s="10" t="str">
        <f ca="1">PROPER(Subgenero[[#This Row],[playlist_subgenre]])</f>
        <v>African</v>
      </c>
      <c r="C5" s="10">
        <f>COUNTIF(G30:G1687,"african")</f>
        <v>12</v>
      </c>
      <c r="I5" s="10">
        <v>4</v>
      </c>
      <c r="J5" s="10" t="s">
        <v>2954</v>
      </c>
      <c r="K5">
        <f>COUNTIF(Music_Data[Playlist_name],"Afro Hits")</f>
        <v>5</v>
      </c>
    </row>
    <row r="6" spans="1:16">
      <c r="A6" s="10">
        <v>5</v>
      </c>
      <c r="B6" s="10" t="str">
        <f ca="1">PROPER(Subgenero[[#This Row],[playlist_subgenre]])</f>
        <v>Afro House</v>
      </c>
      <c r="C6" s="10">
        <f>COUNTIF(G30:G1687,"afro house")</f>
        <v>11</v>
      </c>
      <c r="I6" s="10">
        <v>5</v>
      </c>
      <c r="J6" s="10" t="s">
        <v>12536</v>
      </c>
      <c r="K6">
        <f>COUNTIF(Music_Data[Playlist_name],"Afro House")</f>
        <v>11</v>
      </c>
      <c r="N6" s="9" t="s">
        <v>13146</v>
      </c>
      <c r="O6" s="6" t="s">
        <v>3</v>
      </c>
      <c r="P6" s="13" t="s">
        <v>13147</v>
      </c>
    </row>
    <row r="7" spans="1:16">
      <c r="A7" s="10">
        <v>6</v>
      </c>
      <c r="B7" s="10" t="str">
        <f ca="1">PROPER(Subgenero[[#This Row],[playlist_subgenre]])</f>
        <v>Afro-Latin</v>
      </c>
      <c r="C7" s="10">
        <f>COUNTIF(G30:G1687,"afro-latin")</f>
        <v>11</v>
      </c>
      <c r="I7" s="10">
        <v>6</v>
      </c>
      <c r="J7" s="10" t="s">
        <v>13090</v>
      </c>
      <c r="K7">
        <f>COUNTIF(Music_Data[Playlist_name],"Afro-Latin Party")</f>
        <v>11</v>
      </c>
      <c r="N7" s="10">
        <v>1</v>
      </c>
      <c r="O7" s="10" t="s">
        <v>13297</v>
      </c>
      <c r="P7">
        <f ca="1">COUNTIF(Music_Data[Playlist_genre2],"afrobeats")</f>
        <v>0</v>
      </c>
    </row>
    <row r="8" spans="1:16">
      <c r="A8" s="10">
        <v>7</v>
      </c>
      <c r="B8" s="10" t="str">
        <f ca="1">PROPER(Subgenero[[#This Row],[playlist_subgenre]])</f>
        <v>Alternative</v>
      </c>
      <c r="C8" s="10">
        <f>COUNTIF(G30:G1687,"alternative")</f>
        <v>46</v>
      </c>
      <c r="I8" s="10">
        <v>7</v>
      </c>
      <c r="J8" s="10" t="s">
        <v>8930</v>
      </c>
      <c r="K8">
        <f>COUNTIF(Music_Data[Playlist_name],"Alternative Rock")</f>
        <v>46</v>
      </c>
      <c r="N8" s="10">
        <v>2</v>
      </c>
      <c r="O8" s="10" t="s">
        <v>13298</v>
      </c>
      <c r="P8" t="e">
        <f>COUNTIF(#REF!,"ambient")</f>
        <v>#REF!</v>
      </c>
    </row>
    <row r="9" spans="1:16">
      <c r="A9" s="10">
        <v>8</v>
      </c>
      <c r="B9" s="10" t="str">
        <f ca="1">PROPER(Subgenero[[#This Row],[playlist_subgenre]])</f>
        <v>American</v>
      </c>
      <c r="C9" s="10">
        <f>COUNTIF(G30:G1687,"american")</f>
        <v>7</v>
      </c>
      <c r="I9" s="10">
        <v>8</v>
      </c>
      <c r="J9" s="10" t="s">
        <v>11854</v>
      </c>
      <c r="K9">
        <f>COUNTIF(Music_Data[Playlist_name],"Ambient Chill")</f>
        <v>1</v>
      </c>
      <c r="N9" s="10">
        <v>3</v>
      </c>
      <c r="O9" s="10" t="s">
        <v>13299</v>
      </c>
      <c r="P9" t="e">
        <f>COUNTIF(#REF!,"arabic")</f>
        <v>#REF!</v>
      </c>
    </row>
    <row r="10" spans="1:16">
      <c r="A10" s="10">
        <v>9</v>
      </c>
      <c r="B10" s="10" t="str">
        <f ca="1">PROPER(Subgenero[[#This Row],[playlist_subgenre]])</f>
        <v>Anime</v>
      </c>
      <c r="C10" s="10">
        <f>COUNTIF(G30:G1687,"anime")</f>
        <v>11</v>
      </c>
      <c r="I10" s="10">
        <v>9</v>
      </c>
      <c r="J10" s="10" t="s">
        <v>10171</v>
      </c>
      <c r="K10">
        <f>COUNTIF(Music_Data[Playlist_name],"American Folk")</f>
        <v>7</v>
      </c>
      <c r="N10" s="10">
        <v>4</v>
      </c>
      <c r="O10" s="10" t="s">
        <v>13300</v>
      </c>
      <c r="P10" t="e">
        <f>COUNTIF(#REF!,"blues")</f>
        <v>#REF!</v>
      </c>
    </row>
    <row r="11" spans="1:16">
      <c r="A11" s="10">
        <v>10</v>
      </c>
      <c r="B11" s="10" t="str">
        <f ca="1">PROPER(Subgenero[[#This Row],[playlist_subgenre]])</f>
        <v>Australian</v>
      </c>
      <c r="C11" s="10">
        <f>COUNTIF(G30:G1687,"australian")</f>
        <v>4</v>
      </c>
      <c r="I11" s="10">
        <v>10</v>
      </c>
      <c r="J11" s="10" t="s">
        <v>5533</v>
      </c>
      <c r="K11">
        <f>COUNTIF(Music_Data[Playlist_name],"Anime Hits")</f>
        <v>7</v>
      </c>
      <c r="N11" s="10">
        <v>5</v>
      </c>
      <c r="O11" s="10" t="s">
        <v>13301</v>
      </c>
      <c r="P11" t="e">
        <f>COUNTIF(#REF!,"brazilian")</f>
        <v>#REF!</v>
      </c>
    </row>
    <row r="12" spans="1:16">
      <c r="A12" s="10">
        <v>11</v>
      </c>
      <c r="B12" s="10" t="str">
        <f ca="1">PROPER(Subgenero[[#This Row],[playlist_subgenre]])</f>
        <v>Bedroom</v>
      </c>
      <c r="C12" s="10">
        <f>COUNTIF(G30:G1687,"bedroom")</f>
        <v>11</v>
      </c>
      <c r="I12" s="10">
        <v>11</v>
      </c>
      <c r="J12" s="10" t="s">
        <v>6849</v>
      </c>
      <c r="K12">
        <f>COUNTIF(Music_Data[Playlist_name],"Arab X")</f>
        <v>50</v>
      </c>
      <c r="N12" s="10">
        <v>6</v>
      </c>
      <c r="O12" s="10" t="s">
        <v>13302</v>
      </c>
      <c r="P12" t="e">
        <f>COUNTIF(#REF!,"classical")</f>
        <v>#REF!</v>
      </c>
    </row>
    <row r="13" spans="1:16">
      <c r="A13" s="10">
        <v>12</v>
      </c>
      <c r="B13" s="10" t="str">
        <f ca="1">PROPER(Subgenero[[#This Row],[playlist_subgenre]])</f>
        <v>Bhangra</v>
      </c>
      <c r="C13" s="10">
        <f>COUNTIF(G30:G1687,"bhangra")</f>
        <v>2</v>
      </c>
      <c r="I13" s="10">
        <v>12</v>
      </c>
      <c r="J13" s="10" t="s">
        <v>13068</v>
      </c>
      <c r="K13">
        <f>COUNTIF(Music_Data[Playlist_name],"Australian Indie")</f>
        <v>4</v>
      </c>
      <c r="N13" s="10">
        <v>7</v>
      </c>
      <c r="O13" s="10" t="s">
        <v>13303</v>
      </c>
      <c r="P13" t="e">
        <f>COUNTIF(#REF!,"country")</f>
        <v>#REF!</v>
      </c>
    </row>
    <row r="14" spans="1:16">
      <c r="A14" s="10">
        <v>13</v>
      </c>
      <c r="B14" s="10" t="str">
        <f ca="1">PROPER(Subgenero[[#This Row],[playlist_subgenre]])</f>
        <v>Bollywood</v>
      </c>
      <c r="C14" s="10">
        <f>COUNTIF(G30:G1687,"bollywood")</f>
        <v>5</v>
      </c>
      <c r="I14" s="10">
        <v>13</v>
      </c>
      <c r="J14" s="10" t="s">
        <v>8847</v>
      </c>
      <c r="K14">
        <f>COUNTIF(Music_Data[Playlist_name],"Bedroom Pop")</f>
        <v>11</v>
      </c>
      <c r="N14" s="10">
        <v>8</v>
      </c>
      <c r="O14" s="10" t="s">
        <v>13267</v>
      </c>
      <c r="P14" t="e">
        <f>COUNTIF(#REF!,"electronic")</f>
        <v>#REF!</v>
      </c>
    </row>
    <row r="15" spans="1:16">
      <c r="A15" s="10">
        <v>14</v>
      </c>
      <c r="B15" s="10" t="str">
        <f ca="1">PROPER(Subgenero[[#This Row],[playlist_subgenre]])</f>
        <v>Chill</v>
      </c>
      <c r="C15" s="10">
        <f>COUNTIF(G30:G1687,"chill")</f>
        <v>66</v>
      </c>
      <c r="I15" s="10">
        <v>14</v>
      </c>
      <c r="J15" s="10" t="s">
        <v>10220</v>
      </c>
      <c r="K15">
        <f>COUNTIF(Music_Data[Playlist_name],"Bhangra Bangers")</f>
        <v>2</v>
      </c>
      <c r="N15" s="10">
        <v>9</v>
      </c>
      <c r="O15" s="10" t="s">
        <v>13304</v>
      </c>
      <c r="P15" t="e">
        <f>COUNTIF(#REF!,"folk")</f>
        <v>#REF!</v>
      </c>
    </row>
    <row r="16" spans="1:16">
      <c r="A16" s="10">
        <v>15</v>
      </c>
      <c r="B16" s="10" t="str">
        <f ca="1">PROPER(Subgenero[[#This Row],[playlist_subgenre]])</f>
        <v>Classic</v>
      </c>
      <c r="C16" s="10">
        <f>COUNTIF(G30:G1687,"classic")</f>
        <v>162</v>
      </c>
      <c r="I16" s="10">
        <v>15</v>
      </c>
      <c r="J16" s="10" t="s">
        <v>3416</v>
      </c>
      <c r="K16">
        <f>COUNTIF(Music_Data[Playlist_name],"Bollywood Butter")</f>
        <v>5</v>
      </c>
      <c r="N16" s="10">
        <v>10</v>
      </c>
      <c r="O16" s="10" t="s">
        <v>13268</v>
      </c>
      <c r="P16" t="e">
        <f>COUNTIF(#REF!,"gaming")</f>
        <v>#REF!</v>
      </c>
    </row>
    <row r="17" spans="1:16">
      <c r="A17" s="10">
        <v>16</v>
      </c>
      <c r="B17" s="10" t="str">
        <f ca="1">PROPER(Subgenero[[#This Row],[playlist_subgenre]])</f>
        <v>Cumbia</v>
      </c>
      <c r="C17" s="10">
        <f>COUNTIF(G30:G1687,"cumbia")</f>
        <v>3</v>
      </c>
      <c r="I17" s="10">
        <v>16</v>
      </c>
      <c r="J17" s="10" t="s">
        <v>12918</v>
      </c>
      <c r="K17">
        <f>COUNTIF(Music_Data[Playlist_name],"Bollywood Workout")</f>
        <v>2</v>
      </c>
      <c r="N17" s="10">
        <v>11</v>
      </c>
      <c r="O17" s="10" t="s">
        <v>13262</v>
      </c>
      <c r="P17" t="e">
        <f>COUNTIF(#REF!,"hip-hop")</f>
        <v>#REF!</v>
      </c>
    </row>
    <row r="18" spans="1:16">
      <c r="A18" s="10">
        <v>17</v>
      </c>
      <c r="B18" s="10" t="str">
        <f ca="1">PROPER(Subgenero[[#This Row],[playlist_subgenre]])</f>
        <v>Death</v>
      </c>
      <c r="C18" s="10">
        <f>COUNTIF(G30:G1687,"death")</f>
        <v>16</v>
      </c>
      <c r="I18" s="10">
        <v>17</v>
      </c>
      <c r="J18" s="10" t="s">
        <v>11323</v>
      </c>
      <c r="K18">
        <f>COUNTIF(Music_Data[Playlist_name],"Brazilian Funk")</f>
        <v>14</v>
      </c>
      <c r="N18" s="10">
        <v>12</v>
      </c>
      <c r="O18" s="10" t="s">
        <v>13305</v>
      </c>
      <c r="P18" t="e">
        <f>COUNTIF(#REF!,"indian")</f>
        <v>#REF!</v>
      </c>
    </row>
    <row r="19" spans="1:16">
      <c r="A19" s="10">
        <v>18</v>
      </c>
      <c r="B19" s="10" t="str">
        <f ca="1">PROPER(Subgenero[[#This Row],[playlist_subgenre]])</f>
        <v>Deep House</v>
      </c>
      <c r="C19" s="10">
        <f>COUNTIF(G30:G1687,"deep house")</f>
        <v>1</v>
      </c>
      <c r="I19" s="10">
        <v>18</v>
      </c>
      <c r="J19" s="10" t="s">
        <v>11488</v>
      </c>
      <c r="K19">
        <f>COUNTIF(Music_Data[Playlist_name],"Chill Hop")</f>
        <v>40</v>
      </c>
      <c r="N19" s="10">
        <v>13</v>
      </c>
      <c r="O19" s="10" t="s">
        <v>13306</v>
      </c>
      <c r="P19" t="e">
        <f>COUNTIF(#REF!,"indie")</f>
        <v>#REF!</v>
      </c>
    </row>
    <row r="20" spans="1:16">
      <c r="A20" s="10">
        <v>19</v>
      </c>
      <c r="B20" s="10" t="str">
        <f ca="1">PROPER(Subgenero[[#This Row],[playlist_subgenre]])</f>
        <v>Desi</v>
      </c>
      <c r="C20" s="10">
        <f>COUNTIF(G30:G1687,"desi")</f>
        <v>18</v>
      </c>
      <c r="I20" s="10">
        <v>19</v>
      </c>
      <c r="J20" s="10" t="s">
        <v>6628</v>
      </c>
      <c r="K20">
        <f>COUNTIF(Music_Data[Playlist_name],"Chill Spanish Vibes")</f>
        <v>25</v>
      </c>
      <c r="N20" s="10">
        <v>14</v>
      </c>
      <c r="O20" s="10" t="s">
        <v>13307</v>
      </c>
      <c r="P20" t="e">
        <f>COUNTIF(#REF!,"j-pop")</f>
        <v>#REF!</v>
      </c>
    </row>
    <row r="21" spans="1:16">
      <c r="A21" s="10">
        <v>20</v>
      </c>
      <c r="B21" s="10" t="str">
        <f ca="1">PROPER(Subgenero[[#This Row],[playlist_subgenre]])</f>
        <v>Drama</v>
      </c>
      <c r="C21" s="10">
        <f>COUNTIF(G30:G1687,"drama")</f>
        <v>8</v>
      </c>
      <c r="I21" s="10">
        <v>20</v>
      </c>
      <c r="J21" s="10" t="s">
        <v>9661</v>
      </c>
      <c r="K21">
        <f>COUNTIF(Music_Data[Playlist_name],"Classic Blues")</f>
        <v>45</v>
      </c>
      <c r="N21" s="10">
        <v>15</v>
      </c>
      <c r="O21" s="10" t="s">
        <v>13308</v>
      </c>
      <c r="P21" t="e">
        <f>COUNTIF(#REF!,"jazz")</f>
        <v>#REF!</v>
      </c>
    </row>
    <row r="22" spans="1:16">
      <c r="A22" s="10">
        <v>21</v>
      </c>
      <c r="B22" s="10" t="str">
        <f ca="1">PROPER(Subgenero[[#This Row],[playlist_subgenre]])</f>
        <v>Drill</v>
      </c>
      <c r="C22" s="10">
        <f>COUNTIF(G30:G1687,"drill")</f>
        <v>4</v>
      </c>
      <c r="I22" s="10">
        <v>21</v>
      </c>
      <c r="J22" s="10" t="s">
        <v>3730</v>
      </c>
      <c r="K22">
        <f>COUNTIF(Music_Data[Playlist_name],"Classic Country")</f>
        <v>3</v>
      </c>
      <c r="N22" s="10">
        <v>16</v>
      </c>
      <c r="O22" s="10" t="s">
        <v>13309</v>
      </c>
      <c r="P22" t="e">
        <f>COUNTIF(#REF!,"k-pop")</f>
        <v>#REF!</v>
      </c>
    </row>
    <row r="23" spans="1:16">
      <c r="A23" s="10">
        <v>22</v>
      </c>
      <c r="B23" s="10" t="str">
        <f ca="1">PROPER(Subgenero[[#This Row],[playlist_subgenre]])</f>
        <v>Essential</v>
      </c>
      <c r="C23" s="10">
        <f>COUNTIF(G30:G1687,"essential")</f>
        <v>3</v>
      </c>
      <c r="I23" s="10">
        <v>22</v>
      </c>
      <c r="J23" s="10" t="s">
        <v>1819</v>
      </c>
      <c r="K23">
        <f>COUNTIF(Music_Data[Playlist_name],"Classical Essentials")</f>
        <v>3</v>
      </c>
      <c r="N23" s="10">
        <v>17</v>
      </c>
      <c r="O23" s="10" t="s">
        <v>13310</v>
      </c>
      <c r="P23" t="e">
        <f>COUNTIF(#REF!,"korean")</f>
        <v>#REF!</v>
      </c>
    </row>
    <row r="24" spans="1:16">
      <c r="A24" s="10">
        <v>23</v>
      </c>
      <c r="B24" s="10" t="str">
        <f ca="1">PROPER(Subgenero[[#This Row],[playlist_subgenre]])</f>
        <v>Feel-Good</v>
      </c>
      <c r="C24" s="10">
        <f>COUNTIF(G30:G1687,"feel-good")</f>
        <v>22</v>
      </c>
      <c r="I24" s="10">
        <v>23</v>
      </c>
      <c r="J24" s="10" t="s">
        <v>10594</v>
      </c>
      <c r="K24">
        <f>COUNTIF(Music_Data[Playlist_name],"Cumbia Classics")</f>
        <v>3</v>
      </c>
      <c r="N24" s="10">
        <v>18</v>
      </c>
      <c r="O24" s="10" t="s">
        <v>13269</v>
      </c>
      <c r="P24" t="e">
        <f>COUNTIF(#REF!,"latin")</f>
        <v>#REF!</v>
      </c>
    </row>
    <row r="25" spans="1:16">
      <c r="A25" s="10">
        <v>24</v>
      </c>
      <c r="B25" s="10" t="str">
        <f ca="1">PROPER(Subgenero[[#This Row],[playlist_subgenre]])</f>
        <v>French</v>
      </c>
      <c r="C25" s="10">
        <f>COUNTIF(G30:G1687,"french")</f>
        <v>21</v>
      </c>
      <c r="I25" s="10">
        <v>24</v>
      </c>
      <c r="J25" s="10" t="s">
        <v>11864</v>
      </c>
      <c r="K25">
        <f>COUNTIF(Music_Data[Playlist_name],"Dark Academia")</f>
        <v>42</v>
      </c>
      <c r="N25" s="10">
        <v>19</v>
      </c>
      <c r="O25" s="10" t="s">
        <v>13311</v>
      </c>
      <c r="P25" t="e">
        <f>COUNTIF(#REF!,"lofi")</f>
        <v>#REF!</v>
      </c>
    </row>
    <row r="26" spans="1:16">
      <c r="A26" s="10">
        <v>25</v>
      </c>
      <c r="B26" s="10" t="str">
        <f ca="1">PROPER(Subgenero[[#This Row],[playlist_subgenre]])</f>
        <v>Funk</v>
      </c>
      <c r="C26" s="10">
        <f>COUNTIF(G30:G1687,"funk")</f>
        <v>14</v>
      </c>
      <c r="I26" s="10">
        <v>25</v>
      </c>
      <c r="J26" s="10" t="s">
        <v>9264</v>
      </c>
      <c r="K26">
        <f>COUNTIF(Music_Data[Playlist_name],"Death Metal Essentials")</f>
        <v>16</v>
      </c>
      <c r="N26" s="10">
        <v>20</v>
      </c>
      <c r="O26" s="10" t="s">
        <v>13312</v>
      </c>
      <c r="P26" t="e">
        <f>COUNTIF(#REF!,"metal")</f>
        <v>#REF!</v>
      </c>
    </row>
    <row r="27" spans="1:16">
      <c r="A27" s="10">
        <v>26</v>
      </c>
      <c r="B27" s="10" t="str">
        <f ca="1">PROPER(Subgenero[[#This Row],[playlist_subgenre]])</f>
        <v>Fusion</v>
      </c>
      <c r="C27" s="10">
        <f>COUNTIF(G30:G1687,"fusion")</f>
        <v>1</v>
      </c>
      <c r="I27" s="10">
        <v>26</v>
      </c>
      <c r="J27" s="10" t="s">
        <v>10587</v>
      </c>
      <c r="K27">
        <f>COUNTIF(Music_Data[Playlist_name],"Deep House Relax")</f>
        <v>1</v>
      </c>
      <c r="N27" s="10">
        <v>21</v>
      </c>
      <c r="O27" s="10" t="s">
        <v>13264</v>
      </c>
      <c r="P27" t="e">
        <f>COUNTIF(#REF!,"pop")</f>
        <v>#REF!</v>
      </c>
    </row>
    <row r="28" spans="1:16">
      <c r="A28" s="10">
        <v>27</v>
      </c>
      <c r="B28" s="10" t="str">
        <f ca="1">PROPER(Subgenero[[#This Row],[playlist_subgenre]])</f>
        <v>Future Bass</v>
      </c>
      <c r="C28" s="10">
        <f>COUNTIF(G30:G1687,"future bass")</f>
        <v>3</v>
      </c>
      <c r="I28" s="10">
        <v>27</v>
      </c>
      <c r="J28" s="10" t="s">
        <v>12411</v>
      </c>
      <c r="K28">
        <f>COUNTIF(Music_Data[Playlist_name],"Desi Hip-Hop")</f>
        <v>17</v>
      </c>
      <c r="N28" s="10">
        <v>22</v>
      </c>
      <c r="O28" s="10" t="s">
        <v>13313</v>
      </c>
      <c r="P28" t="e">
        <f>COUNTIF(#REF!,"punk")</f>
        <v>#REF!</v>
      </c>
    </row>
    <row r="29" spans="1:16">
      <c r="A29" s="10">
        <v>28</v>
      </c>
      <c r="B29" s="10" t="str">
        <f ca="1">PROPER(Subgenero[[#This Row],[playlist_subgenre]])</f>
        <v>Gangster</v>
      </c>
      <c r="C29" s="10">
        <f>COUNTIF(G30:G1687,"gangster")</f>
        <v>41</v>
      </c>
      <c r="I29" s="10">
        <v>28</v>
      </c>
      <c r="J29" s="10" t="s">
        <v>4206</v>
      </c>
      <c r="K29">
        <f>COUNTIF(Music_Data[Playlist_name],"EDM Hits")</f>
        <v>60</v>
      </c>
      <c r="N29" s="10">
        <v>23</v>
      </c>
      <c r="O29" s="10" t="s">
        <v>13314</v>
      </c>
      <c r="P29" t="e">
        <f>COUNTIF(#REF!,"r&amp;b")</f>
        <v>#REF!</v>
      </c>
    </row>
    <row r="30" spans="1:16">
      <c r="A30" s="10">
        <v>29</v>
      </c>
      <c r="B30" s="10" t="str">
        <f ca="1">PROPER(Subgenero[[#This Row],[playlist_subgenre]])</f>
        <v>Global</v>
      </c>
      <c r="C30" s="10">
        <f>COUNTIF(G30:G1687,"global")</f>
        <v>50</v>
      </c>
      <c r="G30" t="s">
        <v>44</v>
      </c>
      <c r="I30" s="10">
        <v>29</v>
      </c>
      <c r="J30" s="10" t="s">
        <v>3520</v>
      </c>
      <c r="K30">
        <f>COUNTIF(Music_Data[Playlist_name],"Feel Good Indie Rock")</f>
        <v>22</v>
      </c>
      <c r="N30" s="10">
        <v>24</v>
      </c>
      <c r="O30" s="10" t="s">
        <v>13315</v>
      </c>
      <c r="P30" t="e">
        <f>COUNTIF(#REF!,"reggae")</f>
        <v>#REF!</v>
      </c>
    </row>
    <row r="31" spans="1:16">
      <c r="A31" s="10">
        <v>30</v>
      </c>
      <c r="B31" s="10" t="str">
        <f ca="1">PROPER(Subgenero[[#This Row],[playlist_subgenre]])</f>
        <v>Heavy</v>
      </c>
      <c r="C31" s="10">
        <f>COUNTIF(G30:G1687,"heavy")</f>
        <v>3</v>
      </c>
      <c r="G31" t="s">
        <v>44</v>
      </c>
      <c r="I31" s="10">
        <v>30</v>
      </c>
      <c r="J31" s="10" t="s">
        <v>6248</v>
      </c>
      <c r="K31">
        <f>COUNTIF(Music_Data[Playlist_name],"French Rap Classics")</f>
        <v>3</v>
      </c>
      <c r="N31" s="10">
        <v>25</v>
      </c>
      <c r="O31" s="10" t="s">
        <v>13270</v>
      </c>
      <c r="P31" t="e">
        <f>COUNTIF(#REF!,"rock")</f>
        <v>#REF!</v>
      </c>
    </row>
    <row r="32" spans="1:16">
      <c r="A32" s="10">
        <v>31</v>
      </c>
      <c r="B32" s="10" t="str">
        <f ca="1">PROPER(Subgenero[[#This Row],[playlist_subgenre]])</f>
        <v>Hip-Hop</v>
      </c>
      <c r="C32" s="10">
        <f>COUNTIF(G30:G1687,"hip-hop")</f>
        <v>4</v>
      </c>
      <c r="G32" t="s">
        <v>44</v>
      </c>
      <c r="I32" s="10">
        <v>31</v>
      </c>
      <c r="J32" s="10" t="s">
        <v>12939</v>
      </c>
      <c r="K32">
        <f>COUNTIF(Music_Data[Playlist_name],"French Touch")</f>
        <v>18</v>
      </c>
      <c r="N32" s="10">
        <v>26</v>
      </c>
      <c r="O32" s="10" t="s">
        <v>13316</v>
      </c>
      <c r="P32" t="e">
        <f>COUNTIF(#REF!,"soul")</f>
        <v>#REF!</v>
      </c>
    </row>
    <row r="33" spans="1:16">
      <c r="A33" s="10">
        <v>32</v>
      </c>
      <c r="B33" s="10" t="str">
        <f ca="1">PROPER(Subgenero[[#This Row],[playlist_subgenre]])</f>
        <v>Indie</v>
      </c>
      <c r="C33" s="10">
        <f>COUNTIF(G30:G1687,"indie")</f>
        <v>30</v>
      </c>
      <c r="G33" t="s">
        <v>44</v>
      </c>
      <c r="I33" s="10">
        <v>32</v>
      </c>
      <c r="J33" s="10" t="s">
        <v>10575</v>
      </c>
      <c r="K33">
        <f>COUNTIF(Music_Data[Playlist_name],"Future Bass")</f>
        <v>3</v>
      </c>
      <c r="N33" s="10">
        <v>27</v>
      </c>
      <c r="O33" s="10" t="s">
        <v>13317</v>
      </c>
      <c r="P33" t="e">
        <f>COUNTIF(#REF!,"turkish")</f>
        <v>#REF!</v>
      </c>
    </row>
    <row r="34" spans="1:16">
      <c r="A34" s="10">
        <v>33</v>
      </c>
      <c r="B34" s="10" t="str">
        <f ca="1">PROPER(Subgenero[[#This Row],[playlist_subgenre]])</f>
        <v>Mainstream</v>
      </c>
      <c r="C34" s="10">
        <f>COUNTIF(G30:G1687,"mainstream")</f>
        <v>19</v>
      </c>
      <c r="G34" t="s">
        <v>44</v>
      </c>
      <c r="I34" s="10">
        <v>33</v>
      </c>
      <c r="J34" s="10" t="s">
        <v>2202</v>
      </c>
      <c r="K34">
        <f>COUNTIF(Music_Data[Playlist_name],"Gangster Rap")</f>
        <v>41</v>
      </c>
      <c r="N34" s="10">
        <v>28</v>
      </c>
      <c r="O34" s="10" t="s">
        <v>13318</v>
      </c>
      <c r="P34" t="e">
        <f>COUNTIF(#REF!,"world")</f>
        <v>#REF!</v>
      </c>
    </row>
    <row r="35" spans="1:16">
      <c r="A35" s="10">
        <v>34</v>
      </c>
      <c r="B35" s="10" t="str">
        <f ca="1">PROPER(Subgenero[[#This Row],[playlist_subgenre]])</f>
        <v>Meditative</v>
      </c>
      <c r="C35" s="10">
        <f>COUNTIF(G30:G1687,"meditative")</f>
        <v>18</v>
      </c>
      <c r="G35" t="s">
        <v>44</v>
      </c>
      <c r="I35" s="10">
        <v>34</v>
      </c>
      <c r="J35" s="10" t="s">
        <v>6368</v>
      </c>
      <c r="K35">
        <f>COUNTIF(Music_Data[Playlist_name],"Global Top 50")</f>
        <v>50</v>
      </c>
    </row>
    <row r="36" spans="1:16">
      <c r="A36" s="10">
        <v>35</v>
      </c>
      <c r="B36" s="10" t="str">
        <f ca="1">PROPER(Subgenero[[#This Row],[playlist_subgenre]])</f>
        <v>Melodic</v>
      </c>
      <c r="C36" s="10">
        <f>COUNTIF(G30:G1687,"mainstream")</f>
        <v>19</v>
      </c>
      <c r="G36" t="s">
        <v>44</v>
      </c>
      <c r="I36" s="10">
        <v>35</v>
      </c>
      <c r="J36" s="10" t="s">
        <v>9247</v>
      </c>
      <c r="K36">
        <f>COUNTIF(Music_Data[Playlist_name],"Heavy Metal Classics")</f>
        <v>3</v>
      </c>
    </row>
    <row r="37" spans="1:16">
      <c r="A37" s="10">
        <v>36</v>
      </c>
      <c r="B37" s="10" t="str">
        <f ca="1">PROPER(Subgenero[[#This Row],[playlist_subgenre]])</f>
        <v>Modern</v>
      </c>
      <c r="C37" s="10">
        <f>COUNTIF(G30:G1687,"modern")</f>
        <v>356</v>
      </c>
      <c r="G37" t="s">
        <v>44</v>
      </c>
      <c r="I37" s="10">
        <v>36</v>
      </c>
      <c r="J37" s="10" t="s">
        <v>5789</v>
      </c>
      <c r="K37">
        <f>COUNTIF(Music_Data[Playlist_name],"Hip-Hop Drive")</f>
        <v>1</v>
      </c>
    </row>
    <row r="38" spans="1:16">
      <c r="A38" s="10">
        <v>37</v>
      </c>
      <c r="B38" s="10" t="str">
        <f ca="1">PROPER(Subgenero[[#This Row],[playlist_subgenre]])</f>
        <v>Neo-Classical</v>
      </c>
      <c r="C38" s="10">
        <f>COUNTIF(G30:G1687,"neo-classical")</f>
        <v>6</v>
      </c>
      <c r="G38" t="s">
        <v>44</v>
      </c>
      <c r="I38" s="10">
        <v>37</v>
      </c>
      <c r="J38" s="10" t="s">
        <v>9998</v>
      </c>
      <c r="K38">
        <f>COUNTIF(Music_Data[Playlist_name],"Indie Folk")</f>
        <v>25</v>
      </c>
    </row>
    <row r="39" spans="1:16">
      <c r="A39" s="10">
        <v>38</v>
      </c>
      <c r="B39" s="10" t="str">
        <f ca="1">PROPER(Subgenero[[#This Row],[playlist_subgenre]])</f>
        <v>Nigerian</v>
      </c>
      <c r="C39" s="10">
        <f>COUNTIF(G30:G1687,"nigerian")</f>
        <v>8</v>
      </c>
      <c r="G39" t="s">
        <v>44</v>
      </c>
      <c r="I39" s="10">
        <v>38</v>
      </c>
      <c r="J39" s="10" t="s">
        <v>3463</v>
      </c>
      <c r="K39">
        <f>COUNTIF(Music_Data[Playlist_name],"Indie Rock Roadtrip")</f>
        <v>5</v>
      </c>
    </row>
    <row r="40" spans="1:16">
      <c r="A40" s="10">
        <v>39</v>
      </c>
      <c r="B40" s="10" t="str">
        <f ca="1">PROPER(Subgenero[[#This Row],[playlist_subgenre]])</f>
        <v>Nordic</v>
      </c>
      <c r="C40" s="10">
        <f>COUNTIF(G30:G1687,"nordic")</f>
        <v>1</v>
      </c>
      <c r="G40" t="s">
        <v>44</v>
      </c>
      <c r="I40" s="10">
        <v>39</v>
      </c>
      <c r="J40" s="10" t="s">
        <v>1806</v>
      </c>
      <c r="K40">
        <f>COUNTIF(Music_Data[Playlist_name],"Jazz Classics")</f>
        <v>1</v>
      </c>
    </row>
    <row r="41" spans="1:16">
      <c r="A41" s="10">
        <v>40</v>
      </c>
      <c r="B41" s="10" t="str">
        <f ca="1">PROPER(Subgenero[[#This Row],[playlist_subgenre]])</f>
        <v>Pop</v>
      </c>
      <c r="C41" s="10">
        <f>COUNTIF(G30:G1687,"pop")</f>
        <v>7</v>
      </c>
      <c r="G41" t="s">
        <v>44</v>
      </c>
      <c r="I41" s="10">
        <v>40</v>
      </c>
      <c r="J41" s="10" t="s">
        <v>12304</v>
      </c>
      <c r="K41">
        <f>COUNTIF(Music_Data[Playlist_name],"K-Drama OSTs")</f>
        <v>8</v>
      </c>
    </row>
    <row r="42" spans="1:16">
      <c r="A42" s="10">
        <v>41</v>
      </c>
      <c r="B42" s="10" t="str">
        <f ca="1">PROPER(Subgenero[[#This Row],[playlist_subgenre]])</f>
        <v>Pop Punk</v>
      </c>
      <c r="C42" s="10">
        <f>COUNTIF(G30:G1687,"pop punk")</f>
        <v>50</v>
      </c>
      <c r="G42" t="s">
        <v>44</v>
      </c>
      <c r="I42" s="10">
        <v>41</v>
      </c>
      <c r="J42" s="10" t="s">
        <v>6276</v>
      </c>
      <c r="K42">
        <f>COUNTIF(Music_Data[Playlist_name],"K-Pop Daebak")</f>
        <v>11</v>
      </c>
    </row>
    <row r="43" spans="1:16">
      <c r="A43" s="10">
        <v>42</v>
      </c>
      <c r="B43" s="10" t="str">
        <f ca="1">PROPER(Subgenero[[#This Row],[playlist_subgenre]])</f>
        <v>Reggaeton</v>
      </c>
      <c r="C43" s="10">
        <f>COUNTIF(G30:G1687,"reggaeton")</f>
        <v>101</v>
      </c>
      <c r="G43" t="s">
        <v>44</v>
      </c>
      <c r="I43" s="10">
        <v>42</v>
      </c>
      <c r="J43" s="10" t="s">
        <v>3394</v>
      </c>
      <c r="K43">
        <f>COUNTIF(Music_Data[Playlist_name],"Latino Hip-Hop")</f>
        <v>2</v>
      </c>
    </row>
    <row r="44" spans="1:16">
      <c r="A44" s="10">
        <v>43</v>
      </c>
      <c r="B44" s="10" t="str">
        <f ca="1">PROPER(Subgenero[[#This Row],[playlist_subgenre]])</f>
        <v>Scandi</v>
      </c>
      <c r="C44" s="10">
        <f>COUNTIF(G30:G1687,"scandi")</f>
        <v>1</v>
      </c>
      <c r="G44" t="s">
        <v>44</v>
      </c>
      <c r="I44" s="10">
        <v>43</v>
      </c>
      <c r="J44" s="10" t="s">
        <v>10241</v>
      </c>
      <c r="K44">
        <f>COUNTIF(Music_Data[Playlist_name],"Lofi Hip Hop")</f>
        <v>2</v>
      </c>
    </row>
    <row r="45" spans="1:16">
      <c r="A45" s="10">
        <v>44</v>
      </c>
      <c r="B45" s="10" t="str">
        <f ca="1">PROPER(Subgenero[[#This Row],[playlist_subgenre]])</f>
        <v>Soft</v>
      </c>
      <c r="C45" s="10">
        <f>COUNTIF(G30:G1687,"soft")</f>
        <v>98</v>
      </c>
      <c r="G45" t="s">
        <v>44</v>
      </c>
      <c r="I45" s="10">
        <v>44</v>
      </c>
      <c r="J45" s="10" t="s">
        <v>11760</v>
      </c>
      <c r="K45">
        <f>COUNTIF(Music_Data[Playlist_name],"Meditative Vibes")</f>
        <v>18</v>
      </c>
    </row>
    <row r="46" spans="1:16">
      <c r="A46" s="10">
        <v>45</v>
      </c>
      <c r="B46" s="10" t="str">
        <f ca="1">PROPER(Subgenero[[#This Row],[playlist_subgenre]])</f>
        <v>Southern</v>
      </c>
      <c r="C46" s="10">
        <f>COUNTIF(G30:G1687,"southern")</f>
        <v>3</v>
      </c>
      <c r="G46" t="s">
        <v>44</v>
      </c>
      <c r="I46" s="10">
        <v>45</v>
      </c>
      <c r="J46" s="10" t="s">
        <v>12170</v>
      </c>
      <c r="K46">
        <f>COUNTIF(Music_Data[Playlist_name],"Melodic Rap")</f>
        <v>28</v>
      </c>
    </row>
    <row r="47" spans="1:16">
      <c r="A47" s="10">
        <v>46</v>
      </c>
      <c r="B47" s="10" t="str">
        <f ca="1">PROPER(Subgenero[[#This Row],[playlist_subgenre]])</f>
        <v>Spanish</v>
      </c>
      <c r="C47" s="10">
        <f>COUNTIF(G30:G1687,"spanish")</f>
        <v>20</v>
      </c>
      <c r="G47" t="s">
        <v>44</v>
      </c>
      <c r="I47" s="10">
        <v>46</v>
      </c>
      <c r="J47" s="10" t="s">
        <v>5635</v>
      </c>
      <c r="K47">
        <f>COUNTIF(Music_Data[Playlist_name],"Metal Essentials")</f>
        <v>16</v>
      </c>
    </row>
    <row r="48" spans="1:16">
      <c r="A48" s="10">
        <v>47</v>
      </c>
      <c r="B48" s="10" t="str">
        <f ca="1">PROPER(Subgenero[[#This Row],[playlist_subgenre]])</f>
        <v>Techno</v>
      </c>
      <c r="C48" s="10">
        <f>COUNTIF(G30:G1687,"techno")</f>
        <v>39</v>
      </c>
      <c r="G48" t="s">
        <v>44</v>
      </c>
      <c r="I48" s="10">
        <v>47</v>
      </c>
      <c r="J48" s="10" t="s">
        <v>10259</v>
      </c>
      <c r="K48">
        <f>COUNTIF(Music_Data[Playlist_name],"Minimalism")</f>
        <v>1</v>
      </c>
    </row>
    <row r="49" spans="1:11">
      <c r="A49" s="10">
        <v>48</v>
      </c>
      <c r="B49" s="10" t="str">
        <f ca="1">PROPER(Subgenero[[#This Row],[playlist_subgenre]])</f>
        <v>Throat Singing</v>
      </c>
      <c r="C49" s="10">
        <f>COUNTIF(G30:G1687,"throat singing")</f>
        <v>4</v>
      </c>
      <c r="G49" t="s">
        <v>682</v>
      </c>
      <c r="I49" s="10">
        <v>48</v>
      </c>
      <c r="J49" s="10" t="s">
        <v>12600</v>
      </c>
      <c r="K49">
        <f>COUNTIF(Music_Data[Playlist_name],"Neo-Classical")</f>
        <v>6</v>
      </c>
    </row>
    <row r="50" spans="1:11">
      <c r="A50" s="10">
        <v>49</v>
      </c>
      <c r="B50" s="10" t="str">
        <f ca="1">PROPER(Subgenero[[#This Row],[playlist_subgenre]])</f>
        <v>Throwback</v>
      </c>
      <c r="C50" s="10">
        <f>COUNTIF(G30:G1687,"throwback")</f>
        <v>150</v>
      </c>
      <c r="G50" t="s">
        <v>682</v>
      </c>
      <c r="I50" s="10">
        <v>49</v>
      </c>
      <c r="J50" s="10" t="s">
        <v>12400</v>
      </c>
      <c r="K50">
        <f>COUNTIF(Music_Data[Playlist_name],"Nordic Folk")</f>
        <v>1</v>
      </c>
    </row>
    <row r="51" spans="1:11">
      <c r="A51" s="10">
        <v>50</v>
      </c>
      <c r="B51" s="10" t="str">
        <f ca="1">PROPER(Subgenero[[#This Row],[playlist_subgenre]])</f>
        <v>Trap</v>
      </c>
      <c r="C51" s="10">
        <f>COUNTIF(G30:G1687,"trap")</f>
        <v>36</v>
      </c>
      <c r="G51" t="s">
        <v>682</v>
      </c>
      <c r="I51" s="10">
        <v>50</v>
      </c>
      <c r="J51" s="10" t="s">
        <v>9267</v>
      </c>
      <c r="K51">
        <f>COUNTIF(Music_Data[Playlist_name],"Pop Punk Powerhouses")</f>
        <v>50</v>
      </c>
    </row>
    <row r="52" spans="1:11">
      <c r="A52" s="10">
        <v>51</v>
      </c>
      <c r="B52" s="10" t="str">
        <f ca="1">PROPER(Subgenero[[#This Row],[playlist_subgenre]])</f>
        <v>Tropical</v>
      </c>
      <c r="C52" s="10">
        <f>COUNTIF(G30:G1687,"tropical")</f>
        <v>7</v>
      </c>
      <c r="G52" t="s">
        <v>682</v>
      </c>
      <c r="I52" s="10">
        <v>51</v>
      </c>
      <c r="J52" s="10" t="s">
        <v>3761</v>
      </c>
      <c r="K52">
        <f>COUNTIF(Music_Data[Playlist_name],"R&amp;B Hits")</f>
        <v>50</v>
      </c>
    </row>
    <row r="53" spans="1:11">
      <c r="A53" s="10">
        <v>52</v>
      </c>
      <c r="B53" s="10" t="str">
        <f ca="1">PROPER(Subgenero[[#This Row],[playlist_subgenre]])</f>
        <v>Vaporwave</v>
      </c>
      <c r="C53" s="10">
        <f>COUNTIF(G30:G1687,"vaporwave")</f>
        <v>9</v>
      </c>
      <c r="G53" t="s">
        <v>682</v>
      </c>
      <c r="I53" s="10">
        <v>52</v>
      </c>
      <c r="J53" s="10" t="s">
        <v>1852</v>
      </c>
      <c r="K53">
        <f>COUNTIF(Music_Data[Playlist_name],"RapCaviar")</f>
        <v>37</v>
      </c>
    </row>
    <row r="54" spans="1:11">
      <c r="A54" s="10">
        <v>53</v>
      </c>
      <c r="B54" s="10" t="str">
        <f ca="1">PROPER(Subgenero[[#This Row],[playlist_subgenre]])</f>
        <v>Workout</v>
      </c>
      <c r="C54" s="10">
        <f>COUNTIF(G30:G1687,"workout")</f>
        <v>2</v>
      </c>
      <c r="G54" t="s">
        <v>682</v>
      </c>
      <c r="I54" s="10">
        <v>53</v>
      </c>
      <c r="J54" s="10" t="s">
        <v>5801</v>
      </c>
      <c r="K54">
        <f>COUNTIF(Music_Data[Playlist_name],"Reggae Classics")</f>
        <v>4</v>
      </c>
    </row>
    <row r="55" spans="1:11">
      <c r="G55" t="s">
        <v>682</v>
      </c>
      <c r="I55" s="10">
        <v>54</v>
      </c>
      <c r="J55" s="10" t="s">
        <v>12531</v>
      </c>
      <c r="K55">
        <f>COUNTIF(Music_Data[Playlist_name],"Reggae Fusion")</f>
        <v>1</v>
      </c>
    </row>
    <row r="56" spans="1:11">
      <c r="G56" t="s">
        <v>682</v>
      </c>
      <c r="I56" s="10">
        <v>55</v>
      </c>
      <c r="J56" s="10" t="s">
        <v>10614</v>
      </c>
      <c r="K56">
        <f>COUNTIF(Music_Data[Playlist_name],"Reggaeton Hits")</f>
        <v>101</v>
      </c>
    </row>
    <row r="57" spans="1:11">
      <c r="G57" t="s">
        <v>682</v>
      </c>
      <c r="I57" s="10">
        <v>56</v>
      </c>
      <c r="J57" s="10" t="s">
        <v>675</v>
      </c>
      <c r="K57">
        <f>COUNTIF(Music_Data[Playlist_name],"Rock Classics")</f>
        <v>91</v>
      </c>
    </row>
    <row r="58" spans="1:11">
      <c r="G58" t="s">
        <v>682</v>
      </c>
      <c r="I58" s="10">
        <v>57</v>
      </c>
      <c r="J58" s="10" t="s">
        <v>9217</v>
      </c>
      <c r="K58">
        <f>COUNTIF(Music_Data[Playlist_name],"Rock This")</f>
        <v>4</v>
      </c>
    </row>
    <row r="59" spans="1:11">
      <c r="G59" t="s">
        <v>682</v>
      </c>
      <c r="I59" s="10">
        <v>58</v>
      </c>
      <c r="J59" s="10" t="s">
        <v>13139</v>
      </c>
      <c r="K59">
        <f>COUNTIF(Music_Data[Playlist_name],"Scandi Pop")</f>
        <v>1</v>
      </c>
    </row>
    <row r="60" spans="1:11">
      <c r="G60" t="s">
        <v>682</v>
      </c>
      <c r="I60" s="10">
        <v>59</v>
      </c>
      <c r="J60" s="10" t="s">
        <v>7053</v>
      </c>
      <c r="K60">
        <f>COUNTIF(Music_Data[Playlist_name],"Soft Pop Hits")</f>
        <v>98</v>
      </c>
    </row>
    <row r="61" spans="1:11">
      <c r="G61" t="s">
        <v>682</v>
      </c>
      <c r="I61" s="10">
        <v>60</v>
      </c>
      <c r="J61" s="10" t="s">
        <v>4795</v>
      </c>
      <c r="K61">
        <f>COUNTIF(Music_Data[Playlist_name],"Soul Coffee")</f>
        <v>2</v>
      </c>
    </row>
    <row r="62" spans="1:11">
      <c r="G62" t="s">
        <v>682</v>
      </c>
      <c r="I62" s="10">
        <v>61</v>
      </c>
      <c r="J62" s="10" t="s">
        <v>9968</v>
      </c>
      <c r="K62">
        <f>COUNTIF(Music_Data[Playlist_name],"Southern Rock")</f>
        <v>3</v>
      </c>
    </row>
    <row r="63" spans="1:11">
      <c r="G63" t="s">
        <v>682</v>
      </c>
      <c r="I63" s="10">
        <v>62</v>
      </c>
      <c r="J63" s="10" t="s">
        <v>12750</v>
      </c>
      <c r="K63">
        <f>COUNTIF(Music_Data[Playlist_name],"Spanish Rock Classics")</f>
        <v>20</v>
      </c>
    </row>
    <row r="64" spans="1:11">
      <c r="G64" t="s">
        <v>682</v>
      </c>
      <c r="I64" s="10">
        <v>63</v>
      </c>
      <c r="J64" s="10" t="s">
        <v>10298</v>
      </c>
      <c r="K64">
        <f>COUNTIF(Music_Data[Playlist_name],"Techno Bunker")</f>
        <v>39</v>
      </c>
    </row>
    <row r="65" spans="7:11">
      <c r="G65" t="s">
        <v>682</v>
      </c>
      <c r="I65" s="10">
        <v>64</v>
      </c>
      <c r="J65" s="10" t="s">
        <v>7830</v>
      </c>
      <c r="K65">
        <f>COUNTIF(Music_Data[Playlist_name],"Throwback Party")</f>
        <v>150</v>
      </c>
    </row>
    <row r="66" spans="7:11">
      <c r="G66" t="s">
        <v>682</v>
      </c>
      <c r="I66" s="10">
        <v>65</v>
      </c>
      <c r="J66" s="10" t="s">
        <v>39</v>
      </c>
      <c r="K66">
        <f>COUNTIF(Music_Data[Playlist_name],"Today's Top Hits")</f>
        <v>47</v>
      </c>
    </row>
    <row r="67" spans="7:11">
      <c r="G67" t="s">
        <v>682</v>
      </c>
      <c r="I67" s="10">
        <v>66</v>
      </c>
      <c r="J67" s="10" t="s">
        <v>4811</v>
      </c>
      <c r="K67">
        <f>COUNTIF(Music_Data[Playlist_name],"Top Gaming Tracks")</f>
        <v>99</v>
      </c>
    </row>
    <row r="68" spans="7:11">
      <c r="G68" t="s">
        <v>682</v>
      </c>
      <c r="I68" s="10">
        <v>67</v>
      </c>
      <c r="J68" s="10" t="s">
        <v>2607</v>
      </c>
      <c r="K68">
        <f>COUNTIF(Music_Data[Playlist_name],"Trap")</f>
        <v>36</v>
      </c>
    </row>
    <row r="69" spans="7:11">
      <c r="G69" t="s">
        <v>682</v>
      </c>
      <c r="I69" s="10">
        <v>68</v>
      </c>
      <c r="J69" s="10" t="s">
        <v>10265</v>
      </c>
      <c r="K69">
        <f>COUNTIF(Music_Data[Playlist_name],"Tropical House")</f>
        <v>7</v>
      </c>
    </row>
    <row r="70" spans="7:11">
      <c r="G70" t="s">
        <v>682</v>
      </c>
      <c r="I70" s="10">
        <v>69</v>
      </c>
      <c r="J70" s="10" t="s">
        <v>11435</v>
      </c>
      <c r="K70">
        <f>COUNTIF(Music_Data[Playlist_name],"Turkish Pop")</f>
        <v>6</v>
      </c>
    </row>
    <row r="71" spans="7:11">
      <c r="G71" t="s">
        <v>682</v>
      </c>
      <c r="I71" s="10">
        <v>70</v>
      </c>
      <c r="J71" s="10" t="s">
        <v>12362</v>
      </c>
      <c r="K71">
        <f>COUNTIF(Music_Data[Playlist_name],"Tuvan Throat Singing")</f>
        <v>4</v>
      </c>
    </row>
    <row r="72" spans="7:11">
      <c r="G72" t="s">
        <v>682</v>
      </c>
      <c r="I72" s="10">
        <v>71</v>
      </c>
      <c r="J72" s="10" t="s">
        <v>12720</v>
      </c>
      <c r="K72">
        <f>COUNTIF(Music_Data[Playlist_name],"UK Drill")</f>
        <v>4</v>
      </c>
    </row>
    <row r="73" spans="7:11">
      <c r="G73" t="s">
        <v>682</v>
      </c>
      <c r="I73" s="10">
        <v>72</v>
      </c>
      <c r="J73" s="10" t="s">
        <v>12652</v>
      </c>
      <c r="K73">
        <f>COUNTIF(Music_Data[Playlist_name],"Vaporwave Essentials")</f>
        <v>9</v>
      </c>
    </row>
    <row r="74" spans="7:11">
      <c r="G74" t="s">
        <v>682</v>
      </c>
      <c r="I74" s="10">
        <v>73</v>
      </c>
      <c r="J74" s="10" t="s">
        <v>3030</v>
      </c>
      <c r="K74">
        <f>COUNTIF(Music_Data[Playlist_name],"Viva Latino")</f>
        <v>42</v>
      </c>
    </row>
    <row r="75" spans="7:11">
      <c r="G75" t="s">
        <v>682</v>
      </c>
    </row>
    <row r="76" spans="7:11">
      <c r="G76" t="s">
        <v>682</v>
      </c>
    </row>
    <row r="77" spans="7:11">
      <c r="G77" t="s">
        <v>682</v>
      </c>
    </row>
    <row r="78" spans="7:11">
      <c r="G78" t="s">
        <v>682</v>
      </c>
    </row>
    <row r="79" spans="7:11">
      <c r="G79" t="s">
        <v>682</v>
      </c>
    </row>
    <row r="80" spans="7:11">
      <c r="G80" t="s">
        <v>682</v>
      </c>
    </row>
    <row r="81" spans="7:7">
      <c r="G81" t="s">
        <v>682</v>
      </c>
    </row>
    <row r="82" spans="7:7">
      <c r="G82" t="s">
        <v>682</v>
      </c>
    </row>
    <row r="83" spans="7:7">
      <c r="G83" t="s">
        <v>682</v>
      </c>
    </row>
    <row r="84" spans="7:7">
      <c r="G84" t="s">
        <v>682</v>
      </c>
    </row>
    <row r="85" spans="7:7">
      <c r="G85" t="s">
        <v>682</v>
      </c>
    </row>
    <row r="86" spans="7:7">
      <c r="G86" t="s">
        <v>682</v>
      </c>
    </row>
    <row r="87" spans="7:7">
      <c r="G87" t="s">
        <v>682</v>
      </c>
    </row>
    <row r="88" spans="7:7">
      <c r="G88" t="s">
        <v>682</v>
      </c>
    </row>
    <row r="89" spans="7:7">
      <c r="G89" t="s">
        <v>682</v>
      </c>
    </row>
    <row r="90" spans="7:7">
      <c r="G90" t="s">
        <v>682</v>
      </c>
    </row>
    <row r="91" spans="7:7">
      <c r="G91" t="s">
        <v>682</v>
      </c>
    </row>
    <row r="92" spans="7:7">
      <c r="G92" t="s">
        <v>682</v>
      </c>
    </row>
    <row r="93" spans="7:7">
      <c r="G93" t="s">
        <v>682</v>
      </c>
    </row>
    <row r="94" spans="7:7">
      <c r="G94" t="s">
        <v>682</v>
      </c>
    </row>
    <row r="95" spans="7:7">
      <c r="G95" t="s">
        <v>682</v>
      </c>
    </row>
    <row r="96" spans="7:7">
      <c r="G96" t="s">
        <v>682</v>
      </c>
    </row>
    <row r="97" spans="7:7">
      <c r="G97" t="s">
        <v>682</v>
      </c>
    </row>
    <row r="98" spans="7:7">
      <c r="G98" t="s">
        <v>682</v>
      </c>
    </row>
    <row r="99" spans="7:7">
      <c r="G99" t="s">
        <v>682</v>
      </c>
    </row>
    <row r="100" spans="7:7">
      <c r="G100" t="s">
        <v>682</v>
      </c>
    </row>
    <row r="101" spans="7:7">
      <c r="G101" t="s">
        <v>682</v>
      </c>
    </row>
    <row r="102" spans="7:7">
      <c r="G102" t="s">
        <v>682</v>
      </c>
    </row>
    <row r="103" spans="7:7">
      <c r="G103" t="s">
        <v>682</v>
      </c>
    </row>
    <row r="104" spans="7:7">
      <c r="G104" t="s">
        <v>682</v>
      </c>
    </row>
    <row r="105" spans="7:7">
      <c r="G105" t="s">
        <v>682</v>
      </c>
    </row>
    <row r="106" spans="7:7">
      <c r="G106" t="s">
        <v>682</v>
      </c>
    </row>
    <row r="107" spans="7:7">
      <c r="G107" t="s">
        <v>682</v>
      </c>
    </row>
    <row r="108" spans="7:7">
      <c r="G108" t="s">
        <v>682</v>
      </c>
    </row>
    <row r="109" spans="7:7">
      <c r="G109" t="s">
        <v>682</v>
      </c>
    </row>
    <row r="110" spans="7:7">
      <c r="G110" t="s">
        <v>682</v>
      </c>
    </row>
    <row r="111" spans="7:7">
      <c r="G111" t="s">
        <v>682</v>
      </c>
    </row>
    <row r="112" spans="7:7">
      <c r="G112" t="s">
        <v>682</v>
      </c>
    </row>
    <row r="113" spans="7:7">
      <c r="G113" t="s">
        <v>682</v>
      </c>
    </row>
    <row r="114" spans="7:7">
      <c r="G114" t="s">
        <v>682</v>
      </c>
    </row>
    <row r="115" spans="7:7">
      <c r="G115" t="s">
        <v>682</v>
      </c>
    </row>
    <row r="116" spans="7:7">
      <c r="G116" t="s">
        <v>682</v>
      </c>
    </row>
    <row r="117" spans="7:7">
      <c r="G117" t="s">
        <v>682</v>
      </c>
    </row>
    <row r="118" spans="7:7">
      <c r="G118" t="s">
        <v>682</v>
      </c>
    </row>
    <row r="119" spans="7:7">
      <c r="G119" t="s">
        <v>682</v>
      </c>
    </row>
    <row r="120" spans="7:7">
      <c r="G120" t="s">
        <v>682</v>
      </c>
    </row>
    <row r="121" spans="7:7">
      <c r="G121" t="s">
        <v>682</v>
      </c>
    </row>
    <row r="122" spans="7:7">
      <c r="G122" t="s">
        <v>682</v>
      </c>
    </row>
    <row r="123" spans="7:7">
      <c r="G123" t="s">
        <v>682</v>
      </c>
    </row>
    <row r="124" spans="7:7">
      <c r="G124" t="s">
        <v>682</v>
      </c>
    </row>
    <row r="125" spans="7:7">
      <c r="G125" t="s">
        <v>682</v>
      </c>
    </row>
    <row r="126" spans="7:7">
      <c r="G126" t="s">
        <v>682</v>
      </c>
    </row>
    <row r="127" spans="7:7">
      <c r="G127" t="s">
        <v>682</v>
      </c>
    </row>
    <row r="128" spans="7:7">
      <c r="G128" t="s">
        <v>682</v>
      </c>
    </row>
    <row r="129" spans="7:7">
      <c r="G129" t="s">
        <v>682</v>
      </c>
    </row>
    <row r="130" spans="7:7">
      <c r="G130" t="s">
        <v>682</v>
      </c>
    </row>
    <row r="131" spans="7:7">
      <c r="G131" t="s">
        <v>682</v>
      </c>
    </row>
    <row r="132" spans="7:7">
      <c r="G132" t="s">
        <v>682</v>
      </c>
    </row>
    <row r="133" spans="7:7">
      <c r="G133" t="s">
        <v>682</v>
      </c>
    </row>
    <row r="134" spans="7:7">
      <c r="G134" t="s">
        <v>682</v>
      </c>
    </row>
    <row r="135" spans="7:7">
      <c r="G135" t="s">
        <v>682</v>
      </c>
    </row>
    <row r="136" spans="7:7">
      <c r="G136" t="s">
        <v>682</v>
      </c>
    </row>
    <row r="137" spans="7:7">
      <c r="G137" t="s">
        <v>682</v>
      </c>
    </row>
    <row r="138" spans="7:7">
      <c r="G138" t="s">
        <v>682</v>
      </c>
    </row>
    <row r="139" spans="7:7">
      <c r="G139" t="s">
        <v>682</v>
      </c>
    </row>
    <row r="140" spans="7:7">
      <c r="G140" t="s">
        <v>682</v>
      </c>
    </row>
    <row r="141" spans="7:7">
      <c r="G141" t="s">
        <v>1826</v>
      </c>
    </row>
    <row r="142" spans="7:7">
      <c r="G142" t="s">
        <v>1826</v>
      </c>
    </row>
    <row r="143" spans="7:7">
      <c r="G143" t="s">
        <v>1826</v>
      </c>
    </row>
    <row r="144" spans="7:7">
      <c r="G144" t="s">
        <v>1853</v>
      </c>
    </row>
    <row r="145" spans="7:7">
      <c r="G145" t="s">
        <v>1853</v>
      </c>
    </row>
    <row r="146" spans="7:7">
      <c r="G146" t="s">
        <v>1853</v>
      </c>
    </row>
    <row r="147" spans="7:7">
      <c r="G147" t="s">
        <v>1853</v>
      </c>
    </row>
    <row r="148" spans="7:7">
      <c r="G148" t="s">
        <v>1853</v>
      </c>
    </row>
    <row r="149" spans="7:7">
      <c r="G149" t="s">
        <v>1853</v>
      </c>
    </row>
    <row r="150" spans="7:7">
      <c r="G150" t="s">
        <v>1853</v>
      </c>
    </row>
    <row r="151" spans="7:7">
      <c r="G151" t="s">
        <v>1853</v>
      </c>
    </row>
    <row r="152" spans="7:7">
      <c r="G152" t="s">
        <v>1853</v>
      </c>
    </row>
    <row r="153" spans="7:7">
      <c r="G153" t="s">
        <v>1853</v>
      </c>
    </row>
    <row r="154" spans="7:7">
      <c r="G154" t="s">
        <v>1853</v>
      </c>
    </row>
    <row r="155" spans="7:7">
      <c r="G155" t="s">
        <v>1853</v>
      </c>
    </row>
    <row r="156" spans="7:7">
      <c r="G156" t="s">
        <v>1853</v>
      </c>
    </row>
    <row r="157" spans="7:7">
      <c r="G157" t="s">
        <v>1853</v>
      </c>
    </row>
    <row r="158" spans="7:7">
      <c r="G158" t="s">
        <v>1853</v>
      </c>
    </row>
    <row r="159" spans="7:7">
      <c r="G159" t="s">
        <v>1853</v>
      </c>
    </row>
    <row r="160" spans="7:7">
      <c r="G160" t="s">
        <v>1853</v>
      </c>
    </row>
    <row r="161" spans="7:7">
      <c r="G161" t="s">
        <v>1853</v>
      </c>
    </row>
    <row r="162" spans="7:7">
      <c r="G162" t="s">
        <v>1853</v>
      </c>
    </row>
    <row r="163" spans="7:7">
      <c r="G163" t="s">
        <v>1853</v>
      </c>
    </row>
    <row r="164" spans="7:7">
      <c r="G164" t="s">
        <v>1853</v>
      </c>
    </row>
    <row r="165" spans="7:7">
      <c r="G165" t="s">
        <v>1853</v>
      </c>
    </row>
    <row r="166" spans="7:7">
      <c r="G166" t="s">
        <v>1853</v>
      </c>
    </row>
    <row r="167" spans="7:7">
      <c r="G167" t="s">
        <v>1853</v>
      </c>
    </row>
    <row r="168" spans="7:7">
      <c r="G168" t="s">
        <v>1853</v>
      </c>
    </row>
    <row r="169" spans="7:7">
      <c r="G169" t="s">
        <v>1853</v>
      </c>
    </row>
    <row r="170" spans="7:7">
      <c r="G170" t="s">
        <v>1853</v>
      </c>
    </row>
    <row r="171" spans="7:7">
      <c r="G171" t="s">
        <v>1853</v>
      </c>
    </row>
    <row r="172" spans="7:7">
      <c r="G172" t="s">
        <v>1853</v>
      </c>
    </row>
    <row r="173" spans="7:7">
      <c r="G173" t="s">
        <v>1853</v>
      </c>
    </row>
    <row r="174" spans="7:7">
      <c r="G174" t="s">
        <v>1853</v>
      </c>
    </row>
    <row r="175" spans="7:7">
      <c r="G175" t="s">
        <v>1853</v>
      </c>
    </row>
    <row r="176" spans="7:7">
      <c r="G176" t="s">
        <v>1853</v>
      </c>
    </row>
    <row r="177" spans="7:7">
      <c r="G177" t="s">
        <v>1853</v>
      </c>
    </row>
    <row r="178" spans="7:7">
      <c r="G178" t="s">
        <v>1853</v>
      </c>
    </row>
    <row r="179" spans="7:7">
      <c r="G179" t="s">
        <v>1853</v>
      </c>
    </row>
    <row r="180" spans="7:7">
      <c r="G180" t="s">
        <v>1853</v>
      </c>
    </row>
    <row r="181" spans="7:7">
      <c r="G181" t="s">
        <v>2208</v>
      </c>
    </row>
    <row r="182" spans="7:7">
      <c r="G182" t="s">
        <v>2208</v>
      </c>
    </row>
    <row r="183" spans="7:7">
      <c r="G183" t="s">
        <v>2208</v>
      </c>
    </row>
    <row r="184" spans="7:7">
      <c r="G184" t="s">
        <v>2208</v>
      </c>
    </row>
    <row r="185" spans="7:7">
      <c r="G185" t="s">
        <v>2208</v>
      </c>
    </row>
    <row r="186" spans="7:7">
      <c r="G186" t="s">
        <v>2208</v>
      </c>
    </row>
    <row r="187" spans="7:7">
      <c r="G187" t="s">
        <v>2208</v>
      </c>
    </row>
    <row r="188" spans="7:7">
      <c r="G188" t="s">
        <v>2208</v>
      </c>
    </row>
    <row r="189" spans="7:7">
      <c r="G189" t="s">
        <v>2208</v>
      </c>
    </row>
    <row r="190" spans="7:7">
      <c r="G190" t="s">
        <v>2208</v>
      </c>
    </row>
    <row r="191" spans="7:7">
      <c r="G191" t="s">
        <v>2208</v>
      </c>
    </row>
    <row r="192" spans="7:7">
      <c r="G192" t="s">
        <v>2208</v>
      </c>
    </row>
    <row r="193" spans="7:7">
      <c r="G193" t="s">
        <v>2208</v>
      </c>
    </row>
    <row r="194" spans="7:7">
      <c r="G194" t="s">
        <v>2208</v>
      </c>
    </row>
    <row r="195" spans="7:7">
      <c r="G195" t="s">
        <v>2208</v>
      </c>
    </row>
    <row r="196" spans="7:7">
      <c r="G196" t="s">
        <v>2208</v>
      </c>
    </row>
    <row r="197" spans="7:7">
      <c r="G197" t="s">
        <v>2208</v>
      </c>
    </row>
    <row r="198" spans="7:7">
      <c r="G198" t="s">
        <v>2208</v>
      </c>
    </row>
    <row r="199" spans="7:7">
      <c r="G199" t="s">
        <v>2208</v>
      </c>
    </row>
    <row r="200" spans="7:7">
      <c r="G200" t="s">
        <v>2208</v>
      </c>
    </row>
    <row r="201" spans="7:7">
      <c r="G201" t="s">
        <v>2208</v>
      </c>
    </row>
    <row r="202" spans="7:7">
      <c r="G202" t="s">
        <v>2208</v>
      </c>
    </row>
    <row r="203" spans="7:7">
      <c r="G203" t="s">
        <v>2208</v>
      </c>
    </row>
    <row r="204" spans="7:7">
      <c r="G204" t="s">
        <v>2208</v>
      </c>
    </row>
    <row r="205" spans="7:7">
      <c r="G205" t="s">
        <v>2208</v>
      </c>
    </row>
    <row r="206" spans="7:7">
      <c r="G206" t="s">
        <v>2208</v>
      </c>
    </row>
    <row r="207" spans="7:7">
      <c r="G207" t="s">
        <v>2208</v>
      </c>
    </row>
    <row r="208" spans="7:7">
      <c r="G208" t="s">
        <v>2208</v>
      </c>
    </row>
    <row r="209" spans="7:7">
      <c r="G209" t="s">
        <v>2208</v>
      </c>
    </row>
    <row r="210" spans="7:7">
      <c r="G210" t="s">
        <v>2208</v>
      </c>
    </row>
    <row r="211" spans="7:7">
      <c r="G211" t="s">
        <v>2208</v>
      </c>
    </row>
    <row r="212" spans="7:7">
      <c r="G212" t="s">
        <v>2208</v>
      </c>
    </row>
    <row r="213" spans="7:7">
      <c r="G213" t="s">
        <v>2208</v>
      </c>
    </row>
    <row r="214" spans="7:7">
      <c r="G214" t="s">
        <v>2208</v>
      </c>
    </row>
    <row r="215" spans="7:7">
      <c r="G215" t="s">
        <v>2208</v>
      </c>
    </row>
    <row r="216" spans="7:7">
      <c r="G216" t="s">
        <v>2208</v>
      </c>
    </row>
    <row r="217" spans="7:7">
      <c r="G217" t="s">
        <v>2208</v>
      </c>
    </row>
    <row r="218" spans="7:7">
      <c r="G218" t="s">
        <v>2208</v>
      </c>
    </row>
    <row r="219" spans="7:7">
      <c r="G219" t="s">
        <v>2208</v>
      </c>
    </row>
    <row r="220" spans="7:7">
      <c r="G220" t="s">
        <v>2208</v>
      </c>
    </row>
    <row r="221" spans="7:7">
      <c r="G221" t="s">
        <v>2208</v>
      </c>
    </row>
    <row r="222" spans="7:7">
      <c r="G222" t="s">
        <v>2608</v>
      </c>
    </row>
    <row r="223" spans="7:7">
      <c r="G223" t="s">
        <v>2608</v>
      </c>
    </row>
    <row r="224" spans="7:7">
      <c r="G224" t="s">
        <v>2608</v>
      </c>
    </row>
    <row r="225" spans="7:7">
      <c r="G225" t="s">
        <v>2608</v>
      </c>
    </row>
    <row r="226" spans="7:7">
      <c r="G226" t="s">
        <v>2608</v>
      </c>
    </row>
    <row r="227" spans="7:7">
      <c r="G227" t="s">
        <v>2608</v>
      </c>
    </row>
    <row r="228" spans="7:7">
      <c r="G228" t="s">
        <v>2608</v>
      </c>
    </row>
    <row r="229" spans="7:7">
      <c r="G229" t="s">
        <v>2608</v>
      </c>
    </row>
    <row r="230" spans="7:7">
      <c r="G230" t="s">
        <v>2608</v>
      </c>
    </row>
    <row r="231" spans="7:7">
      <c r="G231" t="s">
        <v>2608</v>
      </c>
    </row>
    <row r="232" spans="7:7">
      <c r="G232" t="s">
        <v>2608</v>
      </c>
    </row>
    <row r="233" spans="7:7">
      <c r="G233" t="s">
        <v>2608</v>
      </c>
    </row>
    <row r="234" spans="7:7">
      <c r="G234" t="s">
        <v>2608</v>
      </c>
    </row>
    <row r="235" spans="7:7">
      <c r="G235" t="s">
        <v>2608</v>
      </c>
    </row>
    <row r="236" spans="7:7">
      <c r="G236" t="s">
        <v>2608</v>
      </c>
    </row>
    <row r="237" spans="7:7">
      <c r="G237" t="s">
        <v>2608</v>
      </c>
    </row>
    <row r="238" spans="7:7">
      <c r="G238" t="s">
        <v>2608</v>
      </c>
    </row>
    <row r="239" spans="7:7">
      <c r="G239" t="s">
        <v>2608</v>
      </c>
    </row>
    <row r="240" spans="7:7">
      <c r="G240" t="s">
        <v>2608</v>
      </c>
    </row>
    <row r="241" spans="7:7">
      <c r="G241" t="s">
        <v>2608</v>
      </c>
    </row>
    <row r="242" spans="7:7">
      <c r="G242" t="s">
        <v>2608</v>
      </c>
    </row>
    <row r="243" spans="7:7">
      <c r="G243" t="s">
        <v>2608</v>
      </c>
    </row>
    <row r="244" spans="7:7">
      <c r="G244" t="s">
        <v>2608</v>
      </c>
    </row>
    <row r="245" spans="7:7">
      <c r="G245" t="s">
        <v>2608</v>
      </c>
    </row>
    <row r="246" spans="7:7">
      <c r="G246" t="s">
        <v>2608</v>
      </c>
    </row>
    <row r="247" spans="7:7">
      <c r="G247" t="s">
        <v>2608</v>
      </c>
    </row>
    <row r="248" spans="7:7">
      <c r="G248" t="s">
        <v>2608</v>
      </c>
    </row>
    <row r="249" spans="7:7">
      <c r="G249" t="s">
        <v>2608</v>
      </c>
    </row>
    <row r="250" spans="7:7">
      <c r="G250" t="s">
        <v>2608</v>
      </c>
    </row>
    <row r="251" spans="7:7">
      <c r="G251" t="s">
        <v>2608</v>
      </c>
    </row>
    <row r="252" spans="7:7">
      <c r="G252" t="s">
        <v>2608</v>
      </c>
    </row>
    <row r="253" spans="7:7">
      <c r="G253" t="s">
        <v>2608</v>
      </c>
    </row>
    <row r="254" spans="7:7">
      <c r="G254" t="s">
        <v>2608</v>
      </c>
    </row>
    <row r="255" spans="7:7">
      <c r="G255" t="s">
        <v>2608</v>
      </c>
    </row>
    <row r="256" spans="7:7">
      <c r="G256" t="s">
        <v>2608</v>
      </c>
    </row>
    <row r="257" spans="7:7">
      <c r="G257" t="s">
        <v>2608</v>
      </c>
    </row>
    <row r="258" spans="7:7">
      <c r="G258" t="s">
        <v>2961</v>
      </c>
    </row>
    <row r="259" spans="7:7">
      <c r="G259" t="s">
        <v>2961</v>
      </c>
    </row>
    <row r="260" spans="7:7">
      <c r="G260" t="s">
        <v>2961</v>
      </c>
    </row>
    <row r="261" spans="7:7">
      <c r="G261" t="s">
        <v>2961</v>
      </c>
    </row>
    <row r="262" spans="7:7">
      <c r="G262" t="s">
        <v>2961</v>
      </c>
    </row>
    <row r="263" spans="7:7">
      <c r="G263" t="s">
        <v>2961</v>
      </c>
    </row>
    <row r="264" spans="7:7">
      <c r="G264" t="s">
        <v>2961</v>
      </c>
    </row>
    <row r="265" spans="7:7">
      <c r="G265" t="s">
        <v>2961</v>
      </c>
    </row>
    <row r="266" spans="7:7">
      <c r="G266" t="s">
        <v>1853</v>
      </c>
    </row>
    <row r="267" spans="7:7">
      <c r="G267" t="s">
        <v>1853</v>
      </c>
    </row>
    <row r="268" spans="7:7">
      <c r="G268" t="s">
        <v>1853</v>
      </c>
    </row>
    <row r="269" spans="7:7">
      <c r="G269" t="s">
        <v>1853</v>
      </c>
    </row>
    <row r="270" spans="7:7">
      <c r="G270" t="s">
        <v>1853</v>
      </c>
    </row>
    <row r="271" spans="7:7">
      <c r="G271" t="s">
        <v>1853</v>
      </c>
    </row>
    <row r="272" spans="7:7">
      <c r="G272" t="s">
        <v>1853</v>
      </c>
    </row>
    <row r="273" spans="7:7">
      <c r="G273" t="s">
        <v>1853</v>
      </c>
    </row>
    <row r="274" spans="7:7">
      <c r="G274" t="s">
        <v>1853</v>
      </c>
    </row>
    <row r="275" spans="7:7">
      <c r="G275" t="s">
        <v>1853</v>
      </c>
    </row>
    <row r="276" spans="7:7">
      <c r="G276" t="s">
        <v>1853</v>
      </c>
    </row>
    <row r="277" spans="7:7">
      <c r="G277" t="s">
        <v>1853</v>
      </c>
    </row>
    <row r="278" spans="7:7">
      <c r="G278" t="s">
        <v>1853</v>
      </c>
    </row>
    <row r="279" spans="7:7">
      <c r="G279" t="s">
        <v>1853</v>
      </c>
    </row>
    <row r="280" spans="7:7">
      <c r="G280" t="s">
        <v>1853</v>
      </c>
    </row>
    <row r="281" spans="7:7">
      <c r="G281" t="s">
        <v>1853</v>
      </c>
    </row>
    <row r="282" spans="7:7">
      <c r="G282" t="s">
        <v>1853</v>
      </c>
    </row>
    <row r="283" spans="7:7">
      <c r="G283" t="s">
        <v>1853</v>
      </c>
    </row>
    <row r="284" spans="7:7">
      <c r="G284" t="s">
        <v>1853</v>
      </c>
    </row>
    <row r="285" spans="7:7">
      <c r="G285" t="s">
        <v>1853</v>
      </c>
    </row>
    <row r="286" spans="7:7">
      <c r="G286" t="s">
        <v>1853</v>
      </c>
    </row>
    <row r="287" spans="7:7">
      <c r="G287" t="s">
        <v>1853</v>
      </c>
    </row>
    <row r="288" spans="7:7">
      <c r="G288" t="s">
        <v>1853</v>
      </c>
    </row>
    <row r="289" spans="7:7">
      <c r="G289" t="s">
        <v>1853</v>
      </c>
    </row>
    <row r="290" spans="7:7">
      <c r="G290" t="s">
        <v>1853</v>
      </c>
    </row>
    <row r="291" spans="7:7">
      <c r="G291" t="s">
        <v>1853</v>
      </c>
    </row>
    <row r="292" spans="7:7">
      <c r="G292" t="s">
        <v>1853</v>
      </c>
    </row>
    <row r="293" spans="7:7">
      <c r="G293" t="s">
        <v>1853</v>
      </c>
    </row>
    <row r="294" spans="7:7">
      <c r="G294" t="s">
        <v>1853</v>
      </c>
    </row>
    <row r="295" spans="7:7">
      <c r="G295" t="s">
        <v>1853</v>
      </c>
    </row>
    <row r="296" spans="7:7">
      <c r="G296" t="s">
        <v>1853</v>
      </c>
    </row>
    <row r="297" spans="7:7">
      <c r="G297" t="s">
        <v>1853</v>
      </c>
    </row>
    <row r="298" spans="7:7">
      <c r="G298" t="s">
        <v>1853</v>
      </c>
    </row>
    <row r="299" spans="7:7">
      <c r="G299" t="s">
        <v>1853</v>
      </c>
    </row>
    <row r="300" spans="7:7">
      <c r="G300" t="s">
        <v>1853</v>
      </c>
    </row>
    <row r="301" spans="7:7">
      <c r="G301" t="s">
        <v>1853</v>
      </c>
    </row>
    <row r="302" spans="7:7">
      <c r="G302" t="s">
        <v>1853</v>
      </c>
    </row>
    <row r="303" spans="7:7">
      <c r="G303" t="s">
        <v>1853</v>
      </c>
    </row>
    <row r="304" spans="7:7">
      <c r="G304" t="s">
        <v>1853</v>
      </c>
    </row>
    <row r="305" spans="7:7">
      <c r="G305" t="s">
        <v>1853</v>
      </c>
    </row>
    <row r="306" spans="7:7">
      <c r="G306" t="s">
        <v>1853</v>
      </c>
    </row>
    <row r="307" spans="7:7">
      <c r="G307" t="s">
        <v>1853</v>
      </c>
    </row>
    <row r="308" spans="7:7">
      <c r="G308" t="s">
        <v>1851</v>
      </c>
    </row>
    <row r="309" spans="7:7">
      <c r="G309" t="s">
        <v>1851</v>
      </c>
    </row>
    <row r="310" spans="7:7">
      <c r="G310" t="s">
        <v>3421</v>
      </c>
    </row>
    <row r="311" spans="7:7">
      <c r="G311" t="s">
        <v>3421</v>
      </c>
    </row>
    <row r="312" spans="7:7">
      <c r="G312" t="s">
        <v>3421</v>
      </c>
    </row>
    <row r="313" spans="7:7">
      <c r="G313" t="s">
        <v>3421</v>
      </c>
    </row>
    <row r="314" spans="7:7">
      <c r="G314" t="s">
        <v>3421</v>
      </c>
    </row>
    <row r="315" spans="7:7">
      <c r="G315" t="s">
        <v>3468</v>
      </c>
    </row>
    <row r="316" spans="7:7">
      <c r="G316" t="s">
        <v>3468</v>
      </c>
    </row>
    <row r="317" spans="7:7">
      <c r="G317" t="s">
        <v>3468</v>
      </c>
    </row>
    <row r="318" spans="7:7">
      <c r="G318" t="s">
        <v>3468</v>
      </c>
    </row>
    <row r="319" spans="7:7">
      <c r="G319" t="s">
        <v>3468</v>
      </c>
    </row>
    <row r="320" spans="7:7">
      <c r="G320" t="s">
        <v>3527</v>
      </c>
    </row>
    <row r="321" spans="7:7">
      <c r="G321" t="s">
        <v>3527</v>
      </c>
    </row>
    <row r="322" spans="7:7">
      <c r="G322" t="s">
        <v>3527</v>
      </c>
    </row>
    <row r="323" spans="7:7">
      <c r="G323" t="s">
        <v>3527</v>
      </c>
    </row>
    <row r="324" spans="7:7">
      <c r="G324" t="s">
        <v>3527</v>
      </c>
    </row>
    <row r="325" spans="7:7">
      <c r="G325" t="s">
        <v>3527</v>
      </c>
    </row>
    <row r="326" spans="7:7">
      <c r="G326" t="s">
        <v>3527</v>
      </c>
    </row>
    <row r="327" spans="7:7">
      <c r="G327" t="s">
        <v>3527</v>
      </c>
    </row>
    <row r="328" spans="7:7">
      <c r="G328" t="s">
        <v>3527</v>
      </c>
    </row>
    <row r="329" spans="7:7">
      <c r="G329" t="s">
        <v>3527</v>
      </c>
    </row>
    <row r="330" spans="7:7">
      <c r="G330" t="s">
        <v>3527</v>
      </c>
    </row>
    <row r="331" spans="7:7">
      <c r="G331" t="s">
        <v>3527</v>
      </c>
    </row>
    <row r="332" spans="7:7">
      <c r="G332" t="s">
        <v>3527</v>
      </c>
    </row>
    <row r="333" spans="7:7">
      <c r="G333" t="s">
        <v>3527</v>
      </c>
    </row>
    <row r="334" spans="7:7">
      <c r="G334" t="s">
        <v>3527</v>
      </c>
    </row>
    <row r="335" spans="7:7">
      <c r="G335" t="s">
        <v>3527</v>
      </c>
    </row>
    <row r="336" spans="7:7">
      <c r="G336" t="s">
        <v>3527</v>
      </c>
    </row>
    <row r="337" spans="7:7">
      <c r="G337" t="s">
        <v>3527</v>
      </c>
    </row>
    <row r="338" spans="7:7">
      <c r="G338" t="s">
        <v>3527</v>
      </c>
    </row>
    <row r="339" spans="7:7">
      <c r="G339" t="s">
        <v>3527</v>
      </c>
    </row>
    <row r="340" spans="7:7">
      <c r="G340" t="s">
        <v>3527</v>
      </c>
    </row>
    <row r="341" spans="7:7">
      <c r="G341" t="s">
        <v>3527</v>
      </c>
    </row>
    <row r="342" spans="7:7">
      <c r="G342" t="s">
        <v>682</v>
      </c>
    </row>
    <row r="343" spans="7:7">
      <c r="G343" t="s">
        <v>682</v>
      </c>
    </row>
    <row r="344" spans="7:7">
      <c r="G344" t="s">
        <v>682</v>
      </c>
    </row>
    <row r="345" spans="7:7">
      <c r="G345" t="s">
        <v>1853</v>
      </c>
    </row>
    <row r="346" spans="7:7">
      <c r="G346" t="s">
        <v>1853</v>
      </c>
    </row>
    <row r="347" spans="7:7">
      <c r="G347" t="s">
        <v>1853</v>
      </c>
    </row>
    <row r="348" spans="7:7">
      <c r="G348" t="s">
        <v>1853</v>
      </c>
    </row>
    <row r="349" spans="7:7">
      <c r="G349" t="s">
        <v>1853</v>
      </c>
    </row>
    <row r="350" spans="7:7">
      <c r="G350" t="s">
        <v>1853</v>
      </c>
    </row>
    <row r="351" spans="7:7">
      <c r="G351" t="s">
        <v>1853</v>
      </c>
    </row>
    <row r="352" spans="7:7">
      <c r="G352" t="s">
        <v>1853</v>
      </c>
    </row>
    <row r="353" spans="7:7">
      <c r="G353" t="s">
        <v>1853</v>
      </c>
    </row>
    <row r="354" spans="7:7">
      <c r="G354" t="s">
        <v>1853</v>
      </c>
    </row>
    <row r="355" spans="7:7">
      <c r="G355" t="s">
        <v>1853</v>
      </c>
    </row>
    <row r="356" spans="7:7">
      <c r="G356" t="s">
        <v>1853</v>
      </c>
    </row>
    <row r="357" spans="7:7">
      <c r="G357" t="s">
        <v>1853</v>
      </c>
    </row>
    <row r="358" spans="7:7">
      <c r="G358" t="s">
        <v>1853</v>
      </c>
    </row>
    <row r="359" spans="7:7">
      <c r="G359" t="s">
        <v>1853</v>
      </c>
    </row>
    <row r="360" spans="7:7">
      <c r="G360" t="s">
        <v>1853</v>
      </c>
    </row>
    <row r="361" spans="7:7">
      <c r="G361" t="s">
        <v>1853</v>
      </c>
    </row>
    <row r="362" spans="7:7">
      <c r="G362" t="s">
        <v>1853</v>
      </c>
    </row>
    <row r="363" spans="7:7">
      <c r="G363" t="s">
        <v>1853</v>
      </c>
    </row>
    <row r="364" spans="7:7">
      <c r="G364" t="s">
        <v>1853</v>
      </c>
    </row>
    <row r="365" spans="7:7">
      <c r="G365" t="s">
        <v>1853</v>
      </c>
    </row>
    <row r="366" spans="7:7">
      <c r="G366" t="s">
        <v>1853</v>
      </c>
    </row>
    <row r="367" spans="7:7">
      <c r="G367" t="s">
        <v>1853</v>
      </c>
    </row>
    <row r="368" spans="7:7">
      <c r="G368" t="s">
        <v>1853</v>
      </c>
    </row>
    <row r="369" spans="7:7">
      <c r="G369" t="s">
        <v>1853</v>
      </c>
    </row>
    <row r="370" spans="7:7">
      <c r="G370" t="s">
        <v>1853</v>
      </c>
    </row>
    <row r="371" spans="7:7">
      <c r="G371" t="s">
        <v>1853</v>
      </c>
    </row>
    <row r="372" spans="7:7">
      <c r="G372" t="s">
        <v>1853</v>
      </c>
    </row>
    <row r="373" spans="7:7">
      <c r="G373" t="s">
        <v>1853</v>
      </c>
    </row>
    <row r="374" spans="7:7">
      <c r="G374" t="s">
        <v>1853</v>
      </c>
    </row>
    <row r="375" spans="7:7">
      <c r="G375" t="s">
        <v>1853</v>
      </c>
    </row>
    <row r="376" spans="7:7">
      <c r="G376" t="s">
        <v>1853</v>
      </c>
    </row>
    <row r="377" spans="7:7">
      <c r="G377" t="s">
        <v>1853</v>
      </c>
    </row>
    <row r="378" spans="7:7">
      <c r="G378" t="s">
        <v>1853</v>
      </c>
    </row>
    <row r="379" spans="7:7">
      <c r="G379" t="s">
        <v>1853</v>
      </c>
    </row>
    <row r="380" spans="7:7">
      <c r="G380" t="s">
        <v>1853</v>
      </c>
    </row>
    <row r="381" spans="7:7">
      <c r="G381" t="s">
        <v>1853</v>
      </c>
    </row>
    <row r="382" spans="7:7">
      <c r="G382" t="s">
        <v>1853</v>
      </c>
    </row>
    <row r="383" spans="7:7">
      <c r="G383" t="s">
        <v>1853</v>
      </c>
    </row>
    <row r="384" spans="7:7">
      <c r="G384" t="s">
        <v>1853</v>
      </c>
    </row>
    <row r="385" spans="7:7">
      <c r="G385" t="s">
        <v>1853</v>
      </c>
    </row>
    <row r="386" spans="7:7">
      <c r="G386" t="s">
        <v>1853</v>
      </c>
    </row>
    <row r="387" spans="7:7">
      <c r="G387" t="s">
        <v>1853</v>
      </c>
    </row>
    <row r="388" spans="7:7">
      <c r="G388" t="s">
        <v>1853</v>
      </c>
    </row>
    <row r="389" spans="7:7">
      <c r="G389" t="s">
        <v>1853</v>
      </c>
    </row>
    <row r="390" spans="7:7">
      <c r="G390" t="s">
        <v>1853</v>
      </c>
    </row>
    <row r="391" spans="7:7">
      <c r="G391" t="s">
        <v>1853</v>
      </c>
    </row>
    <row r="392" spans="7:7">
      <c r="G392" t="s">
        <v>1853</v>
      </c>
    </row>
    <row r="393" spans="7:7">
      <c r="G393" t="s">
        <v>1853</v>
      </c>
    </row>
    <row r="394" spans="7:7">
      <c r="G394" t="s">
        <v>1853</v>
      </c>
    </row>
    <row r="395" spans="7:7">
      <c r="G395" t="s">
        <v>1853</v>
      </c>
    </row>
    <row r="396" spans="7:7">
      <c r="G396" t="s">
        <v>1853</v>
      </c>
    </row>
    <row r="397" spans="7:7">
      <c r="G397" t="s">
        <v>1853</v>
      </c>
    </row>
    <row r="398" spans="7:7">
      <c r="G398" t="s">
        <v>1853</v>
      </c>
    </row>
    <row r="399" spans="7:7">
      <c r="G399" t="s">
        <v>1853</v>
      </c>
    </row>
    <row r="400" spans="7:7">
      <c r="G400" t="s">
        <v>1853</v>
      </c>
    </row>
    <row r="401" spans="7:7">
      <c r="G401" t="s">
        <v>1853</v>
      </c>
    </row>
    <row r="402" spans="7:7">
      <c r="G402" t="s">
        <v>1853</v>
      </c>
    </row>
    <row r="403" spans="7:7">
      <c r="G403" t="s">
        <v>1853</v>
      </c>
    </row>
    <row r="404" spans="7:7">
      <c r="G404" t="s">
        <v>1853</v>
      </c>
    </row>
    <row r="405" spans="7:7">
      <c r="G405" t="s">
        <v>1853</v>
      </c>
    </row>
    <row r="406" spans="7:7">
      <c r="G406" t="s">
        <v>1853</v>
      </c>
    </row>
    <row r="407" spans="7:7">
      <c r="G407" t="s">
        <v>1853</v>
      </c>
    </row>
    <row r="408" spans="7:7">
      <c r="G408" t="s">
        <v>1853</v>
      </c>
    </row>
    <row r="409" spans="7:7">
      <c r="G409" t="s">
        <v>1853</v>
      </c>
    </row>
    <row r="410" spans="7:7">
      <c r="G410" t="s">
        <v>1853</v>
      </c>
    </row>
    <row r="411" spans="7:7">
      <c r="G411" t="s">
        <v>1853</v>
      </c>
    </row>
    <row r="412" spans="7:7">
      <c r="G412" t="s">
        <v>1853</v>
      </c>
    </row>
    <row r="413" spans="7:7">
      <c r="G413" t="s">
        <v>1853</v>
      </c>
    </row>
    <row r="414" spans="7:7">
      <c r="G414" t="s">
        <v>1853</v>
      </c>
    </row>
    <row r="415" spans="7:7">
      <c r="G415" t="s">
        <v>1853</v>
      </c>
    </row>
    <row r="416" spans="7:7">
      <c r="G416" t="s">
        <v>1853</v>
      </c>
    </row>
    <row r="417" spans="7:7">
      <c r="G417" t="s">
        <v>1853</v>
      </c>
    </row>
    <row r="418" spans="7:7">
      <c r="G418" t="s">
        <v>1853</v>
      </c>
    </row>
    <row r="419" spans="7:7">
      <c r="G419" t="s">
        <v>1853</v>
      </c>
    </row>
    <row r="420" spans="7:7">
      <c r="G420" t="s">
        <v>1853</v>
      </c>
    </row>
    <row r="421" spans="7:7">
      <c r="G421" t="s">
        <v>1853</v>
      </c>
    </row>
    <row r="422" spans="7:7">
      <c r="G422" t="s">
        <v>1853</v>
      </c>
    </row>
    <row r="423" spans="7:7">
      <c r="G423" t="s">
        <v>1853</v>
      </c>
    </row>
    <row r="424" spans="7:7">
      <c r="G424" t="s">
        <v>1853</v>
      </c>
    </row>
    <row r="425" spans="7:7">
      <c r="G425" t="s">
        <v>1853</v>
      </c>
    </row>
    <row r="426" spans="7:7">
      <c r="G426" t="s">
        <v>1853</v>
      </c>
    </row>
    <row r="427" spans="7:7">
      <c r="G427" t="s">
        <v>1853</v>
      </c>
    </row>
    <row r="428" spans="7:7">
      <c r="G428" t="s">
        <v>1853</v>
      </c>
    </row>
    <row r="429" spans="7:7">
      <c r="G429" t="s">
        <v>1853</v>
      </c>
    </row>
    <row r="430" spans="7:7">
      <c r="G430" t="s">
        <v>1853</v>
      </c>
    </row>
    <row r="431" spans="7:7">
      <c r="G431" t="s">
        <v>1853</v>
      </c>
    </row>
    <row r="432" spans="7:7">
      <c r="G432" t="s">
        <v>1853</v>
      </c>
    </row>
    <row r="433" spans="7:7">
      <c r="G433" t="s">
        <v>1853</v>
      </c>
    </row>
    <row r="434" spans="7:7">
      <c r="G434" t="s">
        <v>1853</v>
      </c>
    </row>
    <row r="435" spans="7:7">
      <c r="G435" t="s">
        <v>1853</v>
      </c>
    </row>
    <row r="436" spans="7:7">
      <c r="G436" t="s">
        <v>1853</v>
      </c>
    </row>
    <row r="437" spans="7:7">
      <c r="G437" t="s">
        <v>1853</v>
      </c>
    </row>
    <row r="438" spans="7:7">
      <c r="G438" t="s">
        <v>1853</v>
      </c>
    </row>
    <row r="439" spans="7:7">
      <c r="G439" t="s">
        <v>1853</v>
      </c>
    </row>
    <row r="440" spans="7:7">
      <c r="G440" t="s">
        <v>1853</v>
      </c>
    </row>
    <row r="441" spans="7:7">
      <c r="G441" t="s">
        <v>1853</v>
      </c>
    </row>
    <row r="442" spans="7:7">
      <c r="G442" t="s">
        <v>1853</v>
      </c>
    </row>
    <row r="443" spans="7:7">
      <c r="G443" t="s">
        <v>1853</v>
      </c>
    </row>
    <row r="444" spans="7:7">
      <c r="G444" t="s">
        <v>1853</v>
      </c>
    </row>
    <row r="445" spans="7:7">
      <c r="G445" t="s">
        <v>1853</v>
      </c>
    </row>
    <row r="446" spans="7:7">
      <c r="G446" t="s">
        <v>1853</v>
      </c>
    </row>
    <row r="447" spans="7:7">
      <c r="G447" t="s">
        <v>1853</v>
      </c>
    </row>
    <row r="448" spans="7:7">
      <c r="G448" t="s">
        <v>1853</v>
      </c>
    </row>
    <row r="449" spans="7:7">
      <c r="G449" t="s">
        <v>1853</v>
      </c>
    </row>
    <row r="450" spans="7:7">
      <c r="G450" t="s">
        <v>1853</v>
      </c>
    </row>
    <row r="451" spans="7:7">
      <c r="G451" t="s">
        <v>1853</v>
      </c>
    </row>
    <row r="452" spans="7:7">
      <c r="G452" t="s">
        <v>1853</v>
      </c>
    </row>
    <row r="453" spans="7:7">
      <c r="G453" t="s">
        <v>1853</v>
      </c>
    </row>
    <row r="454" spans="7:7">
      <c r="G454" t="s">
        <v>1853</v>
      </c>
    </row>
    <row r="455" spans="7:7">
      <c r="G455" t="s">
        <v>682</v>
      </c>
    </row>
    <row r="456" spans="7:7">
      <c r="G456" t="s">
        <v>682</v>
      </c>
    </row>
    <row r="457" spans="7:7">
      <c r="G457" t="s">
        <v>1853</v>
      </c>
    </row>
    <row r="458" spans="7:7">
      <c r="G458" t="s">
        <v>1853</v>
      </c>
    </row>
    <row r="459" spans="7:7">
      <c r="G459" t="s">
        <v>1853</v>
      </c>
    </row>
    <row r="460" spans="7:7">
      <c r="G460" t="s">
        <v>1853</v>
      </c>
    </row>
    <row r="461" spans="7:7">
      <c r="G461" t="s">
        <v>1853</v>
      </c>
    </row>
    <row r="462" spans="7:7">
      <c r="G462" t="s">
        <v>1853</v>
      </c>
    </row>
    <row r="463" spans="7:7">
      <c r="G463" t="s">
        <v>1853</v>
      </c>
    </row>
    <row r="464" spans="7:7">
      <c r="G464" t="s">
        <v>1853</v>
      </c>
    </row>
    <row r="465" spans="7:7">
      <c r="G465" t="s">
        <v>1853</v>
      </c>
    </row>
    <row r="466" spans="7:7">
      <c r="G466" t="s">
        <v>1853</v>
      </c>
    </row>
    <row r="467" spans="7:7">
      <c r="G467" t="s">
        <v>1853</v>
      </c>
    </row>
    <row r="468" spans="7:7">
      <c r="G468" t="s">
        <v>1853</v>
      </c>
    </row>
    <row r="469" spans="7:7">
      <c r="G469" t="s">
        <v>1853</v>
      </c>
    </row>
    <row r="470" spans="7:7">
      <c r="G470" t="s">
        <v>1853</v>
      </c>
    </row>
    <row r="471" spans="7:7">
      <c r="G471" t="s">
        <v>1853</v>
      </c>
    </row>
    <row r="472" spans="7:7">
      <c r="G472" t="s">
        <v>1853</v>
      </c>
    </row>
    <row r="473" spans="7:7">
      <c r="G473" t="s">
        <v>1853</v>
      </c>
    </row>
    <row r="474" spans="7:7">
      <c r="G474" t="s">
        <v>1853</v>
      </c>
    </row>
    <row r="475" spans="7:7">
      <c r="G475" t="s">
        <v>1853</v>
      </c>
    </row>
    <row r="476" spans="7:7">
      <c r="G476" t="s">
        <v>1853</v>
      </c>
    </row>
    <row r="477" spans="7:7">
      <c r="G477" t="s">
        <v>1853</v>
      </c>
    </row>
    <row r="478" spans="7:7">
      <c r="G478" t="s">
        <v>1853</v>
      </c>
    </row>
    <row r="479" spans="7:7">
      <c r="G479" t="s">
        <v>1853</v>
      </c>
    </row>
    <row r="480" spans="7:7">
      <c r="G480" t="s">
        <v>1853</v>
      </c>
    </row>
    <row r="481" spans="7:7">
      <c r="G481" t="s">
        <v>1853</v>
      </c>
    </row>
    <row r="482" spans="7:7">
      <c r="G482" t="s">
        <v>1853</v>
      </c>
    </row>
    <row r="483" spans="7:7">
      <c r="G483" t="s">
        <v>1853</v>
      </c>
    </row>
    <row r="484" spans="7:7">
      <c r="G484" t="s">
        <v>1853</v>
      </c>
    </row>
    <row r="485" spans="7:7">
      <c r="G485" t="s">
        <v>1853</v>
      </c>
    </row>
    <row r="486" spans="7:7">
      <c r="G486" t="s">
        <v>1853</v>
      </c>
    </row>
    <row r="487" spans="7:7">
      <c r="G487" t="s">
        <v>1853</v>
      </c>
    </row>
    <row r="488" spans="7:7">
      <c r="G488" t="s">
        <v>1853</v>
      </c>
    </row>
    <row r="489" spans="7:7">
      <c r="G489" t="s">
        <v>1853</v>
      </c>
    </row>
    <row r="490" spans="7:7">
      <c r="G490" t="s">
        <v>1853</v>
      </c>
    </row>
    <row r="491" spans="7:7">
      <c r="G491" t="s">
        <v>1853</v>
      </c>
    </row>
    <row r="492" spans="7:7">
      <c r="G492" t="s">
        <v>1853</v>
      </c>
    </row>
    <row r="493" spans="7:7">
      <c r="G493" t="s">
        <v>1853</v>
      </c>
    </row>
    <row r="494" spans="7:7">
      <c r="G494" t="s">
        <v>1853</v>
      </c>
    </row>
    <row r="495" spans="7:7">
      <c r="G495" t="s">
        <v>1853</v>
      </c>
    </row>
    <row r="496" spans="7:7">
      <c r="G496" t="s">
        <v>1853</v>
      </c>
    </row>
    <row r="497" spans="7:7">
      <c r="G497" t="s">
        <v>1853</v>
      </c>
    </row>
    <row r="498" spans="7:7">
      <c r="G498" t="s">
        <v>1853</v>
      </c>
    </row>
    <row r="499" spans="7:7">
      <c r="G499" t="s">
        <v>1853</v>
      </c>
    </row>
    <row r="500" spans="7:7">
      <c r="G500" t="s">
        <v>1853</v>
      </c>
    </row>
    <row r="501" spans="7:7">
      <c r="G501" t="s">
        <v>1853</v>
      </c>
    </row>
    <row r="502" spans="7:7">
      <c r="G502" t="s">
        <v>1853</v>
      </c>
    </row>
    <row r="503" spans="7:7">
      <c r="G503" t="s">
        <v>1853</v>
      </c>
    </row>
    <row r="504" spans="7:7">
      <c r="G504" t="s">
        <v>1853</v>
      </c>
    </row>
    <row r="505" spans="7:7">
      <c r="G505" t="s">
        <v>1853</v>
      </c>
    </row>
    <row r="506" spans="7:7">
      <c r="G506" t="s">
        <v>1853</v>
      </c>
    </row>
    <row r="507" spans="7:7">
      <c r="G507" t="s">
        <v>1853</v>
      </c>
    </row>
    <row r="508" spans="7:7">
      <c r="G508" t="s">
        <v>1853</v>
      </c>
    </row>
    <row r="509" spans="7:7">
      <c r="G509" t="s">
        <v>1853</v>
      </c>
    </row>
    <row r="510" spans="7:7">
      <c r="G510" t="s">
        <v>1853</v>
      </c>
    </row>
    <row r="511" spans="7:7">
      <c r="G511" t="s">
        <v>1853</v>
      </c>
    </row>
    <row r="512" spans="7:7">
      <c r="G512" t="s">
        <v>1853</v>
      </c>
    </row>
    <row r="513" spans="7:7">
      <c r="G513" t="s">
        <v>1853</v>
      </c>
    </row>
    <row r="514" spans="7:7">
      <c r="G514" t="s">
        <v>1853</v>
      </c>
    </row>
    <row r="515" spans="7:7">
      <c r="G515" t="s">
        <v>1853</v>
      </c>
    </row>
    <row r="516" spans="7:7">
      <c r="G516" t="s">
        <v>1853</v>
      </c>
    </row>
    <row r="517" spans="7:7">
      <c r="G517" t="s">
        <v>1853</v>
      </c>
    </row>
    <row r="518" spans="7:7">
      <c r="G518" t="s">
        <v>1853</v>
      </c>
    </row>
    <row r="519" spans="7:7">
      <c r="G519" t="s">
        <v>1853</v>
      </c>
    </row>
    <row r="520" spans="7:7">
      <c r="G520" t="s">
        <v>1853</v>
      </c>
    </row>
    <row r="521" spans="7:7">
      <c r="G521" t="s">
        <v>1853</v>
      </c>
    </row>
    <row r="522" spans="7:7">
      <c r="G522" t="s">
        <v>1853</v>
      </c>
    </row>
    <row r="523" spans="7:7">
      <c r="G523" t="s">
        <v>1853</v>
      </c>
    </row>
    <row r="524" spans="7:7">
      <c r="G524" t="s">
        <v>1853</v>
      </c>
    </row>
    <row r="525" spans="7:7">
      <c r="G525" t="s">
        <v>1853</v>
      </c>
    </row>
    <row r="526" spans="7:7">
      <c r="G526" t="s">
        <v>1853</v>
      </c>
    </row>
    <row r="527" spans="7:7">
      <c r="G527" t="s">
        <v>1853</v>
      </c>
    </row>
    <row r="528" spans="7:7">
      <c r="G528" t="s">
        <v>1853</v>
      </c>
    </row>
    <row r="529" spans="7:7">
      <c r="G529" t="s">
        <v>1853</v>
      </c>
    </row>
    <row r="530" spans="7:7">
      <c r="G530" t="s">
        <v>1853</v>
      </c>
    </row>
    <row r="531" spans="7:7">
      <c r="G531" t="s">
        <v>1853</v>
      </c>
    </row>
    <row r="532" spans="7:7">
      <c r="G532" t="s">
        <v>1853</v>
      </c>
    </row>
    <row r="533" spans="7:7">
      <c r="G533" t="s">
        <v>1853</v>
      </c>
    </row>
    <row r="534" spans="7:7">
      <c r="G534" t="s">
        <v>1853</v>
      </c>
    </row>
    <row r="535" spans="7:7">
      <c r="G535" t="s">
        <v>1853</v>
      </c>
    </row>
    <row r="536" spans="7:7">
      <c r="G536" t="s">
        <v>1853</v>
      </c>
    </row>
    <row r="537" spans="7:7">
      <c r="G537" t="s">
        <v>1853</v>
      </c>
    </row>
    <row r="538" spans="7:7">
      <c r="G538" t="s">
        <v>1853</v>
      </c>
    </row>
    <row r="539" spans="7:7">
      <c r="G539" t="s">
        <v>1853</v>
      </c>
    </row>
    <row r="540" spans="7:7">
      <c r="G540" t="s">
        <v>1853</v>
      </c>
    </row>
    <row r="541" spans="7:7">
      <c r="G541" t="s">
        <v>1853</v>
      </c>
    </row>
    <row r="542" spans="7:7">
      <c r="G542" t="s">
        <v>1853</v>
      </c>
    </row>
    <row r="543" spans="7:7">
      <c r="G543" t="s">
        <v>1853</v>
      </c>
    </row>
    <row r="544" spans="7:7">
      <c r="G544" t="s">
        <v>1853</v>
      </c>
    </row>
    <row r="545" spans="7:7">
      <c r="G545" t="s">
        <v>1853</v>
      </c>
    </row>
    <row r="546" spans="7:7">
      <c r="G546" t="s">
        <v>1853</v>
      </c>
    </row>
    <row r="547" spans="7:7">
      <c r="G547" t="s">
        <v>1853</v>
      </c>
    </row>
    <row r="548" spans="7:7">
      <c r="G548" t="s">
        <v>1853</v>
      </c>
    </row>
    <row r="549" spans="7:7">
      <c r="G549" t="s">
        <v>1853</v>
      </c>
    </row>
    <row r="550" spans="7:7">
      <c r="G550" t="s">
        <v>1853</v>
      </c>
    </row>
    <row r="551" spans="7:7">
      <c r="G551" t="s">
        <v>1853</v>
      </c>
    </row>
    <row r="552" spans="7:7">
      <c r="G552" t="s">
        <v>1853</v>
      </c>
    </row>
    <row r="553" spans="7:7">
      <c r="G553" t="s">
        <v>1853</v>
      </c>
    </row>
    <row r="554" spans="7:7">
      <c r="G554" t="s">
        <v>1853</v>
      </c>
    </row>
    <row r="555" spans="7:7">
      <c r="G555" t="s">
        <v>1853</v>
      </c>
    </row>
    <row r="556" spans="7:7">
      <c r="G556" t="s">
        <v>1853</v>
      </c>
    </row>
    <row r="557" spans="7:7">
      <c r="G557" t="s">
        <v>5460</v>
      </c>
    </row>
    <row r="558" spans="7:7">
      <c r="G558" t="s">
        <v>5460</v>
      </c>
    </row>
    <row r="559" spans="7:7">
      <c r="G559" t="s">
        <v>5460</v>
      </c>
    </row>
    <row r="560" spans="7:7">
      <c r="G560" t="s">
        <v>5460</v>
      </c>
    </row>
    <row r="561" spans="7:7">
      <c r="G561" t="s">
        <v>5460</v>
      </c>
    </row>
    <row r="562" spans="7:7">
      <c r="G562" t="s">
        <v>5460</v>
      </c>
    </row>
    <row r="563" spans="7:7">
      <c r="G563" t="s">
        <v>5460</v>
      </c>
    </row>
    <row r="564" spans="7:7">
      <c r="G564" t="s">
        <v>5460</v>
      </c>
    </row>
    <row r="565" spans="7:7">
      <c r="G565" t="s">
        <v>5460</v>
      </c>
    </row>
    <row r="566" spans="7:7">
      <c r="G566" t="s">
        <v>5460</v>
      </c>
    </row>
    <row r="567" spans="7:7">
      <c r="G567" t="s">
        <v>5460</v>
      </c>
    </row>
    <row r="568" spans="7:7">
      <c r="G568" t="s">
        <v>5460</v>
      </c>
    </row>
    <row r="569" spans="7:7">
      <c r="G569" t="s">
        <v>5537</v>
      </c>
    </row>
    <row r="570" spans="7:7">
      <c r="G570" t="s">
        <v>5537</v>
      </c>
    </row>
    <row r="571" spans="7:7">
      <c r="G571" t="s">
        <v>5537</v>
      </c>
    </row>
    <row r="572" spans="7:7">
      <c r="G572" t="s">
        <v>5537</v>
      </c>
    </row>
    <row r="573" spans="7:7">
      <c r="G573" t="s">
        <v>5537</v>
      </c>
    </row>
    <row r="574" spans="7:7">
      <c r="G574" t="s">
        <v>5537</v>
      </c>
    </row>
    <row r="575" spans="7:7">
      <c r="G575" t="s">
        <v>5537</v>
      </c>
    </row>
    <row r="576" spans="7:7">
      <c r="G576" t="s">
        <v>5537</v>
      </c>
    </row>
    <row r="577" spans="7:7">
      <c r="G577" t="s">
        <v>5537</v>
      </c>
    </row>
    <row r="578" spans="7:7">
      <c r="G578" t="s">
        <v>5537</v>
      </c>
    </row>
    <row r="579" spans="7:7">
      <c r="G579" t="s">
        <v>5537</v>
      </c>
    </row>
    <row r="580" spans="7:7">
      <c r="G580" t="s">
        <v>682</v>
      </c>
    </row>
    <row r="581" spans="7:7">
      <c r="G581" t="s">
        <v>682</v>
      </c>
    </row>
    <row r="582" spans="7:7">
      <c r="G582" t="s">
        <v>682</v>
      </c>
    </row>
    <row r="583" spans="7:7">
      <c r="G583" t="s">
        <v>682</v>
      </c>
    </row>
    <row r="584" spans="7:7">
      <c r="G584" t="s">
        <v>682</v>
      </c>
    </row>
    <row r="585" spans="7:7">
      <c r="G585" t="s">
        <v>682</v>
      </c>
    </row>
    <row r="586" spans="7:7">
      <c r="G586" t="s">
        <v>682</v>
      </c>
    </row>
    <row r="587" spans="7:7">
      <c r="G587" t="s">
        <v>682</v>
      </c>
    </row>
    <row r="588" spans="7:7">
      <c r="G588" t="s">
        <v>682</v>
      </c>
    </row>
    <row r="589" spans="7:7">
      <c r="G589" t="s">
        <v>682</v>
      </c>
    </row>
    <row r="590" spans="7:7">
      <c r="G590" t="s">
        <v>682</v>
      </c>
    </row>
    <row r="591" spans="7:7">
      <c r="G591" t="s">
        <v>682</v>
      </c>
    </row>
    <row r="592" spans="7:7">
      <c r="G592" t="s">
        <v>682</v>
      </c>
    </row>
    <row r="593" spans="7:7">
      <c r="G593" t="s">
        <v>682</v>
      </c>
    </row>
    <row r="594" spans="7:7">
      <c r="G594" t="s">
        <v>682</v>
      </c>
    </row>
    <row r="595" spans="7:7">
      <c r="G595" t="s">
        <v>682</v>
      </c>
    </row>
    <row r="596" spans="7:7">
      <c r="G596" t="s">
        <v>1853</v>
      </c>
    </row>
    <row r="597" spans="7:7">
      <c r="G597" t="s">
        <v>682</v>
      </c>
    </row>
    <row r="598" spans="7:7">
      <c r="G598" t="s">
        <v>682</v>
      </c>
    </row>
    <row r="599" spans="7:7">
      <c r="G599" t="s">
        <v>682</v>
      </c>
    </row>
    <row r="600" spans="7:7">
      <c r="G600" t="s">
        <v>682</v>
      </c>
    </row>
    <row r="601" spans="7:7">
      <c r="G601" t="s">
        <v>5843</v>
      </c>
    </row>
    <row r="602" spans="7:7">
      <c r="G602" t="s">
        <v>5843</v>
      </c>
    </row>
    <row r="603" spans="7:7">
      <c r="G603" t="s">
        <v>5843</v>
      </c>
    </row>
    <row r="604" spans="7:7">
      <c r="G604" t="s">
        <v>5843</v>
      </c>
    </row>
    <row r="605" spans="7:7">
      <c r="G605" t="s">
        <v>5843</v>
      </c>
    </row>
    <row r="606" spans="7:7">
      <c r="G606" t="s">
        <v>5843</v>
      </c>
    </row>
    <row r="607" spans="7:7">
      <c r="G607" t="s">
        <v>5843</v>
      </c>
    </row>
    <row r="608" spans="7:7">
      <c r="G608" t="s">
        <v>5843</v>
      </c>
    </row>
    <row r="609" spans="7:7">
      <c r="G609" t="s">
        <v>5843</v>
      </c>
    </row>
    <row r="610" spans="7:7">
      <c r="G610" t="s">
        <v>5843</v>
      </c>
    </row>
    <row r="611" spans="7:7">
      <c r="G611" t="s">
        <v>5843</v>
      </c>
    </row>
    <row r="612" spans="7:7">
      <c r="G612" t="s">
        <v>5843</v>
      </c>
    </row>
    <row r="613" spans="7:7">
      <c r="G613" t="s">
        <v>5843</v>
      </c>
    </row>
    <row r="614" spans="7:7">
      <c r="G614" t="s">
        <v>5843</v>
      </c>
    </row>
    <row r="615" spans="7:7">
      <c r="G615" t="s">
        <v>5843</v>
      </c>
    </row>
    <row r="616" spans="7:7">
      <c r="G616" t="s">
        <v>5843</v>
      </c>
    </row>
    <row r="617" spans="7:7">
      <c r="G617" t="s">
        <v>5843</v>
      </c>
    </row>
    <row r="618" spans="7:7">
      <c r="G618" t="s">
        <v>5843</v>
      </c>
    </row>
    <row r="619" spans="7:7">
      <c r="G619" t="s">
        <v>5843</v>
      </c>
    </row>
    <row r="620" spans="7:7">
      <c r="G620" t="s">
        <v>5991</v>
      </c>
    </row>
    <row r="621" spans="7:7">
      <c r="G621" t="s">
        <v>5991</v>
      </c>
    </row>
    <row r="622" spans="7:7">
      <c r="G622" t="s">
        <v>5991</v>
      </c>
    </row>
    <row r="623" spans="7:7">
      <c r="G623" t="s">
        <v>5991</v>
      </c>
    </row>
    <row r="624" spans="7:7">
      <c r="G624" t="s">
        <v>5991</v>
      </c>
    </row>
    <row r="625" spans="7:7">
      <c r="G625" t="s">
        <v>5991</v>
      </c>
    </row>
    <row r="626" spans="7:7">
      <c r="G626" t="s">
        <v>5991</v>
      </c>
    </row>
    <row r="627" spans="7:7">
      <c r="G627" t="s">
        <v>5991</v>
      </c>
    </row>
    <row r="628" spans="7:7">
      <c r="G628" t="s">
        <v>5991</v>
      </c>
    </row>
    <row r="629" spans="7:7">
      <c r="G629" t="s">
        <v>5991</v>
      </c>
    </row>
    <row r="630" spans="7:7">
      <c r="G630" t="s">
        <v>5991</v>
      </c>
    </row>
    <row r="631" spans="7:7">
      <c r="G631" t="s">
        <v>5991</v>
      </c>
    </row>
    <row r="632" spans="7:7">
      <c r="G632" t="s">
        <v>5991</v>
      </c>
    </row>
    <row r="633" spans="7:7">
      <c r="G633" t="s">
        <v>5991</v>
      </c>
    </row>
    <row r="634" spans="7:7">
      <c r="G634" t="s">
        <v>5991</v>
      </c>
    </row>
    <row r="635" spans="7:7">
      <c r="G635" t="s">
        <v>5991</v>
      </c>
    </row>
    <row r="636" spans="7:7">
      <c r="G636" t="s">
        <v>5991</v>
      </c>
    </row>
    <row r="637" spans="7:7">
      <c r="G637" t="s">
        <v>5991</v>
      </c>
    </row>
    <row r="638" spans="7:7">
      <c r="G638" t="s">
        <v>5991</v>
      </c>
    </row>
    <row r="639" spans="7:7">
      <c r="G639" t="s">
        <v>5991</v>
      </c>
    </row>
    <row r="640" spans="7:7">
      <c r="G640" t="s">
        <v>5991</v>
      </c>
    </row>
    <row r="641" spans="7:7">
      <c r="G641" t="s">
        <v>5991</v>
      </c>
    </row>
    <row r="642" spans="7:7">
      <c r="G642" t="s">
        <v>5991</v>
      </c>
    </row>
    <row r="643" spans="7:7">
      <c r="G643" t="s">
        <v>5991</v>
      </c>
    </row>
    <row r="644" spans="7:7">
      <c r="G644" t="s">
        <v>5991</v>
      </c>
    </row>
    <row r="645" spans="7:7">
      <c r="G645" t="s">
        <v>5991</v>
      </c>
    </row>
    <row r="646" spans="7:7">
      <c r="G646" t="s">
        <v>5991</v>
      </c>
    </row>
    <row r="647" spans="7:7">
      <c r="G647" t="s">
        <v>5991</v>
      </c>
    </row>
    <row r="648" spans="7:7">
      <c r="G648" t="s">
        <v>5991</v>
      </c>
    </row>
    <row r="649" spans="7:7">
      <c r="G649" t="s">
        <v>5991</v>
      </c>
    </row>
    <row r="650" spans="7:7">
      <c r="G650" t="s">
        <v>5991</v>
      </c>
    </row>
    <row r="651" spans="7:7">
      <c r="G651" t="s">
        <v>5991</v>
      </c>
    </row>
    <row r="652" spans="7:7">
      <c r="G652" t="s">
        <v>5991</v>
      </c>
    </row>
    <row r="653" spans="7:7">
      <c r="G653" t="s">
        <v>5991</v>
      </c>
    </row>
    <row r="654" spans="7:7">
      <c r="G654" t="s">
        <v>5991</v>
      </c>
    </row>
    <row r="655" spans="7:7">
      <c r="G655" t="s">
        <v>5991</v>
      </c>
    </row>
    <row r="656" spans="7:7">
      <c r="G656" t="s">
        <v>5991</v>
      </c>
    </row>
    <row r="657" spans="7:7">
      <c r="G657" t="s">
        <v>5991</v>
      </c>
    </row>
    <row r="658" spans="7:7">
      <c r="G658" t="s">
        <v>5991</v>
      </c>
    </row>
    <row r="659" spans="7:7">
      <c r="G659" t="s">
        <v>5991</v>
      </c>
    </row>
    <row r="660" spans="7:7">
      <c r="G660" t="s">
        <v>5991</v>
      </c>
    </row>
    <row r="661" spans="7:7">
      <c r="G661" t="s">
        <v>5991</v>
      </c>
    </row>
    <row r="662" spans="7:7">
      <c r="G662" t="s">
        <v>5991</v>
      </c>
    </row>
    <row r="663" spans="7:7">
      <c r="G663" t="s">
        <v>5991</v>
      </c>
    </row>
    <row r="664" spans="7:7">
      <c r="G664" t="s">
        <v>6253</v>
      </c>
    </row>
    <row r="665" spans="7:7">
      <c r="G665" t="s">
        <v>6253</v>
      </c>
    </row>
    <row r="666" spans="7:7">
      <c r="G666" t="s">
        <v>6253</v>
      </c>
    </row>
    <row r="667" spans="7:7">
      <c r="G667" t="s">
        <v>1853</v>
      </c>
    </row>
    <row r="668" spans="7:7">
      <c r="G668" t="s">
        <v>1853</v>
      </c>
    </row>
    <row r="669" spans="7:7">
      <c r="G669" t="s">
        <v>1853</v>
      </c>
    </row>
    <row r="670" spans="7:7">
      <c r="G670" t="s">
        <v>1853</v>
      </c>
    </row>
    <row r="671" spans="7:7">
      <c r="G671" t="s">
        <v>1853</v>
      </c>
    </row>
    <row r="672" spans="7:7">
      <c r="G672" t="s">
        <v>1853</v>
      </c>
    </row>
    <row r="673" spans="7:7">
      <c r="G673" t="s">
        <v>1853</v>
      </c>
    </row>
    <row r="674" spans="7:7">
      <c r="G674" t="s">
        <v>1853</v>
      </c>
    </row>
    <row r="675" spans="7:7">
      <c r="G675" t="s">
        <v>1853</v>
      </c>
    </row>
    <row r="676" spans="7:7">
      <c r="G676" t="s">
        <v>1853</v>
      </c>
    </row>
    <row r="677" spans="7:7">
      <c r="G677" t="s">
        <v>1853</v>
      </c>
    </row>
    <row r="678" spans="7:7">
      <c r="G678" t="s">
        <v>6369</v>
      </c>
    </row>
    <row r="679" spans="7:7">
      <c r="G679" t="s">
        <v>6369</v>
      </c>
    </row>
    <row r="680" spans="7:7">
      <c r="G680" t="s">
        <v>6369</v>
      </c>
    </row>
    <row r="681" spans="7:7">
      <c r="G681" t="s">
        <v>6369</v>
      </c>
    </row>
    <row r="682" spans="7:7">
      <c r="G682" t="s">
        <v>6369</v>
      </c>
    </row>
    <row r="683" spans="7:7">
      <c r="G683" t="s">
        <v>6369</v>
      </c>
    </row>
    <row r="684" spans="7:7">
      <c r="G684" t="s">
        <v>6369</v>
      </c>
    </row>
    <row r="685" spans="7:7">
      <c r="G685" t="s">
        <v>6369</v>
      </c>
    </row>
    <row r="686" spans="7:7">
      <c r="G686" t="s">
        <v>6369</v>
      </c>
    </row>
    <row r="687" spans="7:7">
      <c r="G687" t="s">
        <v>6369</v>
      </c>
    </row>
    <row r="688" spans="7:7">
      <c r="G688" t="s">
        <v>6369</v>
      </c>
    </row>
    <row r="689" spans="7:7">
      <c r="G689" t="s">
        <v>6369</v>
      </c>
    </row>
    <row r="690" spans="7:7">
      <c r="G690" t="s">
        <v>6369</v>
      </c>
    </row>
    <row r="691" spans="7:7">
      <c r="G691" t="s">
        <v>6369</v>
      </c>
    </row>
    <row r="692" spans="7:7">
      <c r="G692" t="s">
        <v>6369</v>
      </c>
    </row>
    <row r="693" spans="7:7">
      <c r="G693" t="s">
        <v>6369</v>
      </c>
    </row>
    <row r="694" spans="7:7">
      <c r="G694" t="s">
        <v>6369</v>
      </c>
    </row>
    <row r="695" spans="7:7">
      <c r="G695" t="s">
        <v>6369</v>
      </c>
    </row>
    <row r="696" spans="7:7">
      <c r="G696" t="s">
        <v>6369</v>
      </c>
    </row>
    <row r="697" spans="7:7">
      <c r="G697" t="s">
        <v>6369</v>
      </c>
    </row>
    <row r="698" spans="7:7">
      <c r="G698" t="s">
        <v>6369</v>
      </c>
    </row>
    <row r="699" spans="7:7">
      <c r="G699" t="s">
        <v>6369</v>
      </c>
    </row>
    <row r="700" spans="7:7">
      <c r="G700" t="s">
        <v>6369</v>
      </c>
    </row>
    <row r="701" spans="7:7">
      <c r="G701" t="s">
        <v>6369</v>
      </c>
    </row>
    <row r="702" spans="7:7">
      <c r="G702" t="s">
        <v>6369</v>
      </c>
    </row>
    <row r="703" spans="7:7">
      <c r="G703" t="s">
        <v>6369</v>
      </c>
    </row>
    <row r="704" spans="7:7">
      <c r="G704" t="s">
        <v>6369</v>
      </c>
    </row>
    <row r="705" spans="7:7">
      <c r="G705" t="s">
        <v>6369</v>
      </c>
    </row>
    <row r="706" spans="7:7">
      <c r="G706" t="s">
        <v>6369</v>
      </c>
    </row>
    <row r="707" spans="7:7">
      <c r="G707" t="s">
        <v>6369</v>
      </c>
    </row>
    <row r="708" spans="7:7">
      <c r="G708" t="s">
        <v>6369</v>
      </c>
    </row>
    <row r="709" spans="7:7">
      <c r="G709" t="s">
        <v>6369</v>
      </c>
    </row>
    <row r="710" spans="7:7">
      <c r="G710" t="s">
        <v>6369</v>
      </c>
    </row>
    <row r="711" spans="7:7">
      <c r="G711" t="s">
        <v>6369</v>
      </c>
    </row>
    <row r="712" spans="7:7">
      <c r="G712" t="s">
        <v>6369</v>
      </c>
    </row>
    <row r="713" spans="7:7">
      <c r="G713" t="s">
        <v>6369</v>
      </c>
    </row>
    <row r="714" spans="7:7">
      <c r="G714" t="s">
        <v>6369</v>
      </c>
    </row>
    <row r="715" spans="7:7">
      <c r="G715" t="s">
        <v>6369</v>
      </c>
    </row>
    <row r="716" spans="7:7">
      <c r="G716" t="s">
        <v>6369</v>
      </c>
    </row>
    <row r="717" spans="7:7">
      <c r="G717" t="s">
        <v>6369</v>
      </c>
    </row>
    <row r="718" spans="7:7">
      <c r="G718" t="s">
        <v>6369</v>
      </c>
    </row>
    <row r="719" spans="7:7">
      <c r="G719" t="s">
        <v>6369</v>
      </c>
    </row>
    <row r="720" spans="7:7">
      <c r="G720" t="s">
        <v>6369</v>
      </c>
    </row>
    <row r="721" spans="7:7">
      <c r="G721" t="s">
        <v>6369</v>
      </c>
    </row>
    <row r="722" spans="7:7">
      <c r="G722" t="s">
        <v>6369</v>
      </c>
    </row>
    <row r="723" spans="7:7">
      <c r="G723" t="s">
        <v>6369</v>
      </c>
    </row>
    <row r="724" spans="7:7">
      <c r="G724" t="s">
        <v>6369</v>
      </c>
    </row>
    <row r="725" spans="7:7">
      <c r="G725" t="s">
        <v>6369</v>
      </c>
    </row>
    <row r="726" spans="7:7">
      <c r="G726" t="s">
        <v>6369</v>
      </c>
    </row>
    <row r="727" spans="7:7">
      <c r="G727" t="s">
        <v>6369</v>
      </c>
    </row>
    <row r="728" spans="7:7">
      <c r="G728" t="s">
        <v>6633</v>
      </c>
    </row>
    <row r="729" spans="7:7">
      <c r="G729" t="s">
        <v>6633</v>
      </c>
    </row>
    <row r="730" spans="7:7">
      <c r="G730" t="s">
        <v>6633</v>
      </c>
    </row>
    <row r="731" spans="7:7">
      <c r="G731" t="s">
        <v>6633</v>
      </c>
    </row>
    <row r="732" spans="7:7">
      <c r="G732" t="s">
        <v>6633</v>
      </c>
    </row>
    <row r="733" spans="7:7">
      <c r="G733" t="s">
        <v>6633</v>
      </c>
    </row>
    <row r="734" spans="7:7">
      <c r="G734" t="s">
        <v>6633</v>
      </c>
    </row>
    <row r="735" spans="7:7">
      <c r="G735" t="s">
        <v>6633</v>
      </c>
    </row>
    <row r="736" spans="7:7">
      <c r="G736" t="s">
        <v>6633</v>
      </c>
    </row>
    <row r="737" spans="7:7">
      <c r="G737" t="s">
        <v>6633</v>
      </c>
    </row>
    <row r="738" spans="7:7">
      <c r="G738" t="s">
        <v>6633</v>
      </c>
    </row>
    <row r="739" spans="7:7">
      <c r="G739" t="s">
        <v>6633</v>
      </c>
    </row>
    <row r="740" spans="7:7">
      <c r="G740" t="s">
        <v>6633</v>
      </c>
    </row>
    <row r="741" spans="7:7">
      <c r="G741" t="s">
        <v>6633</v>
      </c>
    </row>
    <row r="742" spans="7:7">
      <c r="G742" t="s">
        <v>6633</v>
      </c>
    </row>
    <row r="743" spans="7:7">
      <c r="G743" t="s">
        <v>6633</v>
      </c>
    </row>
    <row r="744" spans="7:7">
      <c r="G744" t="s">
        <v>6633</v>
      </c>
    </row>
    <row r="745" spans="7:7">
      <c r="G745" t="s">
        <v>6633</v>
      </c>
    </row>
    <row r="746" spans="7:7">
      <c r="G746" t="s">
        <v>6633</v>
      </c>
    </row>
    <row r="747" spans="7:7">
      <c r="G747" t="s">
        <v>6633</v>
      </c>
    </row>
    <row r="748" spans="7:7">
      <c r="G748" t="s">
        <v>6633</v>
      </c>
    </row>
    <row r="749" spans="7:7">
      <c r="G749" t="s">
        <v>6633</v>
      </c>
    </row>
    <row r="750" spans="7:7">
      <c r="G750" t="s">
        <v>6633</v>
      </c>
    </row>
    <row r="751" spans="7:7">
      <c r="G751" t="s">
        <v>6633</v>
      </c>
    </row>
    <row r="752" spans="7:7">
      <c r="G752" t="s">
        <v>6633</v>
      </c>
    </row>
    <row r="753" spans="7:7">
      <c r="G753" t="s">
        <v>1853</v>
      </c>
    </row>
    <row r="754" spans="7:7">
      <c r="G754" t="s">
        <v>1853</v>
      </c>
    </row>
    <row r="755" spans="7:7">
      <c r="G755" t="s">
        <v>1853</v>
      </c>
    </row>
    <row r="756" spans="7:7">
      <c r="G756" t="s">
        <v>1853</v>
      </c>
    </row>
    <row r="757" spans="7:7">
      <c r="G757" t="s">
        <v>1853</v>
      </c>
    </row>
    <row r="758" spans="7:7">
      <c r="G758" t="s">
        <v>1853</v>
      </c>
    </row>
    <row r="759" spans="7:7">
      <c r="G759" t="s">
        <v>1853</v>
      </c>
    </row>
    <row r="760" spans="7:7">
      <c r="G760" t="s">
        <v>1853</v>
      </c>
    </row>
    <row r="761" spans="7:7">
      <c r="G761" t="s">
        <v>1853</v>
      </c>
    </row>
    <row r="762" spans="7:7">
      <c r="G762" t="s">
        <v>1853</v>
      </c>
    </row>
    <row r="763" spans="7:7">
      <c r="G763" t="s">
        <v>1853</v>
      </c>
    </row>
    <row r="764" spans="7:7">
      <c r="G764" t="s">
        <v>1853</v>
      </c>
    </row>
    <row r="765" spans="7:7">
      <c r="G765" t="s">
        <v>1853</v>
      </c>
    </row>
    <row r="766" spans="7:7">
      <c r="G766" t="s">
        <v>1853</v>
      </c>
    </row>
    <row r="767" spans="7:7">
      <c r="G767" t="s">
        <v>1853</v>
      </c>
    </row>
    <row r="768" spans="7:7">
      <c r="G768" t="s">
        <v>1853</v>
      </c>
    </row>
    <row r="769" spans="7:7">
      <c r="G769" t="s">
        <v>1853</v>
      </c>
    </row>
    <row r="770" spans="7:7">
      <c r="G770" t="s">
        <v>1853</v>
      </c>
    </row>
    <row r="771" spans="7:7">
      <c r="G771" t="s">
        <v>1853</v>
      </c>
    </row>
    <row r="772" spans="7:7">
      <c r="G772" t="s">
        <v>1853</v>
      </c>
    </row>
    <row r="773" spans="7:7">
      <c r="G773" t="s">
        <v>1853</v>
      </c>
    </row>
    <row r="774" spans="7:7">
      <c r="G774" t="s">
        <v>1853</v>
      </c>
    </row>
    <row r="775" spans="7:7">
      <c r="G775" t="s">
        <v>1853</v>
      </c>
    </row>
    <row r="776" spans="7:7">
      <c r="G776" t="s">
        <v>1853</v>
      </c>
    </row>
    <row r="777" spans="7:7">
      <c r="G777" t="s">
        <v>1853</v>
      </c>
    </row>
    <row r="778" spans="7:7">
      <c r="G778" t="s">
        <v>1853</v>
      </c>
    </row>
    <row r="779" spans="7:7">
      <c r="G779" t="s">
        <v>1853</v>
      </c>
    </row>
    <row r="780" spans="7:7">
      <c r="G780" t="s">
        <v>1853</v>
      </c>
    </row>
    <row r="781" spans="7:7">
      <c r="G781" t="s">
        <v>1853</v>
      </c>
    </row>
    <row r="782" spans="7:7">
      <c r="G782" t="s">
        <v>1853</v>
      </c>
    </row>
    <row r="783" spans="7:7">
      <c r="G783" t="s">
        <v>1853</v>
      </c>
    </row>
    <row r="784" spans="7:7">
      <c r="G784" t="s">
        <v>1853</v>
      </c>
    </row>
    <row r="785" spans="7:7">
      <c r="G785" t="s">
        <v>1853</v>
      </c>
    </row>
    <row r="786" spans="7:7">
      <c r="G786" t="s">
        <v>1853</v>
      </c>
    </row>
    <row r="787" spans="7:7">
      <c r="G787" t="s">
        <v>1853</v>
      </c>
    </row>
    <row r="788" spans="7:7">
      <c r="G788" t="s">
        <v>1853</v>
      </c>
    </row>
    <row r="789" spans="7:7">
      <c r="G789" t="s">
        <v>1853</v>
      </c>
    </row>
    <row r="790" spans="7:7">
      <c r="G790" t="s">
        <v>1853</v>
      </c>
    </row>
    <row r="791" spans="7:7">
      <c r="G791" t="s">
        <v>1853</v>
      </c>
    </row>
    <row r="792" spans="7:7">
      <c r="G792" t="s">
        <v>1853</v>
      </c>
    </row>
    <row r="793" spans="7:7">
      <c r="G793" t="s">
        <v>1853</v>
      </c>
    </row>
    <row r="794" spans="7:7">
      <c r="G794" t="s">
        <v>1853</v>
      </c>
    </row>
    <row r="795" spans="7:7">
      <c r="G795" t="s">
        <v>1853</v>
      </c>
    </row>
    <row r="796" spans="7:7">
      <c r="G796" t="s">
        <v>1853</v>
      </c>
    </row>
    <row r="797" spans="7:7">
      <c r="G797" t="s">
        <v>1853</v>
      </c>
    </row>
    <row r="798" spans="7:7">
      <c r="G798" t="s">
        <v>1853</v>
      </c>
    </row>
    <row r="799" spans="7:7">
      <c r="G799" t="s">
        <v>1853</v>
      </c>
    </row>
    <row r="800" spans="7:7">
      <c r="G800" t="s">
        <v>1853</v>
      </c>
    </row>
    <row r="801" spans="7:7">
      <c r="G801" t="s">
        <v>1853</v>
      </c>
    </row>
    <row r="802" spans="7:7">
      <c r="G802" t="s">
        <v>1853</v>
      </c>
    </row>
    <row r="803" spans="7:7">
      <c r="G803" t="s">
        <v>7054</v>
      </c>
    </row>
    <row r="804" spans="7:7">
      <c r="G804" t="s">
        <v>7054</v>
      </c>
    </row>
    <row r="805" spans="7:7">
      <c r="G805" t="s">
        <v>7054</v>
      </c>
    </row>
    <row r="806" spans="7:7">
      <c r="G806" t="s">
        <v>7054</v>
      </c>
    </row>
    <row r="807" spans="7:7">
      <c r="G807" t="s">
        <v>7054</v>
      </c>
    </row>
    <row r="808" spans="7:7">
      <c r="G808" t="s">
        <v>7054</v>
      </c>
    </row>
    <row r="809" spans="7:7">
      <c r="G809" t="s">
        <v>7054</v>
      </c>
    </row>
    <row r="810" spans="7:7">
      <c r="G810" t="s">
        <v>7054</v>
      </c>
    </row>
    <row r="811" spans="7:7">
      <c r="G811" t="s">
        <v>7054</v>
      </c>
    </row>
    <row r="812" spans="7:7">
      <c r="G812" t="s">
        <v>7054</v>
      </c>
    </row>
    <row r="813" spans="7:7">
      <c r="G813" t="s">
        <v>7054</v>
      </c>
    </row>
    <row r="814" spans="7:7">
      <c r="G814" t="s">
        <v>7054</v>
      </c>
    </row>
    <row r="815" spans="7:7">
      <c r="G815" t="s">
        <v>7054</v>
      </c>
    </row>
    <row r="816" spans="7:7">
      <c r="G816" t="s">
        <v>7054</v>
      </c>
    </row>
    <row r="817" spans="7:7">
      <c r="G817" t="s">
        <v>7054</v>
      </c>
    </row>
    <row r="818" spans="7:7">
      <c r="G818" t="s">
        <v>7054</v>
      </c>
    </row>
    <row r="819" spans="7:7">
      <c r="G819" t="s">
        <v>7054</v>
      </c>
    </row>
    <row r="820" spans="7:7">
      <c r="G820" t="s">
        <v>7054</v>
      </c>
    </row>
    <row r="821" spans="7:7">
      <c r="G821" t="s">
        <v>7054</v>
      </c>
    </row>
    <row r="822" spans="7:7">
      <c r="G822" t="s">
        <v>7054</v>
      </c>
    </row>
    <row r="823" spans="7:7">
      <c r="G823" t="s">
        <v>7054</v>
      </c>
    </row>
    <row r="824" spans="7:7">
      <c r="G824" t="s">
        <v>7054</v>
      </c>
    </row>
    <row r="825" spans="7:7">
      <c r="G825" t="s">
        <v>7054</v>
      </c>
    </row>
    <row r="826" spans="7:7">
      <c r="G826" t="s">
        <v>7054</v>
      </c>
    </row>
    <row r="827" spans="7:7">
      <c r="G827" t="s">
        <v>7054</v>
      </c>
    </row>
    <row r="828" spans="7:7">
      <c r="G828" t="s">
        <v>7054</v>
      </c>
    </row>
    <row r="829" spans="7:7">
      <c r="G829" t="s">
        <v>7054</v>
      </c>
    </row>
    <row r="830" spans="7:7">
      <c r="G830" t="s">
        <v>7054</v>
      </c>
    </row>
    <row r="831" spans="7:7">
      <c r="G831" t="s">
        <v>7054</v>
      </c>
    </row>
    <row r="832" spans="7:7">
      <c r="G832" t="s">
        <v>7054</v>
      </c>
    </row>
    <row r="833" spans="7:7">
      <c r="G833" t="s">
        <v>7054</v>
      </c>
    </row>
    <row r="834" spans="7:7">
      <c r="G834" t="s">
        <v>7054</v>
      </c>
    </row>
    <row r="835" spans="7:7">
      <c r="G835" t="s">
        <v>7054</v>
      </c>
    </row>
    <row r="836" spans="7:7">
      <c r="G836" t="s">
        <v>7054</v>
      </c>
    </row>
    <row r="837" spans="7:7">
      <c r="G837" t="s">
        <v>7054</v>
      </c>
    </row>
    <row r="838" spans="7:7">
      <c r="G838" t="s">
        <v>7054</v>
      </c>
    </row>
    <row r="839" spans="7:7">
      <c r="G839" t="s">
        <v>7054</v>
      </c>
    </row>
    <row r="840" spans="7:7">
      <c r="G840" t="s">
        <v>7054</v>
      </c>
    </row>
    <row r="841" spans="7:7">
      <c r="G841" t="s">
        <v>7054</v>
      </c>
    </row>
    <row r="842" spans="7:7">
      <c r="G842" t="s">
        <v>7054</v>
      </c>
    </row>
    <row r="843" spans="7:7">
      <c r="G843" t="s">
        <v>7054</v>
      </c>
    </row>
    <row r="844" spans="7:7">
      <c r="G844" t="s">
        <v>7054</v>
      </c>
    </row>
    <row r="845" spans="7:7">
      <c r="G845" t="s">
        <v>7054</v>
      </c>
    </row>
    <row r="846" spans="7:7">
      <c r="G846" t="s">
        <v>7054</v>
      </c>
    </row>
    <row r="847" spans="7:7">
      <c r="G847" t="s">
        <v>7054</v>
      </c>
    </row>
    <row r="848" spans="7:7">
      <c r="G848" t="s">
        <v>7054</v>
      </c>
    </row>
    <row r="849" spans="7:7">
      <c r="G849" t="s">
        <v>7054</v>
      </c>
    </row>
    <row r="850" spans="7:7">
      <c r="G850" t="s">
        <v>7054</v>
      </c>
    </row>
    <row r="851" spans="7:7">
      <c r="G851" t="s">
        <v>7054</v>
      </c>
    </row>
    <row r="852" spans="7:7">
      <c r="G852" t="s">
        <v>7054</v>
      </c>
    </row>
    <row r="853" spans="7:7">
      <c r="G853" t="s">
        <v>7054</v>
      </c>
    </row>
    <row r="854" spans="7:7">
      <c r="G854" t="s">
        <v>7054</v>
      </c>
    </row>
    <row r="855" spans="7:7">
      <c r="G855" t="s">
        <v>7054</v>
      </c>
    </row>
    <row r="856" spans="7:7">
      <c r="G856" t="s">
        <v>7054</v>
      </c>
    </row>
    <row r="857" spans="7:7">
      <c r="G857" t="s">
        <v>7054</v>
      </c>
    </row>
    <row r="858" spans="7:7">
      <c r="G858" t="s">
        <v>7054</v>
      </c>
    </row>
    <row r="859" spans="7:7">
      <c r="G859" t="s">
        <v>7054</v>
      </c>
    </row>
    <row r="860" spans="7:7">
      <c r="G860" t="s">
        <v>7054</v>
      </c>
    </row>
    <row r="861" spans="7:7">
      <c r="G861" t="s">
        <v>7054</v>
      </c>
    </row>
    <row r="862" spans="7:7">
      <c r="G862" t="s">
        <v>7054</v>
      </c>
    </row>
    <row r="863" spans="7:7">
      <c r="G863" t="s">
        <v>7054</v>
      </c>
    </row>
    <row r="864" spans="7:7">
      <c r="G864" t="s">
        <v>7054</v>
      </c>
    </row>
    <row r="865" spans="7:7">
      <c r="G865" t="s">
        <v>7054</v>
      </c>
    </row>
    <row r="866" spans="7:7">
      <c r="G866" t="s">
        <v>7054</v>
      </c>
    </row>
    <row r="867" spans="7:7">
      <c r="G867" t="s">
        <v>7054</v>
      </c>
    </row>
    <row r="868" spans="7:7">
      <c r="G868" t="s">
        <v>7054</v>
      </c>
    </row>
    <row r="869" spans="7:7">
      <c r="G869" t="s">
        <v>7054</v>
      </c>
    </row>
    <row r="870" spans="7:7">
      <c r="G870" t="s">
        <v>7054</v>
      </c>
    </row>
    <row r="871" spans="7:7">
      <c r="G871" t="s">
        <v>7054</v>
      </c>
    </row>
    <row r="872" spans="7:7">
      <c r="G872" t="s">
        <v>7054</v>
      </c>
    </row>
    <row r="873" spans="7:7">
      <c r="G873" t="s">
        <v>7054</v>
      </c>
    </row>
    <row r="874" spans="7:7">
      <c r="G874" t="s">
        <v>7054</v>
      </c>
    </row>
    <row r="875" spans="7:7">
      <c r="G875" t="s">
        <v>7054</v>
      </c>
    </row>
    <row r="876" spans="7:7">
      <c r="G876" t="s">
        <v>7054</v>
      </c>
    </row>
    <row r="877" spans="7:7">
      <c r="G877" t="s">
        <v>7054</v>
      </c>
    </row>
    <row r="878" spans="7:7">
      <c r="G878" t="s">
        <v>7054</v>
      </c>
    </row>
    <row r="879" spans="7:7">
      <c r="G879" t="s">
        <v>7054</v>
      </c>
    </row>
    <row r="880" spans="7:7">
      <c r="G880" t="s">
        <v>7054</v>
      </c>
    </row>
    <row r="881" spans="7:7">
      <c r="G881" t="s">
        <v>7054</v>
      </c>
    </row>
    <row r="882" spans="7:7">
      <c r="G882" t="s">
        <v>7054</v>
      </c>
    </row>
    <row r="883" spans="7:7">
      <c r="G883" t="s">
        <v>7054</v>
      </c>
    </row>
    <row r="884" spans="7:7">
      <c r="G884" t="s">
        <v>7054</v>
      </c>
    </row>
    <row r="885" spans="7:7">
      <c r="G885" t="s">
        <v>7054</v>
      </c>
    </row>
    <row r="886" spans="7:7">
      <c r="G886" t="s">
        <v>7054</v>
      </c>
    </row>
    <row r="887" spans="7:7">
      <c r="G887" t="s">
        <v>7054</v>
      </c>
    </row>
    <row r="888" spans="7:7">
      <c r="G888" t="s">
        <v>7054</v>
      </c>
    </row>
    <row r="889" spans="7:7">
      <c r="G889" t="s">
        <v>7054</v>
      </c>
    </row>
    <row r="890" spans="7:7">
      <c r="G890" t="s">
        <v>7054</v>
      </c>
    </row>
    <row r="891" spans="7:7">
      <c r="G891" t="s">
        <v>7054</v>
      </c>
    </row>
    <row r="892" spans="7:7">
      <c r="G892" t="s">
        <v>7054</v>
      </c>
    </row>
    <row r="893" spans="7:7">
      <c r="G893" t="s">
        <v>7054</v>
      </c>
    </row>
    <row r="894" spans="7:7">
      <c r="G894" t="s">
        <v>7054</v>
      </c>
    </row>
    <row r="895" spans="7:7">
      <c r="G895" t="s">
        <v>7054</v>
      </c>
    </row>
    <row r="896" spans="7:7">
      <c r="G896" t="s">
        <v>7054</v>
      </c>
    </row>
    <row r="897" spans="7:7">
      <c r="G897" t="s">
        <v>7054</v>
      </c>
    </row>
    <row r="898" spans="7:7">
      <c r="G898" t="s">
        <v>7054</v>
      </c>
    </row>
    <row r="899" spans="7:7">
      <c r="G899" t="s">
        <v>7054</v>
      </c>
    </row>
    <row r="900" spans="7:7">
      <c r="G900" t="s">
        <v>7054</v>
      </c>
    </row>
    <row r="901" spans="7:7">
      <c r="G901" t="s">
        <v>7831</v>
      </c>
    </row>
    <row r="902" spans="7:7">
      <c r="G902" t="s">
        <v>7831</v>
      </c>
    </row>
    <row r="903" spans="7:7">
      <c r="G903" t="s">
        <v>7831</v>
      </c>
    </row>
    <row r="904" spans="7:7">
      <c r="G904" t="s">
        <v>7831</v>
      </c>
    </row>
    <row r="905" spans="7:7">
      <c r="G905" t="s">
        <v>7831</v>
      </c>
    </row>
    <row r="906" spans="7:7">
      <c r="G906" t="s">
        <v>7831</v>
      </c>
    </row>
    <row r="907" spans="7:7">
      <c r="G907" t="s">
        <v>7831</v>
      </c>
    </row>
    <row r="908" spans="7:7">
      <c r="G908" t="s">
        <v>7831</v>
      </c>
    </row>
    <row r="909" spans="7:7">
      <c r="G909" t="s">
        <v>7831</v>
      </c>
    </row>
    <row r="910" spans="7:7">
      <c r="G910" t="s">
        <v>7831</v>
      </c>
    </row>
    <row r="911" spans="7:7">
      <c r="G911" t="s">
        <v>7831</v>
      </c>
    </row>
    <row r="912" spans="7:7">
      <c r="G912" t="s">
        <v>7831</v>
      </c>
    </row>
    <row r="913" spans="7:7">
      <c r="G913" t="s">
        <v>7831</v>
      </c>
    </row>
    <row r="914" spans="7:7">
      <c r="G914" t="s">
        <v>7831</v>
      </c>
    </row>
    <row r="915" spans="7:7">
      <c r="G915" t="s">
        <v>7831</v>
      </c>
    </row>
    <row r="916" spans="7:7">
      <c r="G916" t="s">
        <v>7831</v>
      </c>
    </row>
    <row r="917" spans="7:7">
      <c r="G917" t="s">
        <v>7831</v>
      </c>
    </row>
    <row r="918" spans="7:7">
      <c r="G918" t="s">
        <v>7831</v>
      </c>
    </row>
    <row r="919" spans="7:7">
      <c r="G919" t="s">
        <v>7831</v>
      </c>
    </row>
    <row r="920" spans="7:7">
      <c r="G920" t="s">
        <v>7831</v>
      </c>
    </row>
    <row r="921" spans="7:7">
      <c r="G921" t="s">
        <v>7831</v>
      </c>
    </row>
    <row r="922" spans="7:7">
      <c r="G922" t="s">
        <v>7831</v>
      </c>
    </row>
    <row r="923" spans="7:7">
      <c r="G923" t="s">
        <v>7831</v>
      </c>
    </row>
    <row r="924" spans="7:7">
      <c r="G924" t="s">
        <v>7831</v>
      </c>
    </row>
    <row r="925" spans="7:7">
      <c r="G925" t="s">
        <v>7831</v>
      </c>
    </row>
    <row r="926" spans="7:7">
      <c r="G926" t="s">
        <v>7831</v>
      </c>
    </row>
    <row r="927" spans="7:7">
      <c r="G927" t="s">
        <v>7831</v>
      </c>
    </row>
    <row r="928" spans="7:7">
      <c r="G928" t="s">
        <v>7831</v>
      </c>
    </row>
    <row r="929" spans="7:7">
      <c r="G929" t="s">
        <v>7831</v>
      </c>
    </row>
    <row r="930" spans="7:7">
      <c r="G930" t="s">
        <v>7831</v>
      </c>
    </row>
    <row r="931" spans="7:7">
      <c r="G931" t="s">
        <v>7831</v>
      </c>
    </row>
    <row r="932" spans="7:7">
      <c r="G932" t="s">
        <v>7831</v>
      </c>
    </row>
    <row r="933" spans="7:7">
      <c r="G933" t="s">
        <v>7831</v>
      </c>
    </row>
    <row r="934" spans="7:7">
      <c r="G934" t="s">
        <v>7831</v>
      </c>
    </row>
    <row r="935" spans="7:7">
      <c r="G935" t="s">
        <v>7831</v>
      </c>
    </row>
    <row r="936" spans="7:7">
      <c r="G936" t="s">
        <v>7831</v>
      </c>
    </row>
    <row r="937" spans="7:7">
      <c r="G937" t="s">
        <v>7831</v>
      </c>
    </row>
    <row r="938" spans="7:7">
      <c r="G938" t="s">
        <v>7831</v>
      </c>
    </row>
    <row r="939" spans="7:7">
      <c r="G939" t="s">
        <v>7831</v>
      </c>
    </row>
    <row r="940" spans="7:7">
      <c r="G940" t="s">
        <v>7831</v>
      </c>
    </row>
    <row r="941" spans="7:7">
      <c r="G941" t="s">
        <v>7831</v>
      </c>
    </row>
    <row r="942" spans="7:7">
      <c r="G942" t="s">
        <v>7831</v>
      </c>
    </row>
    <row r="943" spans="7:7">
      <c r="G943" t="s">
        <v>7831</v>
      </c>
    </row>
    <row r="944" spans="7:7">
      <c r="G944" t="s">
        <v>7831</v>
      </c>
    </row>
    <row r="945" spans="7:7">
      <c r="G945" t="s">
        <v>7831</v>
      </c>
    </row>
    <row r="946" spans="7:7">
      <c r="G946" t="s">
        <v>7831</v>
      </c>
    </row>
    <row r="947" spans="7:7">
      <c r="G947" t="s">
        <v>7831</v>
      </c>
    </row>
    <row r="948" spans="7:7">
      <c r="G948" t="s">
        <v>7831</v>
      </c>
    </row>
    <row r="949" spans="7:7">
      <c r="G949" t="s">
        <v>7831</v>
      </c>
    </row>
    <row r="950" spans="7:7">
      <c r="G950" t="s">
        <v>7831</v>
      </c>
    </row>
    <row r="951" spans="7:7">
      <c r="G951" t="s">
        <v>7831</v>
      </c>
    </row>
    <row r="952" spans="7:7">
      <c r="G952" t="s">
        <v>7831</v>
      </c>
    </row>
    <row r="953" spans="7:7">
      <c r="G953" t="s">
        <v>7831</v>
      </c>
    </row>
    <row r="954" spans="7:7">
      <c r="G954" t="s">
        <v>7831</v>
      </c>
    </row>
    <row r="955" spans="7:7">
      <c r="G955" t="s">
        <v>7831</v>
      </c>
    </row>
    <row r="956" spans="7:7">
      <c r="G956" t="s">
        <v>7831</v>
      </c>
    </row>
    <row r="957" spans="7:7">
      <c r="G957" t="s">
        <v>7831</v>
      </c>
    </row>
    <row r="958" spans="7:7">
      <c r="G958" t="s">
        <v>7831</v>
      </c>
    </row>
    <row r="959" spans="7:7">
      <c r="G959" t="s">
        <v>7831</v>
      </c>
    </row>
    <row r="960" spans="7:7">
      <c r="G960" t="s">
        <v>7831</v>
      </c>
    </row>
    <row r="961" spans="7:7">
      <c r="G961" t="s">
        <v>7831</v>
      </c>
    </row>
    <row r="962" spans="7:7">
      <c r="G962" t="s">
        <v>7831</v>
      </c>
    </row>
    <row r="963" spans="7:7">
      <c r="G963" t="s">
        <v>7831</v>
      </c>
    </row>
    <row r="964" spans="7:7">
      <c r="G964" t="s">
        <v>7831</v>
      </c>
    </row>
    <row r="965" spans="7:7">
      <c r="G965" t="s">
        <v>7831</v>
      </c>
    </row>
    <row r="966" spans="7:7">
      <c r="G966" t="s">
        <v>7831</v>
      </c>
    </row>
    <row r="967" spans="7:7">
      <c r="G967" t="s">
        <v>7831</v>
      </c>
    </row>
    <row r="968" spans="7:7">
      <c r="G968" t="s">
        <v>7831</v>
      </c>
    </row>
    <row r="969" spans="7:7">
      <c r="G969" t="s">
        <v>7831</v>
      </c>
    </row>
    <row r="970" spans="7:7">
      <c r="G970" t="s">
        <v>7831</v>
      </c>
    </row>
    <row r="971" spans="7:7">
      <c r="G971" t="s">
        <v>7831</v>
      </c>
    </row>
    <row r="972" spans="7:7">
      <c r="G972" t="s">
        <v>7831</v>
      </c>
    </row>
    <row r="973" spans="7:7">
      <c r="G973" t="s">
        <v>7831</v>
      </c>
    </row>
    <row r="974" spans="7:7">
      <c r="G974" t="s">
        <v>7831</v>
      </c>
    </row>
    <row r="975" spans="7:7">
      <c r="G975" t="s">
        <v>7831</v>
      </c>
    </row>
    <row r="976" spans="7:7">
      <c r="G976" t="s">
        <v>7831</v>
      </c>
    </row>
    <row r="977" spans="7:7">
      <c r="G977" t="s">
        <v>7831</v>
      </c>
    </row>
    <row r="978" spans="7:7">
      <c r="G978" t="s">
        <v>7831</v>
      </c>
    </row>
    <row r="979" spans="7:7">
      <c r="G979" t="s">
        <v>7831</v>
      </c>
    </row>
    <row r="980" spans="7:7">
      <c r="G980" t="s">
        <v>7831</v>
      </c>
    </row>
    <row r="981" spans="7:7">
      <c r="G981" t="s">
        <v>7831</v>
      </c>
    </row>
    <row r="982" spans="7:7">
      <c r="G982" t="s">
        <v>7831</v>
      </c>
    </row>
    <row r="983" spans="7:7">
      <c r="G983" t="s">
        <v>7831</v>
      </c>
    </row>
    <row r="984" spans="7:7">
      <c r="G984" t="s">
        <v>7831</v>
      </c>
    </row>
    <row r="985" spans="7:7">
      <c r="G985" t="s">
        <v>7831</v>
      </c>
    </row>
    <row r="986" spans="7:7">
      <c r="G986" t="s">
        <v>7831</v>
      </c>
    </row>
    <row r="987" spans="7:7">
      <c r="G987" t="s">
        <v>7831</v>
      </c>
    </row>
    <row r="988" spans="7:7">
      <c r="G988" t="s">
        <v>7831</v>
      </c>
    </row>
    <row r="989" spans="7:7">
      <c r="G989" t="s">
        <v>7831</v>
      </c>
    </row>
    <row r="990" spans="7:7">
      <c r="G990" t="s">
        <v>7831</v>
      </c>
    </row>
    <row r="991" spans="7:7">
      <c r="G991" t="s">
        <v>7831</v>
      </c>
    </row>
    <row r="992" spans="7:7">
      <c r="G992" t="s">
        <v>7831</v>
      </c>
    </row>
    <row r="993" spans="7:7">
      <c r="G993" t="s">
        <v>7831</v>
      </c>
    </row>
    <row r="994" spans="7:7">
      <c r="G994" t="s">
        <v>7831</v>
      </c>
    </row>
    <row r="995" spans="7:7">
      <c r="G995" t="s">
        <v>7831</v>
      </c>
    </row>
    <row r="996" spans="7:7">
      <c r="G996" t="s">
        <v>7831</v>
      </c>
    </row>
    <row r="997" spans="7:7">
      <c r="G997" t="s">
        <v>7831</v>
      </c>
    </row>
    <row r="998" spans="7:7">
      <c r="G998" t="s">
        <v>7831</v>
      </c>
    </row>
    <row r="999" spans="7:7">
      <c r="G999" t="s">
        <v>7831</v>
      </c>
    </row>
    <row r="1000" spans="7:7">
      <c r="G1000" t="s">
        <v>7831</v>
      </c>
    </row>
    <row r="1001" spans="7:7">
      <c r="G1001" t="s">
        <v>7831</v>
      </c>
    </row>
    <row r="1002" spans="7:7">
      <c r="G1002" t="s">
        <v>7831</v>
      </c>
    </row>
    <row r="1003" spans="7:7">
      <c r="G1003" t="s">
        <v>7831</v>
      </c>
    </row>
    <row r="1004" spans="7:7">
      <c r="G1004" t="s">
        <v>7831</v>
      </c>
    </row>
    <row r="1005" spans="7:7">
      <c r="G1005" t="s">
        <v>7831</v>
      </c>
    </row>
    <row r="1006" spans="7:7">
      <c r="G1006" t="s">
        <v>7831</v>
      </c>
    </row>
    <row r="1007" spans="7:7">
      <c r="G1007" t="s">
        <v>7831</v>
      </c>
    </row>
    <row r="1008" spans="7:7">
      <c r="G1008" t="s">
        <v>7831</v>
      </c>
    </row>
    <row r="1009" spans="7:7">
      <c r="G1009" t="s">
        <v>7831</v>
      </c>
    </row>
    <row r="1010" spans="7:7">
      <c r="G1010" t="s">
        <v>7831</v>
      </c>
    </row>
    <row r="1011" spans="7:7">
      <c r="G1011" t="s">
        <v>7831</v>
      </c>
    </row>
    <row r="1012" spans="7:7">
      <c r="G1012" t="s">
        <v>7831</v>
      </c>
    </row>
    <row r="1013" spans="7:7">
      <c r="G1013" t="s">
        <v>7831</v>
      </c>
    </row>
    <row r="1014" spans="7:7">
      <c r="G1014" t="s">
        <v>7831</v>
      </c>
    </row>
    <row r="1015" spans="7:7">
      <c r="G1015" t="s">
        <v>7831</v>
      </c>
    </row>
    <row r="1016" spans="7:7">
      <c r="G1016" t="s">
        <v>7831</v>
      </c>
    </row>
    <row r="1017" spans="7:7">
      <c r="G1017" t="s">
        <v>7831</v>
      </c>
    </row>
    <row r="1018" spans="7:7">
      <c r="G1018" t="s">
        <v>7831</v>
      </c>
    </row>
    <row r="1019" spans="7:7">
      <c r="G1019" t="s">
        <v>7831</v>
      </c>
    </row>
    <row r="1020" spans="7:7">
      <c r="G1020" t="s">
        <v>7831</v>
      </c>
    </row>
    <row r="1021" spans="7:7">
      <c r="G1021" t="s">
        <v>7831</v>
      </c>
    </row>
    <row r="1022" spans="7:7">
      <c r="G1022" t="s">
        <v>7831</v>
      </c>
    </row>
    <row r="1023" spans="7:7">
      <c r="G1023" t="s">
        <v>7831</v>
      </c>
    </row>
    <row r="1024" spans="7:7">
      <c r="G1024" t="s">
        <v>7831</v>
      </c>
    </row>
    <row r="1025" spans="7:7">
      <c r="G1025" t="s">
        <v>7831</v>
      </c>
    </row>
    <row r="1026" spans="7:7">
      <c r="G1026" t="s">
        <v>7831</v>
      </c>
    </row>
    <row r="1027" spans="7:7">
      <c r="G1027" t="s">
        <v>7831</v>
      </c>
    </row>
    <row r="1028" spans="7:7">
      <c r="G1028" t="s">
        <v>7831</v>
      </c>
    </row>
    <row r="1029" spans="7:7">
      <c r="G1029" t="s">
        <v>7831</v>
      </c>
    </row>
    <row r="1030" spans="7:7">
      <c r="G1030" t="s">
        <v>7831</v>
      </c>
    </row>
    <row r="1031" spans="7:7">
      <c r="G1031" t="s">
        <v>7831</v>
      </c>
    </row>
    <row r="1032" spans="7:7">
      <c r="G1032" t="s">
        <v>7831</v>
      </c>
    </row>
    <row r="1033" spans="7:7">
      <c r="G1033" t="s">
        <v>7831</v>
      </c>
    </row>
    <row r="1034" spans="7:7">
      <c r="G1034" t="s">
        <v>7831</v>
      </c>
    </row>
    <row r="1035" spans="7:7">
      <c r="G1035" t="s">
        <v>7831</v>
      </c>
    </row>
    <row r="1036" spans="7:7">
      <c r="G1036" t="s">
        <v>7831</v>
      </c>
    </row>
    <row r="1037" spans="7:7">
      <c r="G1037" t="s">
        <v>7831</v>
      </c>
    </row>
    <row r="1038" spans="7:7">
      <c r="G1038" t="s">
        <v>7831</v>
      </c>
    </row>
    <row r="1039" spans="7:7">
      <c r="G1039" t="s">
        <v>7831</v>
      </c>
    </row>
    <row r="1040" spans="7:7">
      <c r="G1040" t="s">
        <v>7831</v>
      </c>
    </row>
    <row r="1041" spans="7:7">
      <c r="G1041" t="s">
        <v>7831</v>
      </c>
    </row>
    <row r="1042" spans="7:7">
      <c r="G1042" t="s">
        <v>7831</v>
      </c>
    </row>
    <row r="1043" spans="7:7">
      <c r="G1043" t="s">
        <v>7831</v>
      </c>
    </row>
    <row r="1044" spans="7:7">
      <c r="G1044" t="s">
        <v>7831</v>
      </c>
    </row>
    <row r="1045" spans="7:7">
      <c r="G1045" t="s">
        <v>7831</v>
      </c>
    </row>
    <row r="1046" spans="7:7">
      <c r="G1046" t="s">
        <v>7831</v>
      </c>
    </row>
    <row r="1047" spans="7:7">
      <c r="G1047" t="s">
        <v>7831</v>
      </c>
    </row>
    <row r="1048" spans="7:7">
      <c r="G1048" t="s">
        <v>7831</v>
      </c>
    </row>
    <row r="1049" spans="7:7">
      <c r="G1049" t="s">
        <v>7831</v>
      </c>
    </row>
    <row r="1050" spans="7:7">
      <c r="G1050" t="s">
        <v>7831</v>
      </c>
    </row>
    <row r="1051" spans="7:7">
      <c r="G1051" t="s">
        <v>8852</v>
      </c>
    </row>
    <row r="1052" spans="7:7">
      <c r="G1052" t="s">
        <v>8852</v>
      </c>
    </row>
    <row r="1053" spans="7:7">
      <c r="G1053" t="s">
        <v>8852</v>
      </c>
    </row>
    <row r="1054" spans="7:7">
      <c r="G1054" t="s">
        <v>8852</v>
      </c>
    </row>
    <row r="1055" spans="7:7">
      <c r="G1055" t="s">
        <v>8852</v>
      </c>
    </row>
    <row r="1056" spans="7:7">
      <c r="G1056" t="s">
        <v>8852</v>
      </c>
    </row>
    <row r="1057" spans="7:7">
      <c r="G1057" t="s">
        <v>8852</v>
      </c>
    </row>
    <row r="1058" spans="7:7">
      <c r="G1058" t="s">
        <v>8852</v>
      </c>
    </row>
    <row r="1059" spans="7:7">
      <c r="G1059" t="s">
        <v>8852</v>
      </c>
    </row>
    <row r="1060" spans="7:7">
      <c r="G1060" t="s">
        <v>8852</v>
      </c>
    </row>
    <row r="1061" spans="7:7">
      <c r="G1061" t="s">
        <v>8852</v>
      </c>
    </row>
    <row r="1062" spans="7:7">
      <c r="G1062" t="s">
        <v>8931</v>
      </c>
    </row>
    <row r="1063" spans="7:7">
      <c r="G1063" t="s">
        <v>8931</v>
      </c>
    </row>
    <row r="1064" spans="7:7">
      <c r="G1064" t="s">
        <v>8931</v>
      </c>
    </row>
    <row r="1065" spans="7:7">
      <c r="G1065" t="s">
        <v>8931</v>
      </c>
    </row>
    <row r="1066" spans="7:7">
      <c r="G1066" t="s">
        <v>8931</v>
      </c>
    </row>
    <row r="1067" spans="7:7">
      <c r="G1067" t="s">
        <v>8931</v>
      </c>
    </row>
    <row r="1068" spans="7:7">
      <c r="G1068" t="s">
        <v>8931</v>
      </c>
    </row>
    <row r="1069" spans="7:7">
      <c r="G1069" t="s">
        <v>8931</v>
      </c>
    </row>
    <row r="1070" spans="7:7">
      <c r="G1070" t="s">
        <v>8931</v>
      </c>
    </row>
    <row r="1071" spans="7:7">
      <c r="G1071" t="s">
        <v>8931</v>
      </c>
    </row>
    <row r="1072" spans="7:7">
      <c r="G1072" t="s">
        <v>8931</v>
      </c>
    </row>
    <row r="1073" spans="7:7">
      <c r="G1073" t="s">
        <v>8931</v>
      </c>
    </row>
    <row r="1074" spans="7:7">
      <c r="G1074" t="s">
        <v>8931</v>
      </c>
    </row>
    <row r="1075" spans="7:7">
      <c r="G1075" t="s">
        <v>8931</v>
      </c>
    </row>
    <row r="1076" spans="7:7">
      <c r="G1076" t="s">
        <v>8931</v>
      </c>
    </row>
    <row r="1077" spans="7:7">
      <c r="G1077" t="s">
        <v>8931</v>
      </c>
    </row>
    <row r="1078" spans="7:7">
      <c r="G1078" t="s">
        <v>8931</v>
      </c>
    </row>
    <row r="1079" spans="7:7">
      <c r="G1079" t="s">
        <v>8931</v>
      </c>
    </row>
    <row r="1080" spans="7:7">
      <c r="G1080" t="s">
        <v>8931</v>
      </c>
    </row>
    <row r="1081" spans="7:7">
      <c r="G1081" t="s">
        <v>8931</v>
      </c>
    </row>
    <row r="1082" spans="7:7">
      <c r="G1082" t="s">
        <v>8931</v>
      </c>
    </row>
    <row r="1083" spans="7:7">
      <c r="G1083" t="s">
        <v>8931</v>
      </c>
    </row>
    <row r="1084" spans="7:7">
      <c r="G1084" t="s">
        <v>8931</v>
      </c>
    </row>
    <row r="1085" spans="7:7">
      <c r="G1085" t="s">
        <v>8931</v>
      </c>
    </row>
    <row r="1086" spans="7:7">
      <c r="G1086" t="s">
        <v>8931</v>
      </c>
    </row>
    <row r="1087" spans="7:7">
      <c r="G1087" t="s">
        <v>8931</v>
      </c>
    </row>
    <row r="1088" spans="7:7">
      <c r="G1088" t="s">
        <v>8931</v>
      </c>
    </row>
    <row r="1089" spans="7:7">
      <c r="G1089" t="s">
        <v>8931</v>
      </c>
    </row>
    <row r="1090" spans="7:7">
      <c r="G1090" t="s">
        <v>8931</v>
      </c>
    </row>
    <row r="1091" spans="7:7">
      <c r="G1091" t="s">
        <v>8931</v>
      </c>
    </row>
    <row r="1092" spans="7:7">
      <c r="G1092" t="s">
        <v>8931</v>
      </c>
    </row>
    <row r="1093" spans="7:7">
      <c r="G1093" t="s">
        <v>8931</v>
      </c>
    </row>
    <row r="1094" spans="7:7">
      <c r="G1094" t="s">
        <v>8931</v>
      </c>
    </row>
    <row r="1095" spans="7:7">
      <c r="G1095" t="s">
        <v>8931</v>
      </c>
    </row>
    <row r="1096" spans="7:7">
      <c r="G1096" t="s">
        <v>8931</v>
      </c>
    </row>
    <row r="1097" spans="7:7">
      <c r="G1097" t="s">
        <v>8931</v>
      </c>
    </row>
    <row r="1098" spans="7:7">
      <c r="G1098" t="s">
        <v>8931</v>
      </c>
    </row>
    <row r="1099" spans="7:7">
      <c r="G1099" t="s">
        <v>8931</v>
      </c>
    </row>
    <row r="1100" spans="7:7">
      <c r="G1100" t="s">
        <v>8931</v>
      </c>
    </row>
    <row r="1101" spans="7:7">
      <c r="G1101" t="s">
        <v>8931</v>
      </c>
    </row>
    <row r="1102" spans="7:7">
      <c r="G1102" t="s">
        <v>8931</v>
      </c>
    </row>
    <row r="1103" spans="7:7">
      <c r="G1103" t="s">
        <v>8931</v>
      </c>
    </row>
    <row r="1104" spans="7:7">
      <c r="G1104" t="s">
        <v>8931</v>
      </c>
    </row>
    <row r="1105" spans="7:7">
      <c r="G1105" t="s">
        <v>8931</v>
      </c>
    </row>
    <row r="1106" spans="7:7">
      <c r="G1106" t="s">
        <v>8931</v>
      </c>
    </row>
    <row r="1107" spans="7:7">
      <c r="G1107" t="s">
        <v>8931</v>
      </c>
    </row>
    <row r="1108" spans="7:7">
      <c r="G1108" t="s">
        <v>1853</v>
      </c>
    </row>
    <row r="1109" spans="7:7">
      <c r="G1109" t="s">
        <v>1853</v>
      </c>
    </row>
    <row r="1110" spans="7:7">
      <c r="G1110" t="s">
        <v>1853</v>
      </c>
    </row>
    <row r="1111" spans="7:7">
      <c r="G1111" t="s">
        <v>1853</v>
      </c>
    </row>
    <row r="1112" spans="7:7">
      <c r="G1112" t="s">
        <v>9253</v>
      </c>
    </row>
    <row r="1113" spans="7:7">
      <c r="G1113" t="s">
        <v>9253</v>
      </c>
    </row>
    <row r="1114" spans="7:7">
      <c r="G1114" t="s">
        <v>9253</v>
      </c>
    </row>
    <row r="1115" spans="7:7">
      <c r="G1115" t="s">
        <v>9265</v>
      </c>
    </row>
    <row r="1116" spans="7:7">
      <c r="G1116" t="s">
        <v>9265</v>
      </c>
    </row>
    <row r="1117" spans="7:7">
      <c r="G1117" t="s">
        <v>9265</v>
      </c>
    </row>
    <row r="1118" spans="7:7">
      <c r="G1118" t="s">
        <v>9265</v>
      </c>
    </row>
    <row r="1119" spans="7:7">
      <c r="G1119" t="s">
        <v>9265</v>
      </c>
    </row>
    <row r="1120" spans="7:7">
      <c r="G1120" t="s">
        <v>9265</v>
      </c>
    </row>
    <row r="1121" spans="7:7">
      <c r="G1121" t="s">
        <v>9265</v>
      </c>
    </row>
    <row r="1122" spans="7:7">
      <c r="G1122" t="s">
        <v>9265</v>
      </c>
    </row>
    <row r="1123" spans="7:7">
      <c r="G1123" t="s">
        <v>9265</v>
      </c>
    </row>
    <row r="1124" spans="7:7">
      <c r="G1124" t="s">
        <v>9265</v>
      </c>
    </row>
    <row r="1125" spans="7:7">
      <c r="G1125" t="s">
        <v>9265</v>
      </c>
    </row>
    <row r="1126" spans="7:7">
      <c r="G1126" t="s">
        <v>9265</v>
      </c>
    </row>
    <row r="1127" spans="7:7">
      <c r="G1127" t="s">
        <v>9265</v>
      </c>
    </row>
    <row r="1128" spans="7:7">
      <c r="G1128" t="s">
        <v>9265</v>
      </c>
    </row>
    <row r="1129" spans="7:7">
      <c r="G1129" t="s">
        <v>9265</v>
      </c>
    </row>
    <row r="1130" spans="7:7">
      <c r="G1130" t="s">
        <v>9265</v>
      </c>
    </row>
    <row r="1131" spans="7:7">
      <c r="G1131" t="s">
        <v>9268</v>
      </c>
    </row>
    <row r="1132" spans="7:7">
      <c r="G1132" t="s">
        <v>9268</v>
      </c>
    </row>
    <row r="1133" spans="7:7">
      <c r="G1133" t="s">
        <v>9268</v>
      </c>
    </row>
    <row r="1134" spans="7:7">
      <c r="G1134" t="s">
        <v>9268</v>
      </c>
    </row>
    <row r="1135" spans="7:7">
      <c r="G1135" t="s">
        <v>9268</v>
      </c>
    </row>
    <row r="1136" spans="7:7">
      <c r="G1136" t="s">
        <v>9268</v>
      </c>
    </row>
    <row r="1137" spans="7:7">
      <c r="G1137" t="s">
        <v>9268</v>
      </c>
    </row>
    <row r="1138" spans="7:7">
      <c r="G1138" t="s">
        <v>9268</v>
      </c>
    </row>
    <row r="1139" spans="7:7">
      <c r="G1139" t="s">
        <v>9268</v>
      </c>
    </row>
    <row r="1140" spans="7:7">
      <c r="G1140" t="s">
        <v>9268</v>
      </c>
    </row>
    <row r="1141" spans="7:7">
      <c r="G1141" t="s">
        <v>9268</v>
      </c>
    </row>
    <row r="1142" spans="7:7">
      <c r="G1142" t="s">
        <v>9268</v>
      </c>
    </row>
    <row r="1143" spans="7:7">
      <c r="G1143" t="s">
        <v>9268</v>
      </c>
    </row>
    <row r="1144" spans="7:7">
      <c r="G1144" t="s">
        <v>9268</v>
      </c>
    </row>
    <row r="1145" spans="7:7">
      <c r="G1145" t="s">
        <v>9268</v>
      </c>
    </row>
    <row r="1146" spans="7:7">
      <c r="G1146" t="s">
        <v>9268</v>
      </c>
    </row>
    <row r="1147" spans="7:7">
      <c r="G1147" t="s">
        <v>9268</v>
      </c>
    </row>
    <row r="1148" spans="7:7">
      <c r="G1148" t="s">
        <v>9268</v>
      </c>
    </row>
    <row r="1149" spans="7:7">
      <c r="G1149" t="s">
        <v>9268</v>
      </c>
    </row>
    <row r="1150" spans="7:7">
      <c r="G1150" t="s">
        <v>9268</v>
      </c>
    </row>
    <row r="1151" spans="7:7">
      <c r="G1151" t="s">
        <v>9268</v>
      </c>
    </row>
    <row r="1152" spans="7:7">
      <c r="G1152" t="s">
        <v>9268</v>
      </c>
    </row>
    <row r="1153" spans="7:7">
      <c r="G1153" t="s">
        <v>9268</v>
      </c>
    </row>
    <row r="1154" spans="7:7">
      <c r="G1154" t="s">
        <v>9268</v>
      </c>
    </row>
    <row r="1155" spans="7:7">
      <c r="G1155" t="s">
        <v>9268</v>
      </c>
    </row>
    <row r="1156" spans="7:7">
      <c r="G1156" t="s">
        <v>9268</v>
      </c>
    </row>
    <row r="1157" spans="7:7">
      <c r="G1157" t="s">
        <v>9268</v>
      </c>
    </row>
    <row r="1158" spans="7:7">
      <c r="G1158" t="s">
        <v>9268</v>
      </c>
    </row>
    <row r="1159" spans="7:7">
      <c r="G1159" t="s">
        <v>9268</v>
      </c>
    </row>
    <row r="1160" spans="7:7">
      <c r="G1160" t="s">
        <v>9268</v>
      </c>
    </row>
    <row r="1161" spans="7:7">
      <c r="G1161" t="s">
        <v>9268</v>
      </c>
    </row>
    <row r="1162" spans="7:7">
      <c r="G1162" t="s">
        <v>9268</v>
      </c>
    </row>
    <row r="1163" spans="7:7">
      <c r="G1163" t="s">
        <v>9268</v>
      </c>
    </row>
    <row r="1164" spans="7:7">
      <c r="G1164" t="s">
        <v>9268</v>
      </c>
    </row>
    <row r="1165" spans="7:7">
      <c r="G1165" t="s">
        <v>9268</v>
      </c>
    </row>
    <row r="1166" spans="7:7">
      <c r="G1166" t="s">
        <v>9268</v>
      </c>
    </row>
    <row r="1167" spans="7:7">
      <c r="G1167" t="s">
        <v>9268</v>
      </c>
    </row>
    <row r="1168" spans="7:7">
      <c r="G1168" t="s">
        <v>9268</v>
      </c>
    </row>
    <row r="1169" spans="7:7">
      <c r="G1169" t="s">
        <v>9268</v>
      </c>
    </row>
    <row r="1170" spans="7:7">
      <c r="G1170" t="s">
        <v>9268</v>
      </c>
    </row>
    <row r="1171" spans="7:7">
      <c r="G1171" t="s">
        <v>9268</v>
      </c>
    </row>
    <row r="1172" spans="7:7">
      <c r="G1172" t="s">
        <v>9268</v>
      </c>
    </row>
    <row r="1173" spans="7:7">
      <c r="G1173" t="s">
        <v>9268</v>
      </c>
    </row>
    <row r="1174" spans="7:7">
      <c r="G1174" t="s">
        <v>9268</v>
      </c>
    </row>
    <row r="1175" spans="7:7">
      <c r="G1175" t="s">
        <v>9268</v>
      </c>
    </row>
    <row r="1176" spans="7:7">
      <c r="G1176" t="s">
        <v>9268</v>
      </c>
    </row>
    <row r="1177" spans="7:7">
      <c r="G1177" t="s">
        <v>9268</v>
      </c>
    </row>
    <row r="1178" spans="7:7">
      <c r="G1178" t="s">
        <v>9268</v>
      </c>
    </row>
    <row r="1179" spans="7:7">
      <c r="G1179" t="s">
        <v>9268</v>
      </c>
    </row>
    <row r="1180" spans="7:7">
      <c r="G1180" t="s">
        <v>9268</v>
      </c>
    </row>
    <row r="1181" spans="7:7">
      <c r="G1181" t="s">
        <v>682</v>
      </c>
    </row>
    <row r="1182" spans="7:7">
      <c r="G1182" t="s">
        <v>682</v>
      </c>
    </row>
    <row r="1183" spans="7:7">
      <c r="G1183" t="s">
        <v>682</v>
      </c>
    </row>
    <row r="1184" spans="7:7">
      <c r="G1184" t="s">
        <v>682</v>
      </c>
    </row>
    <row r="1185" spans="7:7">
      <c r="G1185" t="s">
        <v>682</v>
      </c>
    </row>
    <row r="1186" spans="7:7">
      <c r="G1186" t="s">
        <v>682</v>
      </c>
    </row>
    <row r="1187" spans="7:7">
      <c r="G1187" t="s">
        <v>682</v>
      </c>
    </row>
    <row r="1188" spans="7:7">
      <c r="G1188" t="s">
        <v>682</v>
      </c>
    </row>
    <row r="1189" spans="7:7">
      <c r="G1189" t="s">
        <v>682</v>
      </c>
    </row>
    <row r="1190" spans="7:7">
      <c r="G1190" t="s">
        <v>682</v>
      </c>
    </row>
    <row r="1191" spans="7:7">
      <c r="G1191" t="s">
        <v>682</v>
      </c>
    </row>
    <row r="1192" spans="7:7">
      <c r="G1192" t="s">
        <v>682</v>
      </c>
    </row>
    <row r="1193" spans="7:7">
      <c r="G1193" t="s">
        <v>682</v>
      </c>
    </row>
    <row r="1194" spans="7:7">
      <c r="G1194" t="s">
        <v>682</v>
      </c>
    </row>
    <row r="1195" spans="7:7">
      <c r="G1195" t="s">
        <v>682</v>
      </c>
    </row>
    <row r="1196" spans="7:7">
      <c r="G1196" t="s">
        <v>682</v>
      </c>
    </row>
    <row r="1197" spans="7:7">
      <c r="G1197" t="s">
        <v>682</v>
      </c>
    </row>
    <row r="1198" spans="7:7">
      <c r="G1198" t="s">
        <v>682</v>
      </c>
    </row>
    <row r="1199" spans="7:7">
      <c r="G1199" t="s">
        <v>682</v>
      </c>
    </row>
    <row r="1200" spans="7:7">
      <c r="G1200" t="s">
        <v>682</v>
      </c>
    </row>
    <row r="1201" spans="7:7">
      <c r="G1201" t="s">
        <v>682</v>
      </c>
    </row>
    <row r="1202" spans="7:7">
      <c r="G1202" t="s">
        <v>682</v>
      </c>
    </row>
    <row r="1203" spans="7:7">
      <c r="G1203" t="s">
        <v>682</v>
      </c>
    </row>
    <row r="1204" spans="7:7">
      <c r="G1204" t="s">
        <v>682</v>
      </c>
    </row>
    <row r="1205" spans="7:7">
      <c r="G1205" t="s">
        <v>682</v>
      </c>
    </row>
    <row r="1206" spans="7:7">
      <c r="G1206" t="s">
        <v>682</v>
      </c>
    </row>
    <row r="1207" spans="7:7">
      <c r="G1207" t="s">
        <v>682</v>
      </c>
    </row>
    <row r="1208" spans="7:7">
      <c r="G1208" t="s">
        <v>682</v>
      </c>
    </row>
    <row r="1209" spans="7:7">
      <c r="G1209" t="s">
        <v>682</v>
      </c>
    </row>
    <row r="1210" spans="7:7">
      <c r="G1210" t="s">
        <v>682</v>
      </c>
    </row>
    <row r="1211" spans="7:7">
      <c r="G1211" t="s">
        <v>682</v>
      </c>
    </row>
    <row r="1212" spans="7:7">
      <c r="G1212" t="s">
        <v>682</v>
      </c>
    </row>
    <row r="1213" spans="7:7">
      <c r="G1213" t="s">
        <v>682</v>
      </c>
    </row>
    <row r="1214" spans="7:7">
      <c r="G1214" t="s">
        <v>682</v>
      </c>
    </row>
    <row r="1215" spans="7:7">
      <c r="G1215" t="s">
        <v>682</v>
      </c>
    </row>
    <row r="1216" spans="7:7">
      <c r="G1216" t="s">
        <v>682</v>
      </c>
    </row>
    <row r="1217" spans="7:7">
      <c r="G1217" t="s">
        <v>682</v>
      </c>
    </row>
    <row r="1218" spans="7:7">
      <c r="G1218" t="s">
        <v>682</v>
      </c>
    </row>
    <row r="1219" spans="7:7">
      <c r="G1219" t="s">
        <v>682</v>
      </c>
    </row>
    <row r="1220" spans="7:7">
      <c r="G1220" t="s">
        <v>682</v>
      </c>
    </row>
    <row r="1221" spans="7:7">
      <c r="G1221" t="s">
        <v>682</v>
      </c>
    </row>
    <row r="1222" spans="7:7">
      <c r="G1222" t="s">
        <v>682</v>
      </c>
    </row>
    <row r="1223" spans="7:7">
      <c r="G1223" t="s">
        <v>682</v>
      </c>
    </row>
    <row r="1224" spans="7:7">
      <c r="G1224" t="s">
        <v>682</v>
      </c>
    </row>
    <row r="1225" spans="7:7">
      <c r="G1225" t="s">
        <v>682</v>
      </c>
    </row>
    <row r="1226" spans="7:7">
      <c r="G1226" t="s">
        <v>9973</v>
      </c>
    </row>
    <row r="1227" spans="7:7">
      <c r="G1227" t="s">
        <v>9973</v>
      </c>
    </row>
    <row r="1228" spans="7:7">
      <c r="G1228" t="s">
        <v>9973</v>
      </c>
    </row>
    <row r="1229" spans="7:7">
      <c r="G1229" t="s">
        <v>3468</v>
      </c>
    </row>
    <row r="1230" spans="7:7">
      <c r="G1230" t="s">
        <v>3468</v>
      </c>
    </row>
    <row r="1231" spans="7:7">
      <c r="G1231" t="s">
        <v>3468</v>
      </c>
    </row>
    <row r="1232" spans="7:7">
      <c r="G1232" t="s">
        <v>3468</v>
      </c>
    </row>
    <row r="1233" spans="7:7">
      <c r="G1233" t="s">
        <v>3468</v>
      </c>
    </row>
    <row r="1234" spans="7:7">
      <c r="G1234" t="s">
        <v>3468</v>
      </c>
    </row>
    <row r="1235" spans="7:7">
      <c r="G1235" t="s">
        <v>3468</v>
      </c>
    </row>
    <row r="1236" spans="7:7">
      <c r="G1236" t="s">
        <v>3468</v>
      </c>
    </row>
    <row r="1237" spans="7:7">
      <c r="G1237" t="s">
        <v>3468</v>
      </c>
    </row>
    <row r="1238" spans="7:7">
      <c r="G1238" t="s">
        <v>3468</v>
      </c>
    </row>
    <row r="1239" spans="7:7">
      <c r="G1239" t="s">
        <v>3468</v>
      </c>
    </row>
    <row r="1240" spans="7:7">
      <c r="G1240" t="s">
        <v>3468</v>
      </c>
    </row>
    <row r="1241" spans="7:7">
      <c r="G1241" t="s">
        <v>3468</v>
      </c>
    </row>
    <row r="1242" spans="7:7">
      <c r="G1242" t="s">
        <v>3468</v>
      </c>
    </row>
    <row r="1243" spans="7:7">
      <c r="G1243" t="s">
        <v>3468</v>
      </c>
    </row>
    <row r="1244" spans="7:7">
      <c r="G1244" t="s">
        <v>3468</v>
      </c>
    </row>
    <row r="1245" spans="7:7">
      <c r="G1245" t="s">
        <v>3468</v>
      </c>
    </row>
    <row r="1246" spans="7:7">
      <c r="G1246" t="s">
        <v>3468</v>
      </c>
    </row>
    <row r="1247" spans="7:7">
      <c r="G1247" t="s">
        <v>3468</v>
      </c>
    </row>
    <row r="1248" spans="7:7">
      <c r="G1248" t="s">
        <v>3468</v>
      </c>
    </row>
    <row r="1249" spans="7:7">
      <c r="G1249" t="s">
        <v>3468</v>
      </c>
    </row>
    <row r="1250" spans="7:7">
      <c r="G1250" t="s">
        <v>3468</v>
      </c>
    </row>
    <row r="1251" spans="7:7">
      <c r="G1251" t="s">
        <v>3468</v>
      </c>
    </row>
    <row r="1252" spans="7:7">
      <c r="G1252" t="s">
        <v>3468</v>
      </c>
    </row>
    <row r="1253" spans="7:7">
      <c r="G1253" t="s">
        <v>3468</v>
      </c>
    </row>
    <row r="1254" spans="7:7">
      <c r="G1254" t="s">
        <v>10177</v>
      </c>
    </row>
    <row r="1255" spans="7:7">
      <c r="G1255" t="s">
        <v>10177</v>
      </c>
    </row>
    <row r="1256" spans="7:7">
      <c r="G1256" t="s">
        <v>10177</v>
      </c>
    </row>
    <row r="1257" spans="7:7">
      <c r="G1257" t="s">
        <v>10177</v>
      </c>
    </row>
    <row r="1258" spans="7:7">
      <c r="G1258" t="s">
        <v>10177</v>
      </c>
    </row>
    <row r="1259" spans="7:7">
      <c r="G1259" t="s">
        <v>10177</v>
      </c>
    </row>
    <row r="1260" spans="7:7">
      <c r="G1260" t="s">
        <v>10177</v>
      </c>
    </row>
    <row r="1261" spans="7:7">
      <c r="G1261" t="s">
        <v>10225</v>
      </c>
    </row>
    <row r="1262" spans="7:7">
      <c r="G1262" t="s">
        <v>10225</v>
      </c>
    </row>
    <row r="1263" spans="7:7">
      <c r="G1263" t="s">
        <v>1851</v>
      </c>
    </row>
    <row r="1264" spans="7:7">
      <c r="G1264" t="s">
        <v>1851</v>
      </c>
    </row>
    <row r="1265" spans="7:7">
      <c r="G1265" t="s">
        <v>1853</v>
      </c>
    </row>
    <row r="1266" spans="7:7">
      <c r="G1266" t="s">
        <v>10266</v>
      </c>
    </row>
    <row r="1267" spans="7:7">
      <c r="G1267" t="s">
        <v>10266</v>
      </c>
    </row>
    <row r="1268" spans="7:7">
      <c r="G1268" t="s">
        <v>10266</v>
      </c>
    </row>
    <row r="1269" spans="7:7">
      <c r="G1269" t="s">
        <v>10266</v>
      </c>
    </row>
    <row r="1270" spans="7:7">
      <c r="G1270" t="s">
        <v>10266</v>
      </c>
    </row>
    <row r="1271" spans="7:7">
      <c r="G1271" t="s">
        <v>10266</v>
      </c>
    </row>
    <row r="1272" spans="7:7">
      <c r="G1272" t="s">
        <v>10266</v>
      </c>
    </row>
    <row r="1273" spans="7:7">
      <c r="G1273" t="s">
        <v>10299</v>
      </c>
    </row>
    <row r="1274" spans="7:7">
      <c r="G1274" t="s">
        <v>10299</v>
      </c>
    </row>
    <row r="1275" spans="7:7">
      <c r="G1275" t="s">
        <v>10299</v>
      </c>
    </row>
    <row r="1276" spans="7:7">
      <c r="G1276" t="s">
        <v>10299</v>
      </c>
    </row>
    <row r="1277" spans="7:7">
      <c r="G1277" t="s">
        <v>10299</v>
      </c>
    </row>
    <row r="1278" spans="7:7">
      <c r="G1278" t="s">
        <v>10299</v>
      </c>
    </row>
    <row r="1279" spans="7:7">
      <c r="G1279" t="s">
        <v>10299</v>
      </c>
    </row>
    <row r="1280" spans="7:7">
      <c r="G1280" t="s">
        <v>10299</v>
      </c>
    </row>
    <row r="1281" spans="7:7">
      <c r="G1281" t="s">
        <v>10299</v>
      </c>
    </row>
    <row r="1282" spans="7:7">
      <c r="G1282" t="s">
        <v>10299</v>
      </c>
    </row>
    <row r="1283" spans="7:7">
      <c r="G1283" t="s">
        <v>10299</v>
      </c>
    </row>
    <row r="1284" spans="7:7">
      <c r="G1284" t="s">
        <v>10299</v>
      </c>
    </row>
    <row r="1285" spans="7:7">
      <c r="G1285" t="s">
        <v>10299</v>
      </c>
    </row>
    <row r="1286" spans="7:7">
      <c r="G1286" t="s">
        <v>10299</v>
      </c>
    </row>
    <row r="1287" spans="7:7">
      <c r="G1287" t="s">
        <v>10299</v>
      </c>
    </row>
    <row r="1288" spans="7:7">
      <c r="G1288" t="s">
        <v>10299</v>
      </c>
    </row>
    <row r="1289" spans="7:7">
      <c r="G1289" t="s">
        <v>10299</v>
      </c>
    </row>
    <row r="1290" spans="7:7">
      <c r="G1290" t="s">
        <v>10299</v>
      </c>
    </row>
    <row r="1291" spans="7:7">
      <c r="G1291" t="s">
        <v>10299</v>
      </c>
    </row>
    <row r="1292" spans="7:7">
      <c r="G1292" t="s">
        <v>10299</v>
      </c>
    </row>
    <row r="1293" spans="7:7">
      <c r="G1293" t="s">
        <v>10299</v>
      </c>
    </row>
    <row r="1294" spans="7:7">
      <c r="G1294" t="s">
        <v>10299</v>
      </c>
    </row>
    <row r="1295" spans="7:7">
      <c r="G1295" t="s">
        <v>10299</v>
      </c>
    </row>
    <row r="1296" spans="7:7">
      <c r="G1296" t="s">
        <v>10299</v>
      </c>
    </row>
    <row r="1297" spans="7:7">
      <c r="G1297" t="s">
        <v>10299</v>
      </c>
    </row>
    <row r="1298" spans="7:7">
      <c r="G1298" t="s">
        <v>10299</v>
      </c>
    </row>
    <row r="1299" spans="7:7">
      <c r="G1299" t="s">
        <v>10299</v>
      </c>
    </row>
    <row r="1300" spans="7:7">
      <c r="G1300" t="s">
        <v>10299</v>
      </c>
    </row>
    <row r="1301" spans="7:7">
      <c r="G1301" t="s">
        <v>10299</v>
      </c>
    </row>
    <row r="1302" spans="7:7">
      <c r="G1302" t="s">
        <v>10299</v>
      </c>
    </row>
    <row r="1303" spans="7:7">
      <c r="G1303" t="s">
        <v>10299</v>
      </c>
    </row>
    <row r="1304" spans="7:7">
      <c r="G1304" t="s">
        <v>10299</v>
      </c>
    </row>
    <row r="1305" spans="7:7">
      <c r="G1305" t="s">
        <v>10299</v>
      </c>
    </row>
    <row r="1306" spans="7:7">
      <c r="G1306" t="s">
        <v>10299</v>
      </c>
    </row>
    <row r="1307" spans="7:7">
      <c r="G1307" t="s">
        <v>10299</v>
      </c>
    </row>
    <row r="1308" spans="7:7">
      <c r="G1308" t="s">
        <v>10299</v>
      </c>
    </row>
    <row r="1309" spans="7:7">
      <c r="G1309" t="s">
        <v>10299</v>
      </c>
    </row>
    <row r="1310" spans="7:7">
      <c r="G1310" t="s">
        <v>10299</v>
      </c>
    </row>
    <row r="1311" spans="7:7">
      <c r="G1311" t="s">
        <v>10299</v>
      </c>
    </row>
    <row r="1312" spans="7:7">
      <c r="G1312" t="s">
        <v>10576</v>
      </c>
    </row>
    <row r="1313" spans="7:7">
      <c r="G1313" t="s">
        <v>10576</v>
      </c>
    </row>
    <row r="1314" spans="7:7">
      <c r="G1314" t="s">
        <v>10576</v>
      </c>
    </row>
    <row r="1315" spans="7:7">
      <c r="G1315" t="s">
        <v>10588</v>
      </c>
    </row>
    <row r="1316" spans="7:7">
      <c r="G1316" t="s">
        <v>10599</v>
      </c>
    </row>
    <row r="1317" spans="7:7">
      <c r="G1317" t="s">
        <v>10599</v>
      </c>
    </row>
    <row r="1318" spans="7:7">
      <c r="G1318" t="s">
        <v>10599</v>
      </c>
    </row>
    <row r="1319" spans="7:7">
      <c r="G1319" t="s">
        <v>10615</v>
      </c>
    </row>
    <row r="1320" spans="7:7">
      <c r="G1320" t="s">
        <v>10615</v>
      </c>
    </row>
    <row r="1321" spans="7:7">
      <c r="G1321" t="s">
        <v>10615</v>
      </c>
    </row>
    <row r="1322" spans="7:7">
      <c r="G1322" t="s">
        <v>10615</v>
      </c>
    </row>
    <row r="1323" spans="7:7">
      <c r="G1323" t="s">
        <v>10615</v>
      </c>
    </row>
    <row r="1324" spans="7:7">
      <c r="G1324" t="s">
        <v>10615</v>
      </c>
    </row>
    <row r="1325" spans="7:7">
      <c r="G1325" t="s">
        <v>10615</v>
      </c>
    </row>
    <row r="1326" spans="7:7">
      <c r="G1326" t="s">
        <v>10615</v>
      </c>
    </row>
    <row r="1327" spans="7:7">
      <c r="G1327" t="s">
        <v>10615</v>
      </c>
    </row>
    <row r="1328" spans="7:7">
      <c r="G1328" t="s">
        <v>10615</v>
      </c>
    </row>
    <row r="1329" spans="7:7">
      <c r="G1329" t="s">
        <v>10615</v>
      </c>
    </row>
    <row r="1330" spans="7:7">
      <c r="G1330" t="s">
        <v>10615</v>
      </c>
    </row>
    <row r="1331" spans="7:7">
      <c r="G1331" t="s">
        <v>10615</v>
      </c>
    </row>
    <row r="1332" spans="7:7">
      <c r="G1332" t="s">
        <v>10615</v>
      </c>
    </row>
    <row r="1333" spans="7:7">
      <c r="G1333" t="s">
        <v>10615</v>
      </c>
    </row>
    <row r="1334" spans="7:7">
      <c r="G1334" t="s">
        <v>10615</v>
      </c>
    </row>
    <row r="1335" spans="7:7">
      <c r="G1335" t="s">
        <v>10615</v>
      </c>
    </row>
    <row r="1336" spans="7:7">
      <c r="G1336" t="s">
        <v>10615</v>
      </c>
    </row>
    <row r="1337" spans="7:7">
      <c r="G1337" t="s">
        <v>10615</v>
      </c>
    </row>
    <row r="1338" spans="7:7">
      <c r="G1338" t="s">
        <v>10615</v>
      </c>
    </row>
    <row r="1339" spans="7:7">
      <c r="G1339" t="s">
        <v>10615</v>
      </c>
    </row>
    <row r="1340" spans="7:7">
      <c r="G1340" t="s">
        <v>10615</v>
      </c>
    </row>
    <row r="1341" spans="7:7">
      <c r="G1341" t="s">
        <v>10615</v>
      </c>
    </row>
    <row r="1342" spans="7:7">
      <c r="G1342" t="s">
        <v>10615</v>
      </c>
    </row>
    <row r="1343" spans="7:7">
      <c r="G1343" t="s">
        <v>10615</v>
      </c>
    </row>
    <row r="1344" spans="7:7">
      <c r="G1344" t="s">
        <v>10615</v>
      </c>
    </row>
    <row r="1345" spans="7:7">
      <c r="G1345" t="s">
        <v>10615</v>
      </c>
    </row>
    <row r="1346" spans="7:7">
      <c r="G1346" t="s">
        <v>10615</v>
      </c>
    </row>
    <row r="1347" spans="7:7">
      <c r="G1347" t="s">
        <v>10615</v>
      </c>
    </row>
    <row r="1348" spans="7:7">
      <c r="G1348" t="s">
        <v>10615</v>
      </c>
    </row>
    <row r="1349" spans="7:7">
      <c r="G1349" t="s">
        <v>10615</v>
      </c>
    </row>
    <row r="1350" spans="7:7">
      <c r="G1350" t="s">
        <v>10615</v>
      </c>
    </row>
    <row r="1351" spans="7:7">
      <c r="G1351" t="s">
        <v>10615</v>
      </c>
    </row>
    <row r="1352" spans="7:7">
      <c r="G1352" t="s">
        <v>10615</v>
      </c>
    </row>
    <row r="1353" spans="7:7">
      <c r="G1353" t="s">
        <v>10615</v>
      </c>
    </row>
    <row r="1354" spans="7:7">
      <c r="G1354" t="s">
        <v>10615</v>
      </c>
    </row>
    <row r="1355" spans="7:7">
      <c r="G1355" t="s">
        <v>10615</v>
      </c>
    </row>
    <row r="1356" spans="7:7">
      <c r="G1356" t="s">
        <v>10615</v>
      </c>
    </row>
    <row r="1357" spans="7:7">
      <c r="G1357" t="s">
        <v>10615</v>
      </c>
    </row>
    <row r="1358" spans="7:7">
      <c r="G1358" t="s">
        <v>10615</v>
      </c>
    </row>
    <row r="1359" spans="7:7">
      <c r="G1359" t="s">
        <v>10615</v>
      </c>
    </row>
    <row r="1360" spans="7:7">
      <c r="G1360" t="s">
        <v>10615</v>
      </c>
    </row>
    <row r="1361" spans="7:7">
      <c r="G1361" t="s">
        <v>10615</v>
      </c>
    </row>
    <row r="1362" spans="7:7">
      <c r="G1362" t="s">
        <v>10615</v>
      </c>
    </row>
    <row r="1363" spans="7:7">
      <c r="G1363" t="s">
        <v>10615</v>
      </c>
    </row>
    <row r="1364" spans="7:7">
      <c r="G1364" t="s">
        <v>10615</v>
      </c>
    </row>
    <row r="1365" spans="7:7">
      <c r="G1365" t="s">
        <v>10615</v>
      </c>
    </row>
    <row r="1366" spans="7:7">
      <c r="G1366" t="s">
        <v>10615</v>
      </c>
    </row>
    <row r="1367" spans="7:7">
      <c r="G1367" t="s">
        <v>10615</v>
      </c>
    </row>
    <row r="1368" spans="7:7">
      <c r="G1368" t="s">
        <v>10615</v>
      </c>
    </row>
    <row r="1369" spans="7:7">
      <c r="G1369" t="s">
        <v>10615</v>
      </c>
    </row>
    <row r="1370" spans="7:7">
      <c r="G1370" t="s">
        <v>10615</v>
      </c>
    </row>
    <row r="1371" spans="7:7">
      <c r="G1371" t="s">
        <v>10615</v>
      </c>
    </row>
    <row r="1372" spans="7:7">
      <c r="G1372" t="s">
        <v>10615</v>
      </c>
    </row>
    <row r="1373" spans="7:7">
      <c r="G1373" t="s">
        <v>10615</v>
      </c>
    </row>
    <row r="1374" spans="7:7">
      <c r="G1374" t="s">
        <v>10615</v>
      </c>
    </row>
    <row r="1375" spans="7:7">
      <c r="G1375" t="s">
        <v>10615</v>
      </c>
    </row>
    <row r="1376" spans="7:7">
      <c r="G1376" t="s">
        <v>10615</v>
      </c>
    </row>
    <row r="1377" spans="7:7">
      <c r="G1377" t="s">
        <v>10615</v>
      </c>
    </row>
    <row r="1378" spans="7:7">
      <c r="G1378" t="s">
        <v>10615</v>
      </c>
    </row>
    <row r="1379" spans="7:7">
      <c r="G1379" t="s">
        <v>10615</v>
      </c>
    </row>
    <row r="1380" spans="7:7">
      <c r="G1380" t="s">
        <v>10615</v>
      </c>
    </row>
    <row r="1381" spans="7:7">
      <c r="G1381" t="s">
        <v>10615</v>
      </c>
    </row>
    <row r="1382" spans="7:7">
      <c r="G1382" t="s">
        <v>10615</v>
      </c>
    </row>
    <row r="1383" spans="7:7">
      <c r="G1383" t="s">
        <v>10615</v>
      </c>
    </row>
    <row r="1384" spans="7:7">
      <c r="G1384" t="s">
        <v>10615</v>
      </c>
    </row>
    <row r="1385" spans="7:7">
      <c r="G1385" t="s">
        <v>10615</v>
      </c>
    </row>
    <row r="1386" spans="7:7">
      <c r="G1386" t="s">
        <v>10615</v>
      </c>
    </row>
    <row r="1387" spans="7:7">
      <c r="G1387" t="s">
        <v>10615</v>
      </c>
    </row>
    <row r="1388" spans="7:7">
      <c r="G1388" t="s">
        <v>10615</v>
      </c>
    </row>
    <row r="1389" spans="7:7">
      <c r="G1389" t="s">
        <v>10615</v>
      </c>
    </row>
    <row r="1390" spans="7:7">
      <c r="G1390" t="s">
        <v>10615</v>
      </c>
    </row>
    <row r="1391" spans="7:7">
      <c r="G1391" t="s">
        <v>10615</v>
      </c>
    </row>
    <row r="1392" spans="7:7">
      <c r="G1392" t="s">
        <v>10615</v>
      </c>
    </row>
    <row r="1393" spans="7:7">
      <c r="G1393" t="s">
        <v>10615</v>
      </c>
    </row>
    <row r="1394" spans="7:7">
      <c r="G1394" t="s">
        <v>10615</v>
      </c>
    </row>
    <row r="1395" spans="7:7">
      <c r="G1395" t="s">
        <v>10615</v>
      </c>
    </row>
    <row r="1396" spans="7:7">
      <c r="G1396" t="s">
        <v>10615</v>
      </c>
    </row>
    <row r="1397" spans="7:7">
      <c r="G1397" t="s">
        <v>10615</v>
      </c>
    </row>
    <row r="1398" spans="7:7">
      <c r="G1398" t="s">
        <v>10615</v>
      </c>
    </row>
    <row r="1399" spans="7:7">
      <c r="G1399" t="s">
        <v>10615</v>
      </c>
    </row>
    <row r="1400" spans="7:7">
      <c r="G1400" t="s">
        <v>10615</v>
      </c>
    </row>
    <row r="1401" spans="7:7">
      <c r="G1401" t="s">
        <v>10615</v>
      </c>
    </row>
    <row r="1402" spans="7:7">
      <c r="G1402" t="s">
        <v>10615</v>
      </c>
    </row>
    <row r="1403" spans="7:7">
      <c r="G1403" t="s">
        <v>10615</v>
      </c>
    </row>
    <row r="1404" spans="7:7">
      <c r="G1404" t="s">
        <v>10615</v>
      </c>
    </row>
    <row r="1405" spans="7:7">
      <c r="G1405" t="s">
        <v>10615</v>
      </c>
    </row>
    <row r="1406" spans="7:7">
      <c r="G1406" t="s">
        <v>10615</v>
      </c>
    </row>
    <row r="1407" spans="7:7">
      <c r="G1407" t="s">
        <v>10615</v>
      </c>
    </row>
    <row r="1408" spans="7:7">
      <c r="G1408" t="s">
        <v>10615</v>
      </c>
    </row>
    <row r="1409" spans="7:7">
      <c r="G1409" t="s">
        <v>10615</v>
      </c>
    </row>
    <row r="1410" spans="7:7">
      <c r="G1410" t="s">
        <v>10615</v>
      </c>
    </row>
    <row r="1411" spans="7:7">
      <c r="G1411" t="s">
        <v>10615</v>
      </c>
    </row>
    <row r="1412" spans="7:7">
      <c r="G1412" t="s">
        <v>10615</v>
      </c>
    </row>
    <row r="1413" spans="7:7">
      <c r="G1413" t="s">
        <v>10615</v>
      </c>
    </row>
    <row r="1414" spans="7:7">
      <c r="G1414" t="s">
        <v>10615</v>
      </c>
    </row>
    <row r="1415" spans="7:7">
      <c r="G1415" t="s">
        <v>10615</v>
      </c>
    </row>
    <row r="1416" spans="7:7">
      <c r="G1416" t="s">
        <v>10615</v>
      </c>
    </row>
    <row r="1417" spans="7:7">
      <c r="G1417" t="s">
        <v>10615</v>
      </c>
    </row>
    <row r="1418" spans="7:7">
      <c r="G1418" t="s">
        <v>10615</v>
      </c>
    </row>
    <row r="1419" spans="7:7">
      <c r="G1419" t="s">
        <v>10615</v>
      </c>
    </row>
    <row r="1420" spans="7:7">
      <c r="G1420" t="s">
        <v>11327</v>
      </c>
    </row>
    <row r="1421" spans="7:7">
      <c r="G1421" t="s">
        <v>11327</v>
      </c>
    </row>
    <row r="1422" spans="7:7">
      <c r="G1422" t="s">
        <v>11327</v>
      </c>
    </row>
    <row r="1423" spans="7:7">
      <c r="G1423" t="s">
        <v>11327</v>
      </c>
    </row>
    <row r="1424" spans="7:7">
      <c r="G1424" t="s">
        <v>11327</v>
      </c>
    </row>
    <row r="1425" spans="7:7">
      <c r="G1425" t="s">
        <v>11327</v>
      </c>
    </row>
    <row r="1426" spans="7:7">
      <c r="G1426" t="s">
        <v>11327</v>
      </c>
    </row>
    <row r="1427" spans="7:7">
      <c r="G1427" t="s">
        <v>11327</v>
      </c>
    </row>
    <row r="1428" spans="7:7">
      <c r="G1428" t="s">
        <v>11327</v>
      </c>
    </row>
    <row r="1429" spans="7:7">
      <c r="G1429" t="s">
        <v>11327</v>
      </c>
    </row>
    <row r="1430" spans="7:7">
      <c r="G1430" t="s">
        <v>11327</v>
      </c>
    </row>
    <row r="1431" spans="7:7">
      <c r="G1431" t="s">
        <v>11327</v>
      </c>
    </row>
    <row r="1432" spans="7:7">
      <c r="G1432" t="s">
        <v>11327</v>
      </c>
    </row>
    <row r="1433" spans="7:7">
      <c r="G1433" t="s">
        <v>11327</v>
      </c>
    </row>
    <row r="1434" spans="7:7">
      <c r="G1434" t="s">
        <v>31</v>
      </c>
    </row>
    <row r="1435" spans="7:7">
      <c r="G1435" t="s">
        <v>31</v>
      </c>
    </row>
    <row r="1436" spans="7:7">
      <c r="G1436" t="s">
        <v>31</v>
      </c>
    </row>
    <row r="1437" spans="7:7">
      <c r="G1437" t="s">
        <v>31</v>
      </c>
    </row>
    <row r="1438" spans="7:7">
      <c r="G1438" t="s">
        <v>31</v>
      </c>
    </row>
    <row r="1439" spans="7:7">
      <c r="G1439" t="s">
        <v>31</v>
      </c>
    </row>
    <row r="1440" spans="7:7">
      <c r="G1440" t="s">
        <v>31</v>
      </c>
    </row>
    <row r="1441" spans="7:7">
      <c r="G1441" t="s">
        <v>6633</v>
      </c>
    </row>
    <row r="1442" spans="7:7">
      <c r="G1442" t="s">
        <v>6633</v>
      </c>
    </row>
    <row r="1443" spans="7:7">
      <c r="G1443" t="s">
        <v>6633</v>
      </c>
    </row>
    <row r="1444" spans="7:7">
      <c r="G1444" t="s">
        <v>6633</v>
      </c>
    </row>
    <row r="1445" spans="7:7">
      <c r="G1445" t="s">
        <v>6633</v>
      </c>
    </row>
    <row r="1446" spans="7:7">
      <c r="G1446" t="s">
        <v>6633</v>
      </c>
    </row>
    <row r="1447" spans="7:7">
      <c r="G1447" t="s">
        <v>6633</v>
      </c>
    </row>
    <row r="1448" spans="7:7">
      <c r="G1448" t="s">
        <v>6633</v>
      </c>
    </row>
    <row r="1449" spans="7:7">
      <c r="G1449" t="s">
        <v>6633</v>
      </c>
    </row>
    <row r="1450" spans="7:7">
      <c r="G1450" t="s">
        <v>6633</v>
      </c>
    </row>
    <row r="1451" spans="7:7">
      <c r="G1451" t="s">
        <v>6633</v>
      </c>
    </row>
    <row r="1452" spans="7:7">
      <c r="G1452" t="s">
        <v>6633</v>
      </c>
    </row>
    <row r="1453" spans="7:7">
      <c r="G1453" t="s">
        <v>6633</v>
      </c>
    </row>
    <row r="1454" spans="7:7">
      <c r="G1454" t="s">
        <v>6633</v>
      </c>
    </row>
    <row r="1455" spans="7:7">
      <c r="G1455" t="s">
        <v>6633</v>
      </c>
    </row>
    <row r="1456" spans="7:7">
      <c r="G1456" t="s">
        <v>6633</v>
      </c>
    </row>
    <row r="1457" spans="7:7">
      <c r="G1457" t="s">
        <v>6633</v>
      </c>
    </row>
    <row r="1458" spans="7:7">
      <c r="G1458" t="s">
        <v>6633</v>
      </c>
    </row>
    <row r="1459" spans="7:7">
      <c r="G1459" t="s">
        <v>6633</v>
      </c>
    </row>
    <row r="1460" spans="7:7">
      <c r="G1460" t="s">
        <v>6633</v>
      </c>
    </row>
    <row r="1461" spans="7:7">
      <c r="G1461" t="s">
        <v>6633</v>
      </c>
    </row>
    <row r="1462" spans="7:7">
      <c r="G1462" t="s">
        <v>6633</v>
      </c>
    </row>
    <row r="1463" spans="7:7">
      <c r="G1463" t="s">
        <v>6633</v>
      </c>
    </row>
    <row r="1464" spans="7:7">
      <c r="G1464" t="s">
        <v>6633</v>
      </c>
    </row>
    <row r="1465" spans="7:7">
      <c r="G1465" t="s">
        <v>6633</v>
      </c>
    </row>
    <row r="1466" spans="7:7">
      <c r="G1466" t="s">
        <v>6633</v>
      </c>
    </row>
    <row r="1467" spans="7:7">
      <c r="G1467" t="s">
        <v>6633</v>
      </c>
    </row>
    <row r="1468" spans="7:7">
      <c r="G1468" t="s">
        <v>6633</v>
      </c>
    </row>
    <row r="1469" spans="7:7">
      <c r="G1469" t="s">
        <v>6633</v>
      </c>
    </row>
    <row r="1470" spans="7:7">
      <c r="G1470" t="s">
        <v>6633</v>
      </c>
    </row>
    <row r="1471" spans="7:7">
      <c r="G1471" t="s">
        <v>6633</v>
      </c>
    </row>
    <row r="1472" spans="7:7">
      <c r="G1472" t="s">
        <v>6633</v>
      </c>
    </row>
    <row r="1473" spans="7:7">
      <c r="G1473" t="s">
        <v>6633</v>
      </c>
    </row>
    <row r="1474" spans="7:7">
      <c r="G1474" t="s">
        <v>6633</v>
      </c>
    </row>
    <row r="1475" spans="7:7">
      <c r="G1475" t="s">
        <v>6633</v>
      </c>
    </row>
    <row r="1476" spans="7:7">
      <c r="G1476" t="s">
        <v>6633</v>
      </c>
    </row>
    <row r="1477" spans="7:7">
      <c r="G1477" t="s">
        <v>6633</v>
      </c>
    </row>
    <row r="1478" spans="7:7">
      <c r="G1478" t="s">
        <v>6633</v>
      </c>
    </row>
    <row r="1479" spans="7:7">
      <c r="G1479" t="s">
        <v>6633</v>
      </c>
    </row>
    <row r="1480" spans="7:7">
      <c r="G1480" t="s">
        <v>6633</v>
      </c>
    </row>
    <row r="1481" spans="7:7">
      <c r="G1481" t="s">
        <v>11761</v>
      </c>
    </row>
    <row r="1482" spans="7:7">
      <c r="G1482" t="s">
        <v>11761</v>
      </c>
    </row>
    <row r="1483" spans="7:7">
      <c r="G1483" t="s">
        <v>11761</v>
      </c>
    </row>
    <row r="1484" spans="7:7">
      <c r="G1484" t="s">
        <v>11761</v>
      </c>
    </row>
    <row r="1485" spans="7:7">
      <c r="G1485" t="s">
        <v>11761</v>
      </c>
    </row>
    <row r="1486" spans="7:7">
      <c r="G1486" t="s">
        <v>11761</v>
      </c>
    </row>
    <row r="1487" spans="7:7">
      <c r="G1487" t="s">
        <v>11761</v>
      </c>
    </row>
    <row r="1488" spans="7:7">
      <c r="G1488" t="s">
        <v>11761</v>
      </c>
    </row>
    <row r="1489" spans="7:7">
      <c r="G1489" t="s">
        <v>11761</v>
      </c>
    </row>
    <row r="1490" spans="7:7">
      <c r="G1490" t="s">
        <v>11761</v>
      </c>
    </row>
    <row r="1491" spans="7:7">
      <c r="G1491" t="s">
        <v>11761</v>
      </c>
    </row>
    <row r="1492" spans="7:7">
      <c r="G1492" t="s">
        <v>11761</v>
      </c>
    </row>
    <row r="1493" spans="7:7">
      <c r="G1493" t="s">
        <v>11761</v>
      </c>
    </row>
    <row r="1494" spans="7:7">
      <c r="G1494" t="s">
        <v>11761</v>
      </c>
    </row>
    <row r="1495" spans="7:7">
      <c r="G1495" t="s">
        <v>11761</v>
      </c>
    </row>
    <row r="1496" spans="7:7">
      <c r="G1496" t="s">
        <v>11761</v>
      </c>
    </row>
    <row r="1497" spans="7:7">
      <c r="G1497" t="s">
        <v>11761</v>
      </c>
    </row>
    <row r="1498" spans="7:7">
      <c r="G1498" t="s">
        <v>11761</v>
      </c>
    </row>
    <row r="1499" spans="7:7">
      <c r="G1499" t="s">
        <v>6633</v>
      </c>
    </row>
    <row r="1500" spans="7:7">
      <c r="G1500" t="s">
        <v>11869</v>
      </c>
    </row>
    <row r="1501" spans="7:7">
      <c r="G1501" t="s">
        <v>11869</v>
      </c>
    </row>
    <row r="1502" spans="7:7">
      <c r="G1502" t="s">
        <v>11869</v>
      </c>
    </row>
    <row r="1503" spans="7:7">
      <c r="G1503" t="s">
        <v>11869</v>
      </c>
    </row>
    <row r="1504" spans="7:7">
      <c r="G1504" t="s">
        <v>11869</v>
      </c>
    </row>
    <row r="1505" spans="7:7">
      <c r="G1505" t="s">
        <v>11869</v>
      </c>
    </row>
    <row r="1506" spans="7:7">
      <c r="G1506" t="s">
        <v>11869</v>
      </c>
    </row>
    <row r="1507" spans="7:7">
      <c r="G1507" t="s">
        <v>11869</v>
      </c>
    </row>
    <row r="1508" spans="7:7">
      <c r="G1508" t="s">
        <v>11869</v>
      </c>
    </row>
    <row r="1509" spans="7:7">
      <c r="G1509" t="s">
        <v>11869</v>
      </c>
    </row>
    <row r="1510" spans="7:7">
      <c r="G1510" t="s">
        <v>11869</v>
      </c>
    </row>
    <row r="1511" spans="7:7">
      <c r="G1511" t="s">
        <v>11869</v>
      </c>
    </row>
    <row r="1512" spans="7:7">
      <c r="G1512" t="s">
        <v>11869</v>
      </c>
    </row>
    <row r="1513" spans="7:7">
      <c r="G1513" t="s">
        <v>11869</v>
      </c>
    </row>
    <row r="1514" spans="7:7">
      <c r="G1514" t="s">
        <v>11869</v>
      </c>
    </row>
    <row r="1515" spans="7:7">
      <c r="G1515" t="s">
        <v>11869</v>
      </c>
    </row>
    <row r="1516" spans="7:7">
      <c r="G1516" t="s">
        <v>11869</v>
      </c>
    </row>
    <row r="1517" spans="7:7">
      <c r="G1517" t="s">
        <v>11869</v>
      </c>
    </row>
    <row r="1518" spans="7:7">
      <c r="G1518" t="s">
        <v>11869</v>
      </c>
    </row>
    <row r="1519" spans="7:7">
      <c r="G1519" t="s">
        <v>11869</v>
      </c>
    </row>
    <row r="1520" spans="7:7">
      <c r="G1520" t="s">
        <v>11869</v>
      </c>
    </row>
    <row r="1521" spans="7:7">
      <c r="G1521" t="s">
        <v>11869</v>
      </c>
    </row>
    <row r="1522" spans="7:7">
      <c r="G1522" t="s">
        <v>11869</v>
      </c>
    </row>
    <row r="1523" spans="7:7">
      <c r="G1523" t="s">
        <v>11869</v>
      </c>
    </row>
    <row r="1524" spans="7:7">
      <c r="G1524" t="s">
        <v>11869</v>
      </c>
    </row>
    <row r="1525" spans="7:7">
      <c r="G1525" t="s">
        <v>11869</v>
      </c>
    </row>
    <row r="1526" spans="7:7">
      <c r="G1526" t="s">
        <v>11869</v>
      </c>
    </row>
    <row r="1527" spans="7:7">
      <c r="G1527" t="s">
        <v>11869</v>
      </c>
    </row>
    <row r="1528" spans="7:7">
      <c r="G1528" t="s">
        <v>11869</v>
      </c>
    </row>
    <row r="1529" spans="7:7">
      <c r="G1529" t="s">
        <v>11869</v>
      </c>
    </row>
    <row r="1530" spans="7:7">
      <c r="G1530" t="s">
        <v>11869</v>
      </c>
    </row>
    <row r="1531" spans="7:7">
      <c r="G1531" t="s">
        <v>11869</v>
      </c>
    </row>
    <row r="1532" spans="7:7">
      <c r="G1532" t="s">
        <v>11869</v>
      </c>
    </row>
    <row r="1533" spans="7:7">
      <c r="G1533" t="s">
        <v>11869</v>
      </c>
    </row>
    <row r="1534" spans="7:7">
      <c r="G1534" t="s">
        <v>11869</v>
      </c>
    </row>
    <row r="1535" spans="7:7">
      <c r="G1535" t="s">
        <v>11869</v>
      </c>
    </row>
    <row r="1536" spans="7:7">
      <c r="G1536" t="s">
        <v>11869</v>
      </c>
    </row>
    <row r="1537" spans="7:7">
      <c r="G1537" t="s">
        <v>11869</v>
      </c>
    </row>
    <row r="1538" spans="7:7">
      <c r="G1538" t="s">
        <v>11869</v>
      </c>
    </row>
    <row r="1539" spans="7:7">
      <c r="G1539" t="s">
        <v>11869</v>
      </c>
    </row>
    <row r="1540" spans="7:7">
      <c r="G1540" t="s">
        <v>11869</v>
      </c>
    </row>
    <row r="1541" spans="7:7">
      <c r="G1541" t="s">
        <v>11869</v>
      </c>
    </row>
    <row r="1542" spans="7:7">
      <c r="G1542" t="s">
        <v>12171</v>
      </c>
    </row>
    <row r="1543" spans="7:7">
      <c r="G1543" t="s">
        <v>12171</v>
      </c>
    </row>
    <row r="1544" spans="7:7">
      <c r="G1544" t="s">
        <v>12171</v>
      </c>
    </row>
    <row r="1545" spans="7:7">
      <c r="G1545" t="s">
        <v>12171</v>
      </c>
    </row>
    <row r="1546" spans="7:7">
      <c r="G1546" t="s">
        <v>12171</v>
      </c>
    </row>
    <row r="1547" spans="7:7">
      <c r="G1547" t="s">
        <v>12171</v>
      </c>
    </row>
    <row r="1548" spans="7:7">
      <c r="G1548" t="s">
        <v>12171</v>
      </c>
    </row>
    <row r="1549" spans="7:7">
      <c r="G1549" t="s">
        <v>12171</v>
      </c>
    </row>
    <row r="1550" spans="7:7">
      <c r="G1550" t="s">
        <v>12171</v>
      </c>
    </row>
    <row r="1551" spans="7:7">
      <c r="G1551" t="s">
        <v>12171</v>
      </c>
    </row>
    <row r="1552" spans="7:7">
      <c r="G1552" t="s">
        <v>12171</v>
      </c>
    </row>
    <row r="1553" spans="7:7">
      <c r="G1553" t="s">
        <v>12171</v>
      </c>
    </row>
    <row r="1554" spans="7:7">
      <c r="G1554" t="s">
        <v>12171</v>
      </c>
    </row>
    <row r="1555" spans="7:7">
      <c r="G1555" t="s">
        <v>12171</v>
      </c>
    </row>
    <row r="1556" spans="7:7">
      <c r="G1556" t="s">
        <v>12171</v>
      </c>
    </row>
    <row r="1557" spans="7:7">
      <c r="G1557" t="s">
        <v>12171</v>
      </c>
    </row>
    <row r="1558" spans="7:7">
      <c r="G1558" t="s">
        <v>12171</v>
      </c>
    </row>
    <row r="1559" spans="7:7">
      <c r="G1559" t="s">
        <v>12171</v>
      </c>
    </row>
    <row r="1560" spans="7:7">
      <c r="G1560" t="s">
        <v>12171</v>
      </c>
    </row>
    <row r="1561" spans="7:7">
      <c r="G1561" t="s">
        <v>12171</v>
      </c>
    </row>
    <row r="1562" spans="7:7">
      <c r="G1562" t="s">
        <v>12171</v>
      </c>
    </row>
    <row r="1563" spans="7:7">
      <c r="G1563" t="s">
        <v>12171</v>
      </c>
    </row>
    <row r="1564" spans="7:7">
      <c r="G1564" t="s">
        <v>12171</v>
      </c>
    </row>
    <row r="1565" spans="7:7">
      <c r="G1565" t="s">
        <v>12171</v>
      </c>
    </row>
    <row r="1566" spans="7:7">
      <c r="G1566" t="s">
        <v>12171</v>
      </c>
    </row>
    <row r="1567" spans="7:7">
      <c r="G1567" t="s">
        <v>12171</v>
      </c>
    </row>
    <row r="1568" spans="7:7">
      <c r="G1568" t="s">
        <v>12171</v>
      </c>
    </row>
    <row r="1569" spans="7:7">
      <c r="G1569" t="s">
        <v>12171</v>
      </c>
    </row>
    <row r="1570" spans="7:7">
      <c r="G1570" t="s">
        <v>12310</v>
      </c>
    </row>
    <row r="1571" spans="7:7">
      <c r="G1571" t="s">
        <v>12310</v>
      </c>
    </row>
    <row r="1572" spans="7:7">
      <c r="G1572" t="s">
        <v>12310</v>
      </c>
    </row>
    <row r="1573" spans="7:7">
      <c r="G1573" t="s">
        <v>12310</v>
      </c>
    </row>
    <row r="1574" spans="7:7">
      <c r="G1574" t="s">
        <v>12310</v>
      </c>
    </row>
    <row r="1575" spans="7:7">
      <c r="G1575" t="s">
        <v>12310</v>
      </c>
    </row>
    <row r="1576" spans="7:7">
      <c r="G1576" t="s">
        <v>12310</v>
      </c>
    </row>
    <row r="1577" spans="7:7">
      <c r="G1577" t="s">
        <v>12310</v>
      </c>
    </row>
    <row r="1578" spans="7:7">
      <c r="G1578" t="s">
        <v>12367</v>
      </c>
    </row>
    <row r="1579" spans="7:7">
      <c r="G1579" t="s">
        <v>12367</v>
      </c>
    </row>
    <row r="1580" spans="7:7">
      <c r="G1580" t="s">
        <v>12367</v>
      </c>
    </row>
    <row r="1581" spans="7:7">
      <c r="G1581" t="s">
        <v>12367</v>
      </c>
    </row>
    <row r="1582" spans="7:7">
      <c r="G1582" t="s">
        <v>12404</v>
      </c>
    </row>
    <row r="1583" spans="7:7">
      <c r="G1583" t="s">
        <v>12415</v>
      </c>
    </row>
    <row r="1584" spans="7:7">
      <c r="G1584" t="s">
        <v>12415</v>
      </c>
    </row>
    <row r="1585" spans="7:7">
      <c r="G1585" t="s">
        <v>12415</v>
      </c>
    </row>
    <row r="1586" spans="7:7">
      <c r="G1586" t="s">
        <v>12415</v>
      </c>
    </row>
    <row r="1587" spans="7:7">
      <c r="G1587" t="s">
        <v>12415</v>
      </c>
    </row>
    <row r="1588" spans="7:7">
      <c r="G1588" t="s">
        <v>12415</v>
      </c>
    </row>
    <row r="1589" spans="7:7">
      <c r="G1589" t="s">
        <v>12415</v>
      </c>
    </row>
    <row r="1590" spans="7:7">
      <c r="G1590" t="s">
        <v>12415</v>
      </c>
    </row>
    <row r="1591" spans="7:7">
      <c r="G1591" t="s">
        <v>12415</v>
      </c>
    </row>
    <row r="1592" spans="7:7">
      <c r="G1592" t="s">
        <v>12415</v>
      </c>
    </row>
    <row r="1593" spans="7:7">
      <c r="G1593" t="s">
        <v>12415</v>
      </c>
    </row>
    <row r="1594" spans="7:7">
      <c r="G1594" t="s">
        <v>12415</v>
      </c>
    </row>
    <row r="1595" spans="7:7">
      <c r="G1595" t="s">
        <v>12415</v>
      </c>
    </row>
    <row r="1596" spans="7:7">
      <c r="G1596" t="s">
        <v>12415</v>
      </c>
    </row>
    <row r="1597" spans="7:7">
      <c r="G1597" t="s">
        <v>12415</v>
      </c>
    </row>
    <row r="1598" spans="7:7">
      <c r="G1598" t="s">
        <v>12415</v>
      </c>
    </row>
    <row r="1599" spans="7:7">
      <c r="G1599" t="s">
        <v>12415</v>
      </c>
    </row>
    <row r="1600" spans="7:7">
      <c r="G1600" t="s">
        <v>12415</v>
      </c>
    </row>
    <row r="1601" spans="7:7">
      <c r="G1601" t="s">
        <v>12532</v>
      </c>
    </row>
    <row r="1602" spans="7:7">
      <c r="G1602" t="s">
        <v>12540</v>
      </c>
    </row>
    <row r="1603" spans="7:7">
      <c r="G1603" t="s">
        <v>12540</v>
      </c>
    </row>
    <row r="1604" spans="7:7">
      <c r="G1604" t="s">
        <v>12540</v>
      </c>
    </row>
    <row r="1605" spans="7:7">
      <c r="G1605" t="s">
        <v>12540</v>
      </c>
    </row>
    <row r="1606" spans="7:7">
      <c r="G1606" t="s">
        <v>12540</v>
      </c>
    </row>
    <row r="1607" spans="7:7">
      <c r="G1607" t="s">
        <v>12540</v>
      </c>
    </row>
    <row r="1608" spans="7:7">
      <c r="G1608" t="s">
        <v>12540</v>
      </c>
    </row>
    <row r="1609" spans="7:7">
      <c r="G1609" t="s">
        <v>12540</v>
      </c>
    </row>
    <row r="1610" spans="7:7">
      <c r="G1610" t="s">
        <v>12540</v>
      </c>
    </row>
    <row r="1611" spans="7:7">
      <c r="G1611" t="s">
        <v>12540</v>
      </c>
    </row>
    <row r="1612" spans="7:7">
      <c r="G1612" t="s">
        <v>12540</v>
      </c>
    </row>
    <row r="1613" spans="7:7">
      <c r="G1613" t="s">
        <v>12605</v>
      </c>
    </row>
    <row r="1614" spans="7:7">
      <c r="G1614" t="s">
        <v>12605</v>
      </c>
    </row>
    <row r="1615" spans="7:7">
      <c r="G1615" t="s">
        <v>12605</v>
      </c>
    </row>
    <row r="1616" spans="7:7">
      <c r="G1616" t="s">
        <v>12605</v>
      </c>
    </row>
    <row r="1617" spans="7:7">
      <c r="G1617" t="s">
        <v>12605</v>
      </c>
    </row>
    <row r="1618" spans="7:7">
      <c r="G1618" t="s">
        <v>12605</v>
      </c>
    </row>
    <row r="1619" spans="7:7">
      <c r="G1619" t="s">
        <v>12657</v>
      </c>
    </row>
    <row r="1620" spans="7:7">
      <c r="G1620" t="s">
        <v>12657</v>
      </c>
    </row>
    <row r="1621" spans="7:7">
      <c r="G1621" t="s">
        <v>12657</v>
      </c>
    </row>
    <row r="1622" spans="7:7">
      <c r="G1622" t="s">
        <v>12657</v>
      </c>
    </row>
    <row r="1623" spans="7:7">
      <c r="G1623" t="s">
        <v>12657</v>
      </c>
    </row>
    <row r="1624" spans="7:7">
      <c r="G1624" t="s">
        <v>12657</v>
      </c>
    </row>
    <row r="1625" spans="7:7">
      <c r="G1625" t="s">
        <v>12657</v>
      </c>
    </row>
    <row r="1626" spans="7:7">
      <c r="G1626" t="s">
        <v>12657</v>
      </c>
    </row>
    <row r="1627" spans="7:7">
      <c r="G1627" t="s">
        <v>12657</v>
      </c>
    </row>
    <row r="1628" spans="7:7">
      <c r="G1628" t="s">
        <v>12721</v>
      </c>
    </row>
    <row r="1629" spans="7:7">
      <c r="G1629" t="s">
        <v>12721</v>
      </c>
    </row>
    <row r="1630" spans="7:7">
      <c r="G1630" t="s">
        <v>12721</v>
      </c>
    </row>
    <row r="1631" spans="7:7">
      <c r="G1631" t="s">
        <v>12721</v>
      </c>
    </row>
    <row r="1632" spans="7:7">
      <c r="G1632" t="s">
        <v>12756</v>
      </c>
    </row>
    <row r="1633" spans="7:7">
      <c r="G1633" t="s">
        <v>12756</v>
      </c>
    </row>
    <row r="1634" spans="7:7">
      <c r="G1634" t="s">
        <v>12756</v>
      </c>
    </row>
    <row r="1635" spans="7:7">
      <c r="G1635" t="s">
        <v>12756</v>
      </c>
    </row>
    <row r="1636" spans="7:7">
      <c r="G1636" t="s">
        <v>12756</v>
      </c>
    </row>
    <row r="1637" spans="7:7">
      <c r="G1637" t="s">
        <v>12756</v>
      </c>
    </row>
    <row r="1638" spans="7:7">
      <c r="G1638" t="s">
        <v>12756</v>
      </c>
    </row>
    <row r="1639" spans="7:7">
      <c r="G1639" t="s">
        <v>12756</v>
      </c>
    </row>
    <row r="1640" spans="7:7">
      <c r="G1640" t="s">
        <v>12756</v>
      </c>
    </row>
    <row r="1641" spans="7:7">
      <c r="G1641" t="s">
        <v>12756</v>
      </c>
    </row>
    <row r="1642" spans="7:7">
      <c r="G1642" t="s">
        <v>12756</v>
      </c>
    </row>
    <row r="1643" spans="7:7">
      <c r="G1643" t="s">
        <v>12756</v>
      </c>
    </row>
    <row r="1644" spans="7:7">
      <c r="G1644" t="s">
        <v>12756</v>
      </c>
    </row>
    <row r="1645" spans="7:7">
      <c r="G1645" t="s">
        <v>12756</v>
      </c>
    </row>
    <row r="1646" spans="7:7">
      <c r="G1646" t="s">
        <v>12756</v>
      </c>
    </row>
    <row r="1647" spans="7:7">
      <c r="G1647" t="s">
        <v>12756</v>
      </c>
    </row>
    <row r="1648" spans="7:7">
      <c r="G1648" t="s">
        <v>12756</v>
      </c>
    </row>
    <row r="1649" spans="7:7">
      <c r="G1649" t="s">
        <v>12756</v>
      </c>
    </row>
    <row r="1650" spans="7:7">
      <c r="G1650" t="s">
        <v>12756</v>
      </c>
    </row>
    <row r="1651" spans="7:7">
      <c r="G1651" t="s">
        <v>12756</v>
      </c>
    </row>
    <row r="1652" spans="7:7">
      <c r="G1652" t="s">
        <v>12924</v>
      </c>
    </row>
    <row r="1653" spans="7:7">
      <c r="G1653" t="s">
        <v>12924</v>
      </c>
    </row>
    <row r="1654" spans="7:7">
      <c r="G1654" t="s">
        <v>6253</v>
      </c>
    </row>
    <row r="1655" spans="7:7">
      <c r="G1655" t="s">
        <v>6253</v>
      </c>
    </row>
    <row r="1656" spans="7:7">
      <c r="G1656" t="s">
        <v>6253</v>
      </c>
    </row>
    <row r="1657" spans="7:7">
      <c r="G1657" t="s">
        <v>6253</v>
      </c>
    </row>
    <row r="1658" spans="7:7">
      <c r="G1658" t="s">
        <v>6253</v>
      </c>
    </row>
    <row r="1659" spans="7:7">
      <c r="G1659" t="s">
        <v>6253</v>
      </c>
    </row>
    <row r="1660" spans="7:7">
      <c r="G1660" t="s">
        <v>6253</v>
      </c>
    </row>
    <row r="1661" spans="7:7">
      <c r="G1661" t="s">
        <v>6253</v>
      </c>
    </row>
    <row r="1662" spans="7:7">
      <c r="G1662" t="s">
        <v>6253</v>
      </c>
    </row>
    <row r="1663" spans="7:7">
      <c r="G1663" t="s">
        <v>6253</v>
      </c>
    </row>
    <row r="1664" spans="7:7">
      <c r="G1664" t="s">
        <v>6253</v>
      </c>
    </row>
    <row r="1665" spans="7:7">
      <c r="G1665" t="s">
        <v>6253</v>
      </c>
    </row>
    <row r="1666" spans="7:7">
      <c r="G1666" t="s">
        <v>6253</v>
      </c>
    </row>
    <row r="1667" spans="7:7">
      <c r="G1667" t="s">
        <v>6253</v>
      </c>
    </row>
    <row r="1668" spans="7:7">
      <c r="G1668" t="s">
        <v>6253</v>
      </c>
    </row>
    <row r="1669" spans="7:7">
      <c r="G1669" t="s">
        <v>6253</v>
      </c>
    </row>
    <row r="1670" spans="7:7">
      <c r="G1670" t="s">
        <v>6253</v>
      </c>
    </row>
    <row r="1671" spans="7:7">
      <c r="G1671" t="s">
        <v>6253</v>
      </c>
    </row>
    <row r="1672" spans="7:7">
      <c r="G1672" t="s">
        <v>13073</v>
      </c>
    </row>
    <row r="1673" spans="7:7">
      <c r="G1673" t="s">
        <v>13073</v>
      </c>
    </row>
    <row r="1674" spans="7:7">
      <c r="G1674" t="s">
        <v>13073</v>
      </c>
    </row>
    <row r="1675" spans="7:7">
      <c r="G1675" t="s">
        <v>13073</v>
      </c>
    </row>
    <row r="1676" spans="7:7">
      <c r="G1676" t="s">
        <v>13091</v>
      </c>
    </row>
    <row r="1677" spans="7:7">
      <c r="G1677" t="s">
        <v>13091</v>
      </c>
    </row>
    <row r="1678" spans="7:7">
      <c r="G1678" t="s">
        <v>13091</v>
      </c>
    </row>
    <row r="1679" spans="7:7">
      <c r="G1679" t="s">
        <v>13091</v>
      </c>
    </row>
    <row r="1680" spans="7:7">
      <c r="G1680" t="s">
        <v>13091</v>
      </c>
    </row>
    <row r="1681" spans="7:7">
      <c r="G1681" t="s">
        <v>13091</v>
      </c>
    </row>
    <row r="1682" spans="7:7">
      <c r="G1682" t="s">
        <v>13091</v>
      </c>
    </row>
    <row r="1683" spans="7:7">
      <c r="G1683" t="s">
        <v>13091</v>
      </c>
    </row>
    <row r="1684" spans="7:7">
      <c r="G1684" t="s">
        <v>13091</v>
      </c>
    </row>
    <row r="1685" spans="7:7">
      <c r="G1685" t="s">
        <v>13091</v>
      </c>
    </row>
    <row r="1686" spans="7:7">
      <c r="G1686" t="s">
        <v>13091</v>
      </c>
    </row>
    <row r="1687" spans="7:7">
      <c r="G1687" t="s">
        <v>13144</v>
      </c>
    </row>
  </sheetData>
  <sortState xmlns:xlrd2="http://schemas.microsoft.com/office/spreadsheetml/2017/richdata2" ref="B2:B54">
    <sortCondition ref="B2:B54"/>
  </sortState>
  <pageMargins left="0.7" right="0.7" top="0.75" bottom="0.75" header="0.3" footer="0.3"/>
  <tableParts count="3">
    <tablePart r:id="rId1"/>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262AF-9BCD-2C40-BDF2-CF548DDF6048}">
  <dimension ref="A11:E11"/>
  <sheetViews>
    <sheetView zoomScale="114" workbookViewId="0">
      <selection sqref="A1:C74"/>
    </sheetView>
  </sheetViews>
  <sheetFormatPr baseColWidth="10" defaultRowHeight="16"/>
  <cols>
    <col min="1" max="1" width="23.33203125" style="10" customWidth="1"/>
    <col min="2" max="2" width="23.6640625" style="11" customWidth="1"/>
    <col min="3" max="3" width="21" customWidth="1"/>
    <col min="6" max="6" width="9.33203125" customWidth="1"/>
    <col min="7" max="7" width="10.83203125" customWidth="1"/>
    <col min="8" max="8" width="21.6640625" customWidth="1"/>
    <col min="9" max="9" width="23.33203125" customWidth="1"/>
    <col min="10" max="10" width="24" customWidth="1"/>
    <col min="11" max="11" width="18.6640625" customWidth="1"/>
  </cols>
  <sheetData>
    <row r="11" spans="5:5">
      <c r="E11" s="12"/>
    </row>
  </sheetData>
  <sortState xmlns:xlrd2="http://schemas.microsoft.com/office/spreadsheetml/2017/richdata2" ref="B2:B1701">
    <sortCondition ref="B1:B170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8</vt:i4>
      </vt:variant>
      <vt:variant>
        <vt:lpstr>Rangos con nombre</vt:lpstr>
      </vt:variant>
      <vt:variant>
        <vt:i4>9</vt:i4>
      </vt:variant>
    </vt:vector>
  </HeadingPairs>
  <TitlesOfParts>
    <vt:vector size="17" baseType="lpstr">
      <vt:lpstr>Dataset</vt:lpstr>
      <vt:lpstr>TB_Music_Data</vt:lpstr>
      <vt:lpstr>Dashboard</vt:lpstr>
      <vt:lpstr>TB_Caracteristicas</vt:lpstr>
      <vt:lpstr>TB_Distribucion</vt:lpstr>
      <vt:lpstr>Respuestas Descriptivas</vt:lpstr>
      <vt:lpstr>Anexas</vt:lpstr>
      <vt:lpstr>TB_Playlist_Name</vt:lpstr>
      <vt:lpstr>Acustica</vt:lpstr>
      <vt:lpstr>Danceability</vt:lpstr>
      <vt:lpstr>Energia</vt:lpstr>
      <vt:lpstr>Dataset!high_popularity_spotify_data</vt:lpstr>
      <vt:lpstr>Modern</vt:lpstr>
      <vt:lpstr>Throwback</vt:lpstr>
      <vt:lpstr>Throwbackp</vt:lpstr>
      <vt:lpstr>Total_Pop</vt:lpstr>
      <vt:lpstr>Valence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Santiago Florin</dc:creator>
  <cp:lastModifiedBy>Santiago Florin</cp:lastModifiedBy>
  <dcterms:created xsi:type="dcterms:W3CDTF">2025-03-05T16:50:48Z</dcterms:created>
  <dcterms:modified xsi:type="dcterms:W3CDTF">2025-06-15T16:40:42Z</dcterms:modified>
</cp:coreProperties>
</file>